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1CEF8A5-CE8A-416B-A74B-1A98276E77B3}" xr6:coauthVersionLast="36" xr6:coauthVersionMax="36" xr10:uidLastSave="{00000000-0000-0000-0000-000000000000}"/>
  <bookViews>
    <workbookView xWindow="-28920" yWindow="-1335"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SEFA'!$B$1:$M$45</definedName>
    <definedName name="_xlnm.Print_Area" localSheetId="28">' SEFA (2)'!$B$1:$M$44</definedName>
    <definedName name="_xlnm.Print_Area" localSheetId="29">' SEFA (3)'!$B$1:$M$45</definedName>
    <definedName name="_xlnm.Print_Area" localSheetId="30">'SEFA NOTES'!$A$1:$F$52</definedName>
    <definedName name="_xlnm.Print_Area" localSheetId="26">'SEFA Reconcile'!$A$1:$E$49</definedName>
    <definedName name="_xlnm.Print_Area" localSheetId="31">'SF&amp;QC Sec-1'!$A$1:$J$62</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0" i="186" l="1"/>
  <c r="F20" i="186"/>
  <c r="G20" i="186"/>
  <c r="H20" i="186"/>
  <c r="I20" i="186"/>
  <c r="J20" i="186"/>
  <c r="K20" i="186"/>
  <c r="M20" i="186"/>
  <c r="M21" i="186" s="1"/>
  <c r="M23" i="185"/>
  <c r="K23" i="185"/>
  <c r="J23" i="185"/>
  <c r="I23" i="185"/>
  <c r="H23" i="185"/>
  <c r="G23" i="185"/>
  <c r="F23" i="185"/>
  <c r="E23" i="185"/>
  <c r="K21" i="186" l="1"/>
  <c r="F21" i="186"/>
  <c r="E21" i="186"/>
  <c r="G21" i="186"/>
  <c r="H21" i="186"/>
  <c r="I21" i="186"/>
  <c r="J21" i="186"/>
  <c r="L17" i="186"/>
  <c r="M14" i="185" l="1"/>
  <c r="M15" i="185" s="1"/>
  <c r="M22" i="179"/>
  <c r="M23" i="179" s="1"/>
  <c r="L19" i="186"/>
  <c r="L16" i="186"/>
  <c r="L15" i="186"/>
  <c r="L14" i="186"/>
  <c r="L13" i="186"/>
  <c r="L20" i="186" s="1"/>
  <c r="M26" i="186" l="1"/>
  <c r="I9" i="186"/>
  <c r="G9" i="186"/>
  <c r="F9" i="186"/>
  <c r="E9" i="186"/>
  <c r="J8" i="186"/>
  <c r="H8" i="186"/>
  <c r="L22" i="185" l="1"/>
  <c r="L21" i="185"/>
  <c r="L20" i="185"/>
  <c r="L19" i="185"/>
  <c r="L14" i="185"/>
  <c r="L15" i="185" s="1"/>
  <c r="K14" i="185"/>
  <c r="K15" i="185" s="1"/>
  <c r="J14" i="185"/>
  <c r="J15" i="185" s="1"/>
  <c r="I14" i="185"/>
  <c r="I15" i="185" s="1"/>
  <c r="H14" i="185"/>
  <c r="H15" i="185" s="1"/>
  <c r="G14" i="185"/>
  <c r="G15" i="185" s="1"/>
  <c r="F14" i="185"/>
  <c r="F15" i="185" s="1"/>
  <c r="E14" i="185"/>
  <c r="E15" i="185" s="1"/>
  <c r="L13" i="185"/>
  <c r="I9" i="185"/>
  <c r="G9" i="185"/>
  <c r="F9" i="185"/>
  <c r="E9" i="185"/>
  <c r="J8" i="185"/>
  <c r="H8" i="185"/>
  <c r="K22" i="179"/>
  <c r="K23" i="179" s="1"/>
  <c r="K26" i="186" s="1"/>
  <c r="J22" i="179"/>
  <c r="J23" i="179" s="1"/>
  <c r="J26" i="186" s="1"/>
  <c r="I22" i="179"/>
  <c r="I23" i="179" s="1"/>
  <c r="H22" i="179"/>
  <c r="H23" i="179" s="1"/>
  <c r="G22" i="179"/>
  <c r="G23" i="179" s="1"/>
  <c r="L19" i="179"/>
  <c r="F22" i="179"/>
  <c r="F23" i="179" s="1"/>
  <c r="E22" i="179"/>
  <c r="E23" i="179" s="1"/>
  <c r="G26" i="186" l="1"/>
  <c r="H26" i="186"/>
  <c r="I26" i="186"/>
  <c r="L23" i="185"/>
  <c r="L21" i="186" s="1"/>
  <c r="E26" i="186"/>
  <c r="F26" i="186"/>
  <c r="D35" i="171" s="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4"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3" i="179" l="1"/>
  <c r="L26" i="186" s="1"/>
  <c r="L22" i="179"/>
  <c r="L21" i="179"/>
  <c r="L20"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5" i="127"/>
  <c r="B66"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4" i="37" l="1"/>
  <c r="B4270" i="106" s="1"/>
  <c r="D4270" i="106" s="1"/>
  <c r="F36" i="34"/>
  <c r="B7828" i="106" s="1"/>
  <c r="D7828" i="106" s="1"/>
  <c r="B4211" i="106"/>
  <c r="D4211" i="106" s="1"/>
  <c r="F69" i="34"/>
  <c r="B7047" i="106"/>
  <c r="D7047" i="106" s="1"/>
  <c r="G14" i="4"/>
  <c r="B2609" i="106" s="1"/>
  <c r="D2609" i="106" s="1"/>
  <c r="F52" i="34"/>
  <c r="B7831" i="106" s="1"/>
  <c r="D7831" i="106" s="1"/>
  <c r="D22" i="37"/>
  <c r="G39" i="108"/>
  <c r="F70" i="34"/>
  <c r="F36" i="108"/>
  <c r="D36" i="108"/>
  <c r="B7074" i="106"/>
  <c r="D7074" i="106" s="1"/>
  <c r="J210" i="29"/>
  <c r="B7072" i="106" s="1"/>
  <c r="D7072" i="106" s="1"/>
  <c r="F50" i="34"/>
  <c r="G26" i="108"/>
  <c r="C342" i="29"/>
  <c r="B7216" i="106" s="1"/>
  <c r="D7216" i="106" s="1"/>
  <c r="B2836" i="106"/>
  <c r="D2836" i="106" s="1"/>
  <c r="F37" i="34"/>
  <c r="B7829" i="106" s="1"/>
  <c r="D7829" i="106" s="1"/>
  <c r="B1274" i="106"/>
  <c r="D1274" i="106" s="1"/>
  <c r="B6289" i="106"/>
  <c r="D6289" i="106" s="1"/>
  <c r="H76" i="4"/>
  <c r="B3298" i="106" s="1"/>
  <c r="D3298" i="106" s="1"/>
  <c r="F77" i="4"/>
  <c r="B3255" i="106" s="1"/>
  <c r="D3255" i="106" s="1"/>
  <c r="D14" i="4"/>
  <c r="B2570" i="106" s="1"/>
  <c r="D2570" i="106" s="1"/>
  <c r="G35" i="108"/>
  <c r="B7076" i="106"/>
  <c r="D7076" i="106" s="1"/>
  <c r="E34" i="108"/>
  <c r="H365" i="29"/>
  <c r="B7242" i="106" s="1"/>
  <c r="D7242" i="106" s="1"/>
  <c r="B2805" i="106"/>
  <c r="D2805" i="106" s="1"/>
  <c r="C129" i="29"/>
  <c r="C151" i="29" s="1"/>
  <c r="B1226" i="106" s="1"/>
  <c r="D1226" i="106" s="1"/>
  <c r="H342" i="29"/>
  <c r="B7221" i="106" s="1"/>
  <c r="D7221" i="106" s="1"/>
  <c r="L22" i="37"/>
  <c r="H15" i="184"/>
  <c r="D69" i="36"/>
  <c r="H28" i="118"/>
  <c r="B7126" i="106"/>
  <c r="D7126" i="106" s="1"/>
  <c r="E57" i="184"/>
  <c r="B7696" i="106"/>
  <c r="D7696" i="106" s="1"/>
  <c r="E66" i="184"/>
  <c r="N66" i="184" s="1"/>
  <c r="B7135" i="106"/>
  <c r="D7135" i="106" s="1"/>
  <c r="E58" i="184"/>
  <c r="N58" i="184" s="1"/>
  <c r="I210" i="29"/>
  <c r="B7071" i="106" s="1"/>
  <c r="D7071" i="106" s="1"/>
  <c r="I129" i="29"/>
  <c r="B7037" i="106" s="1"/>
  <c r="D7037" i="106" s="1"/>
  <c r="D68" i="36"/>
  <c r="B7189" i="106"/>
  <c r="D7189" i="106" s="1"/>
  <c r="E64" i="184"/>
  <c r="N64" i="184" s="1"/>
  <c r="C352" i="29"/>
  <c r="B3621" i="106" s="1"/>
  <c r="D3621" i="106" s="1"/>
  <c r="D31" i="108"/>
  <c r="E16" i="184"/>
  <c r="H16" i="184" s="1"/>
  <c r="F34" i="34"/>
  <c r="B7826" i="106" s="1"/>
  <c r="D7826" i="106" s="1"/>
  <c r="H12" i="184"/>
  <c r="B7180" i="106"/>
  <c r="D7180" i="106" s="1"/>
  <c r="E63" i="184"/>
  <c r="N63" i="184" s="1"/>
  <c r="G33" i="108"/>
  <c r="E17" i="184"/>
  <c r="H17" i="184" s="1"/>
  <c r="B7171" i="106"/>
  <c r="D7171" i="106" s="1"/>
  <c r="E62" i="184"/>
  <c r="N62" i="184" s="1"/>
  <c r="F72" i="34"/>
  <c r="B7162" i="106"/>
  <c r="D7162" i="106" s="1"/>
  <c r="E61" i="184"/>
  <c r="N61" i="184" s="1"/>
  <c r="B7198" i="106"/>
  <c r="D7198" i="106" s="1"/>
  <c r="E65" i="184"/>
  <c r="N65" i="184" s="1"/>
  <c r="G30" i="108"/>
  <c r="B7153" i="106"/>
  <c r="D7153" i="106" s="1"/>
  <c r="E60" i="184"/>
  <c r="N60" i="184" s="1"/>
  <c r="F71" i="34"/>
  <c r="F42" i="34"/>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C367" i="29"/>
  <c r="B3622" i="106" s="1"/>
  <c r="D3622" i="106" s="1"/>
  <c r="H77" i="4"/>
  <c r="B3299" i="106" s="1"/>
  <c r="D3299" i="106" s="1"/>
  <c r="J151" i="29"/>
  <c r="B7052" i="106" s="1"/>
  <c r="D7052" i="106" s="1"/>
  <c r="B1225" i="106"/>
  <c r="D1225" i="106" s="1"/>
  <c r="B5770" i="106"/>
  <c r="D5770" i="106" s="1"/>
  <c r="K77" i="4"/>
  <c r="B3587" i="106" s="1"/>
  <c r="D3587" i="106" s="1"/>
  <c r="B1381" i="106"/>
  <c r="D1381" i="106" s="1"/>
  <c r="K342" i="29"/>
  <c r="F13" i="34" s="1"/>
  <c r="H151" i="29"/>
  <c r="B1273" i="106" s="1"/>
  <c r="D1273" i="106" s="1"/>
  <c r="L114" i="29"/>
  <c r="B5527" i="106"/>
  <c r="D5527" i="106" s="1"/>
  <c r="I7" i="4"/>
  <c r="B4444" i="106" s="1"/>
  <c r="D4444" i="106" s="1"/>
  <c r="K28" i="118"/>
  <c r="O27" i="118" s="1"/>
  <c r="O29" i="118" s="1"/>
  <c r="F41" i="108"/>
  <c r="G43" i="108" s="1"/>
  <c r="D44" i="36"/>
  <c r="F66" i="34"/>
  <c r="H19" i="184"/>
  <c r="L20" i="184" s="1"/>
  <c r="B7235" i="106"/>
  <c r="D7235" i="106" s="1"/>
  <c r="I151" i="29"/>
  <c r="F59" i="34" s="1"/>
  <c r="J16" i="4"/>
  <c r="B6226" i="106" s="1"/>
  <c r="D6226" i="106" s="1"/>
  <c r="B7222" i="106"/>
  <c r="D7222" i="106" s="1"/>
  <c r="F76" i="34"/>
  <c r="B7887" i="106" s="1"/>
  <c r="D7887" i="106" s="1"/>
  <c r="B1328" i="106"/>
  <c r="D1328" i="106" s="1"/>
  <c r="B7215" i="106"/>
  <c r="D7215" i="106" s="1"/>
  <c r="B6216" i="106"/>
  <c r="D6216" i="106" s="1"/>
  <c r="B7220" i="106"/>
  <c r="D7220" i="106" s="1"/>
  <c r="F75" i="34"/>
  <c r="B7886" i="106" s="1"/>
  <c r="D7886" i="106" s="1"/>
  <c r="N57" i="184"/>
  <c r="N68" i="184" s="1"/>
  <c r="E68" i="184"/>
  <c r="K365" i="29"/>
  <c r="K16" i="4" s="1"/>
  <c r="E367" i="29"/>
  <c r="B3636" i="106" s="1"/>
  <c r="D3636" i="106" s="1"/>
  <c r="B3635" i="106"/>
  <c r="D3635" i="106" s="1"/>
  <c r="N23" i="3"/>
  <c r="B284" i="106" s="1"/>
  <c r="D284"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051" i="106"/>
  <c r="D7051" i="106" s="1"/>
  <c r="B7243" i="106"/>
  <c r="D7243" i="106" s="1"/>
  <c r="K367" i="29"/>
  <c r="K368" i="29" s="1"/>
  <c r="B3681" i="106" s="1"/>
  <c r="D368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B6223" i="106"/>
  <c r="D6223" i="106" s="1"/>
  <c r="J10" i="4"/>
  <c r="B6225" i="106" s="1"/>
  <c r="D6225" i="106" s="1"/>
  <c r="K17" i="4"/>
  <c r="B3575" i="106" s="1"/>
  <c r="D3575" i="106" s="1"/>
  <c r="B3678" i="106"/>
  <c r="D3678" i="106" s="1"/>
  <c r="J19" i="4"/>
  <c r="B6229" i="106" s="1"/>
  <c r="D6229" i="106" s="1"/>
  <c r="F77" i="34"/>
  <c r="B7834" i="106" s="1"/>
  <c r="D7834"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B6263" i="106"/>
  <c r="D6263" i="106" s="1"/>
  <c r="F8" i="146"/>
  <c r="D78" i="4"/>
  <c r="D81" i="4" s="1"/>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<sst xmlns="http://schemas.openxmlformats.org/spreadsheetml/2006/main" count="5370" uniqueCount="2168">
  <si>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</si>
  <si>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</si>
  <si>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</si>
  <si>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</si>
  <si>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</si>
  <si>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</si>
  <si>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</si>
  <si>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</si>
  <si>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</si>
  <si>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</si>
  <si>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</si>
  <si>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</si>
  <si>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</si>
  <si>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</si>
  <si>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</si>
  <si>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</si>
  <si>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</si>
  <si>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</si>
  <si>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</si>
  <si>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</si>
  <si>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</si>
  <si>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</si>
  <si>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</si>
  <si>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</si>
  <si>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</si>
  <si>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</si>
  <si>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</si>
  <si>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</si>
  <si>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</si>
  <si>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</si>
  <si>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</si>
  <si>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</si>
  <si>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</si>
  <si>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</si>
  <si>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</si>
  <si>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</si>
  <si>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</si>
  <si>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</si>
  <si>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</si>
  <si>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</si>
  <si>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</si>
  <si>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</si>
  <si>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</si>
  <si>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</si>
  <si>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</si>
  <si>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</si>
  <si>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</si>
  <si>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</si>
  <si>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</si>
  <si>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</si>
  <si>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</si>
  <si>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</si>
  <si>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</si>
  <si>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</si>
  <si>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</si>
  <si>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</si>
  <si>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</si>
  <si>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</si>
  <si>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</si>
  <si>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</si>
  <si>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</si>
  <si>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</si>
  <si>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</si>
  <si>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</si>
  <si>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</si>
  <si>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</si>
  <si>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</si>
  <si>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</si>
  <si>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</si>
  <si>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</si>
  <si>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</si>
  <si>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</si>
  <si>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</si>
  <si>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</si>
  <si>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</si>
  <si>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</si>
  <si>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</si>
  <si>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</si>
  <si>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</si>
  <si>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</si>
  <si>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</si>
  <si>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</si>
  <si>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</si>
  <si>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</si>
  <si>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</si>
  <si>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</si>
  <si>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</si>
  <si>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</si>
  <si>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</si>
  <si>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</si>
  <si>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</si>
  <si>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</si>
  <si>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</si>
  <si>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</si>
  <si>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</si>
  <si>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</si>
  <si>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</si>
  <si>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</si>
  <si>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</si>
  <si>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</si>
  <si>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</si>
  <si>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</si>
  <si>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</si>
  <si>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</si>
  <si>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</si>
  <si>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</si>
  <si>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</si>
  <si>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</si>
  <si>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</si>
  <si>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</si>
  <si>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</si>
  <si>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</si>
  <si>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</si>
  <si>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</si>
  <si>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</si>
  <si>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</si>
  <si>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</si>
  <si>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</si>
  <si>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</si>
  <si>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</si>
  <si>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</si>
  <si>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</si>
  <si>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</si>
  <si>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</si>
  <si>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</si>
  <si>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</si>
  <si>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</si>
  <si>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</si>
  <si>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</si>
  <si>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</si>
  <si>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</si>
  <si>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</si>
  <si>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</si>
  <si>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</si>
  <si>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</si>
  <si>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</si>
  <si>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</si>
  <si>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</si>
  <si>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</si>
  <si>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</si>
  <si>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</si>
  <si>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</si>
  <si>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</si>
  <si>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</si>
  <si>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</si>
  <si>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</si>
  <si>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</si>
  <si>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</si>
  <si>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</si>
  <si>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</si>
  <si>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</si>
  <si>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</si>
  <si>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</si>
  <si>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</si>
  <si>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</si>
  <si>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</si>
  <si>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</si>
  <si>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</si>
  <si>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</si>
  <si>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</si>
  <si>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</si>
  <si>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</si>
  <si>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</si>
  <si>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</si>
  <si>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</si>
  <si>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</si>
  <si>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</si>
  <si>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</si>
  <si>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</si>
  <si>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</si>
  <si>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</si>
  <si>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</si>
  <si>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</si>
  <si>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</si>
  <si>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</si>
  <si>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</si>
  <si>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</si>
  <si>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</si>
  <si>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</si>
  <si>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</si>
  <si>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</si>
  <si>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</si>
  <si>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</si>
  <si>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</si>
  <si>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</si>
  <si>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</si>
  <si>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</si>
  <si>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</si>
  <si>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</si>
  <si>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</si>
  <si>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</si>
  <si>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</si>
  <si>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</si>
  <si>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</si>
  <si>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</si>
  <si>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</si>
  <si>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</si>
  <si>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</si>
  <si>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</si>
  <si>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</si>
  <si>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</si>
  <si>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</si>
  <si>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</si>
  <si>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</si>
  <si>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</si>
  <si>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</si>
  <si>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</si>
  <si>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</si>
  <si>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</si>
  <si>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</si>
  <si>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</si>
  <si>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</si>
  <si>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</si>
  <si>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</si>
  <si>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</si>
  <si>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</si>
  <si>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</si>
  <si>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</si>
  <si>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</si>
  <si>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</si>
  <si>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</si>
  <si>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</si>
  <si>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</si>
  <si>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</si>
  <si>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</si>
  <si>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</si>
  <si>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</si>
  <si>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</si>
  <si>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</si>
  <si>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</si>
  <si>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</si>
  <si>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</si>
  <si>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</si>
  <si>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</si>
  <si>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</si>
  <si>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</si>
  <si>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</si>
  <si>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</si>
  <si>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</si>
  <si>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</si>
  <si>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</si>
  <si>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</si>
  <si>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</si>
  <si>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</si>
  <si>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</si>
  <si>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</si>
  <si>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</si>
  <si>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</si>
  <si>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</si>
  <si>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</si>
  <si>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</si>
  <si>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</si>
  <si>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</si>
  <si>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</si>
  <si>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</si>
  <si>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</si>
  <si>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</si>
  <si>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</si>
  <si>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</si>
  <si>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</si>
  <si>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</si>
  <si>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</si>
  <si>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</si>
  <si>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</si>
  <si>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</si>
  <si>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</si>
  <si>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</si>
  <si>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</si>
  <si>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</si>
  <si>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</si>
  <si>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</si>
  <si>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</si>
  <si>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</si>
  <si>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</si>
  <si>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</si>
  <si>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</si>
  <si>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</si>
  <si>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</si>
  <si>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</si>
  <si>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</si>
  <si>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</si>
  <si>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</si>
  <si>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</si>
  <si>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</si>
  <si>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</si>
  <si>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</si>
  <si>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</si>
  <si>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</si>
  <si>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</si>
  <si>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</si>
  <si>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</si>
  <si>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</si>
  <si>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</si>
  <si>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</si>
  <si>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</si>
  <si>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</si>
  <si>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</si>
  <si>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</si>
  <si>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</si>
  <si>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</si>
  <si>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</si>
  <si>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</si>
  <si>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</si>
  <si>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</si>
  <si>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</si>
  <si>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</si>
  <si>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</si>
  <si>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</si>
  <si>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</si>
  <si>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</si>
  <si>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</si>
  <si>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</si>
  <si>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</si>
  <si>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</si>
  <si>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</si>
  <si>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</si>
  <si>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</si>
  <si>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</si>
  <si>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</si>
  <si>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</si>
  <si>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</si>
  <si>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</si>
  <si>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</si>
  <si>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</si>
  <si>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</si>
  <si>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</si>
  <si>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</si>
  <si>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</si>
  <si>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</si>
  <si>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</si>
  <si>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</si>
  <si>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</si>
  <si>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</si>
  <si>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</si>
  <si>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</si>
  <si>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</si>
  <si>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</si>
  <si>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</si>
  <si>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</si>
  <si>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</si>
  <si>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</si>
  <si>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</si>
  <si>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</si>
  <si>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</si>
  <si>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</si>
  <si>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</si>
  <si>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</si>
  <si>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</si>
  <si>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</si>
  <si>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</si>
  <si>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</si>
  <si>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</si>
  <si>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</si>
  <si>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</si>
  <si>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</si>
  <si>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</si>
  <si>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</si>
  <si>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</si>
  <si>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</si>
  <si>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</si>
  <si>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</si>
  <si>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</si>
  <si>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</si>
  <si>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</si>
  <si>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</si>
  <si>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</si>
  <si>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</si>
  <si>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</si>
  <si>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</si>
  <si>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</si>
  <si>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</si>
  <si>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</si>
  <si>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</si>
  <si>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</si>
  <si>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</si>
  <si>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</si>
  <si>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</si>
  <si>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</si>
  <si>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</si>
  <si>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</si>
  <si>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</si>
  <si>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</si>
  <si>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</si>
  <si>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</si>
  <si>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</si>
  <si>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</si>
  <si>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</si>
  <si>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</si>
  <si>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</si>
  <si>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</si>
  <si>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</si>
  <si>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</si>
  <si>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</si>
  <si>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</si>
  <si>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</si>
  <si>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</si>
  <si>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</si>
  <si>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</si>
  <si>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</si>
  <si>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</si>
  <si>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</si>
  <si>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</si>
  <si>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</si>
  <si>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</si>
  <si>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</si>
  <si>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</si>
  <si>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</si>
  <si>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</si>
  <si>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</si>
  <si>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</si>
  <si>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</si>
  <si>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</si>
  <si>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</si>
  <si>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</si>
  <si>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</si>
  <si>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</si>
  <si>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</si>
  <si>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</si>
  <si>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</si>
  <si>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</si>
  <si>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</si>
  <si>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</si>
  <si>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</si>
  <si>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</si>
  <si>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</si>
  <si>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</si>
  <si>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</si>
  <si>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</si>
  <si>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</si>
  <si>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</si>
  <si>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</si>
  <si>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</si>
  <si>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</si>
  <si>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</si>
  <si>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</si>
  <si>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</si>
  <si>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</si>
  <si>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</si>
  <si>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</si>
  <si>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</si>
  <si>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</si>
  <si>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</si>
  <si>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</si>
  <si>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</si>
  <si>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</si>
  <si>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</si>
  <si>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</si>
  <si>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</si>
  <si>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</si>
  <si>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</si>
  <si>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</si>
  <si>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</si>
  <si>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</si>
  <si>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</si>
  <si>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</si>
  <si>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</si>
  <si>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</si>
  <si>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</si>
  <si>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</si>
  <si>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</si>
  <si>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</si>
  <si>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</si>
  <si>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</si>
  <si>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</si>
  <si>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</si>
  <si>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</si>
  <si>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</si>
  <si>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</si>
  <si>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</si>
  <si>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</si>
  <si>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</si>
  <si>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</si>
  <si>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</si>
  <si>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</si>
  <si>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</si>
  <si>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</si>
  <si>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</si>
  <si>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</si>
  <si>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</si>
  <si>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</si>
  <si>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</si>
  <si>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</si>
  <si>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</si>
  <si>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</si>
  <si>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</si>
  <si>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</si>
  <si>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</si>
  <si>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</si>
  <si>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</si>
  <si>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</si>
  <si>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</si>
  <si>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</si>
  <si>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</si>
  <si>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</si>
  <si>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</si>
  <si>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</si>
  <si>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</si>
  <si>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</si>
  <si>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</si>
  <si>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</si>
  <si>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</si>
  <si>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</si>
  <si>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</si>
  <si>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</si>
  <si>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</si>
  <si>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</si>
  <si>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</si>
  <si>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</si>
  <si>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</si>
  <si>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</si>
  <si>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</si>
  <si>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</si>
  <si>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</si>
  <si>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</si>
  <si>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</si>
  <si>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</si>
  <si>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</si>
  <si>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</si>
  <si>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</si>
  <si>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</si>
  <si>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</si>
  <si>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</si>
  <si>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</si>
  <si>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</si>
  <si>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</si>
  <si>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</si>
  <si>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</si>
  <si>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</si>
  <si>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</si>
  <si>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</si>
  <si>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</si>
  <si>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</si>
  <si>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</si>
  <si>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</si>
  <si>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</si>
  <si>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</si>
  <si>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</si>
  <si>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</si>
  <si>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</si>
  <si>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</si>
  <si>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</si>
  <si>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</si>
  <si>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</si>
  <si>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</si>
  <si>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</si>
  <si>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</si>
  <si>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</si>
  <si>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</si>
  <si>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</si>
  <si>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</si>
  <si>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</si>
  <si>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</si>
  <si>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</si>
  <si>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</si>
  <si>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</si>
  <si>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</si>
  <si>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</si>
  <si>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</si>
  <si>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</si>
  <si>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</si>
  <si>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</si>
  <si>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</si>
  <si>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</si>
  <si>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</si>
  <si>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</si>
  <si>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</si>
  <si>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</si>
  <si>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</si>
  <si>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</si>
  <si>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</si>
  <si>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</si>
  <si>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</si>
  <si>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</si>
  <si>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</si>
  <si>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</si>
  <si>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</si>
  <si>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</si>
  <si>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</si>
  <si>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</si>
  <si>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</si>
  <si>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</si>
  <si>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</si>
  <si>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</si>
  <si>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</si>
  <si>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</si>
  <si>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</si>
  <si>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</si>
  <si>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</si>
  <si>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</si>
  <si>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</si>
  <si>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</si>
  <si>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</si>
  <si>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</si>
  <si>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</si>
  <si>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</si>
  <si>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</si>
  <si>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</si>
  <si>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</si>
  <si>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</si>
  <si>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</si>
  <si>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</si>
  <si>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</si>
  <si>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</si>
  <si>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</si>
  <si>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</si>
  <si>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</si>
  <si>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</si>
  <si>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</si>
  <si>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</si>
  <si>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</si>
  <si>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</si>
  <si>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</si>
  <si>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</si>
  <si>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</si>
  <si>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</si>
  <si>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</si>
  <si>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</si>
  <si>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</si>
  <si>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</si>
  <si>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</si>
  <si>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</si>
  <si>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</si>
  <si>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</si>
  <si>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</si>
  <si>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</si>
  <si>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</si>
  <si>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</si>
  <si>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</si>
  <si>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</si>
  <si>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</si>
  <si>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</si>
  <si>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</si>
  <si>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</si>
  <si>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</si>
  <si>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</si>
  <si>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</si>
  <si>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</si>
  <si>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</si>
  <si>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</si>
  <si>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</si>
  <si>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</si>
  <si>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</si>
  <si>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</si>
  <si>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</si>
  <si>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</si>
  <si>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</si>
  <si>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</si>
  <si>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</si>
  <si>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</si>
  <si>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</si>
  <si>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</si>
  <si>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</si>
  <si>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</si>
  <si>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</si>
  <si>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</si>
  <si>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</si>
  <si>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</si>
  <si>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</si>
  <si>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</si>
  <si>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</si>
  <si>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</si>
  <si>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</si>
  <si>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</si>
  <si>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</si>
  <si>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</si>
  <si>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</si>
  <si>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</si>
  <si>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</si>
  <si>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</si>
  <si>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</si>
  <si>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</si>
  <si>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</si>
  <si>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</si>
  <si>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</si>
  <si>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</si>
  <si>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</si>
  <si>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</si>
  <si>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</si>
  <si>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</si>
  <si>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</si>
  <si>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</si>
  <si>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</si>
  <si>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</si>
  <si>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</si>
  <si>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</si>
  <si>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</si>
  <si>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</si>
  <si>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</si>
  <si>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</si>
  <si>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</si>
  <si>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</si>
  <si>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</si>
  <si>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</si>
  <si>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</si>
  <si>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</si>
  <si>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</si>
  <si>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</si>
  <si>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</si>
  <si>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</si>
  <si>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</si>
  <si>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</si>
  <si>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</si>
  <si>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</si>
  <si>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</si>
  <si>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</si>
  <si>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</si>
  <si>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</si>
  <si>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</si>
  <si>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</si>
  <si>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</si>
  <si>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</si>
  <si>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</si>
  <si>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</si>
  <si>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</si>
  <si>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</si>
  <si>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</si>
  <si>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</si>
  <si>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</si>
  <si>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</si>
  <si>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</si>
  <si>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</si>
  <si>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</si>
  <si>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</si>
  <si>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</si>
  <si>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</si>
  <si>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</si>
  <si>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</si>
  <si>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</si>
  <si>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</si>
  <si>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</si>
  <si>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</si>
  <si>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</si>
  <si>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</si>
  <si>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</si>
  <si>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</si>
  <si>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</si>
  <si>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</si>
  <si>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</si>
  <si>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</si>
  <si>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</si>
  <si>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</si>
  <si>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</si>
  <si>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</si>
  <si>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</si>
  <si>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</si>
  <si>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</si>
  <si>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</si>
  <si>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</si>
  <si>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</si>
  <si>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</si>
  <si>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</si>
  <si>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</si>
  <si>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</si>
  <si>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</si>
  <si>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</si>
  <si>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</si>
  <si>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</si>
  <si>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</si>
  <si>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</si>
  <si>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</si>
  <si>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</si>
  <si>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</si>
  <si>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</si>
  <si>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</si>
  <si>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</si>
  <si>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</si>
  <si>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</si>
  <si>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</si>
  <si>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</si>
  <si>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</si>
  <si>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</si>
  <si>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</si>
  <si>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</si>
  <si>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</si>
  <si>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</si>
  <si>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</si>
  <si>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</si>
  <si>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</si>
  <si>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</si>
  <si>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</si>
  <si>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</si>
  <si>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</si>
  <si>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</si>
  <si>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</si>
  <si>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</si>
  <si>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</si>
  <si>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</si>
  <si>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</si>
  <si>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</si>
  <si>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</si>
  <si>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</si>
  <si>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</si>
  <si>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</si>
  <si>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</si>
  <si>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</si>
  <si>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</si>
  <si>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</si>
  <si>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</si>
  <si>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</si>
  <si>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</si>
  <si>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</si>
  <si>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</si>
  <si>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</si>
  <si>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</si>
  <si>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</si>
  <si>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</si>
  <si>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</si>
  <si>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</si>
  <si>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</si>
  <si>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</si>
  <si>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</si>
  <si>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</si>
  <si>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</si>
  <si>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</si>
  <si>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</si>
  <si>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</si>
  <si>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</si>
  <si>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</si>
  <si>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</si>
  <si>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</si>
  <si>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</si>
  <si>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</si>
  <si>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</si>
  <si>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</si>
  <si>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</si>
  <si>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</si>
  <si>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</si>
  <si>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</si>
  <si>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</si>
  <si>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</si>
  <si>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</si>
  <si>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</si>
  <si>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</si>
  <si>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</si>
  <si>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</si>
  <si>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</si>
  <si>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</si>
  <si>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</si>
  <si>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</si>
  <si>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</si>
  <si>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</si>
  <si>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</si>
  <si>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</si>
  <si>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</si>
  <si>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</si>
  <si>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</si>
  <si>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</si>
  <si>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</si>
  <si>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</si>
  <si>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</si>
  <si>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</si>
  <si>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</si>
  <si>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</si>
  <si>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</si>
  <si>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</si>
  <si>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</si>
  <si>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</si>
  <si>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</si>
  <si>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</si>
  <si>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</si>
  <si>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</si>
  <si>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</si>
  <si>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</si>
  <si>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</si>
  <si>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</si>
  <si>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</si>
  <si>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</si>
  <si>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</si>
  <si>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</si>
  <si>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</si>
  <si>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</si>
  <si>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</si>
  <si>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</si>
  <si>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</si>
  <si>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</si>
  <si>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</si>
  <si>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</si>
  <si>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</si>
  <si>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</si>
  <si>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</si>
  <si>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</si>
  <si>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</si>
  <si>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</si>
  <si>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</si>
  <si>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</si>
  <si>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</si>
  <si>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</si>
  <si>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</si>
  <si>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</si>
  <si>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</si>
  <si>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</si>
  <si>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</si>
  <si>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</si>
  <si>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</si>
  <si>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</si>
  <si>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</si>
  <si>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</si>
  <si>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</si>
  <si>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</si>
  <si>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</si>
  <si>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</si>
  <si>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</si>
  <si>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</si>
  <si>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</si>
  <si>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</si>
  <si>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</si>
  <si>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</si>
  <si>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</si>
  <si>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</si>
  <si>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</si>
  <si>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</si>
  <si>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</si>
  <si>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</si>
  <si>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</si>
  <si>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</si>
  <si>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</si>
  <si>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</si>
  <si>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</si>
  <si>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</si>
  <si>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</si>
  <si>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</si>
  <si>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</si>
  <si>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</si>
  <si>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</si>
  <si>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</si>
  <si>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</si>
  <si>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</si>
  <si>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</si>
  <si>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</si>
  <si>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</si>
  <si>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</si>
  <si>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</si>
  <si>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</si>
  <si>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</si>
  <si>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</si>
  <si>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</si>
  <si>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</si>
  <si>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</si>
  <si>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</si>
  <si>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</si>
  <si>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</si>
  <si>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</si>
  <si>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</si>
  <si>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</si>
  <si>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</si>
  <si>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</si>
  <si>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</si>
  <si>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</si>
  <si>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</si>
  <si>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</si>
  <si>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</si>
  <si>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</si>
  <si>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</si>
  <si>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</si>
  <si>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</si>
  <si>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</si>
  <si>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</si>
  <si>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</si>
  <si>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</si>
  <si>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</si>
  <si>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</si>
  <si>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</si>
  <si>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</si>
  <si>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</si>
  <si>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</si>
  <si>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</si>
  <si>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</si>
  <si>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</si>
  <si>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</si>
  <si>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</si>
  <si>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</si>
  <si>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</si>
  <si>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</si>
  <si>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</si>
  <si>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</si>
  <si>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</si>
  <si>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</si>
  <si>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</si>
  <si>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</si>
  <si>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</si>
  <si>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</si>
  <si>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</si>
  <si>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</si>
  <si>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</si>
  <si>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</si>
  <si>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</si>
  <si>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</si>
  <si>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</si>
  <si>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</si>
  <si>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</si>
  <si>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</si>
  <si>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</si>
  <si>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</si>
  <si>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</si>
  <si>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</si>
  <si>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</si>
  <si>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</si>
  <si>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</si>
  <si>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</si>
  <si>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</si>
  <si>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</si>
  <si>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</si>
  <si>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</si>
  <si>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</si>
  <si>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</si>
  <si>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</si>
  <si>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</si>
  <si>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</si>
  <si>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</si>
  <si>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</si>
  <si>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</si>
  <si>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</si>
  <si>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</si>
  <si>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</si>
  <si>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</si>
  <si>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</si>
  <si>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</si>
  <si>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</si>
  <si>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</si>
  <si>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</si>
  <si>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</si>
  <si>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</si>
  <si>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</si>
  <si>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</si>
  <si>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</si>
  <si>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</si>
  <si>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</si>
  <si>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</si>
  <si>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</si>
  <si>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</si>
  <si>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</si>
  <si>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</si>
  <si>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</si>
  <si>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</si>
  <si>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</si>
  <si>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</si>
  <si>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</si>
  <si>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</si>
  <si>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</si>
  <si>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</si>
  <si>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</si>
  <si>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</si>
  <si>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</si>
  <si>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</si>
  <si>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</si>
  <si>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</si>
  <si>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</si>
  <si>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</si>
  <si>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</si>
  <si>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</si>
  <si>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</si>
  <si>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</si>
  <si>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</si>
  <si>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</si>
  <si>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</si>
  <si>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</si>
  <si>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</si>
  <si>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</si>
  <si>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</si>
  <si>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</si>
  <si>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</si>
  <si>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</si>
  <si>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</si>
  <si>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</si>
  <si>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</si>
  <si>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</si>
  <si>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</si>
  <si>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</si>
  <si>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</si>
  <si>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</si>
  <si>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</si>
  <si>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</si>
  <si>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</si>
  <si>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</si>
  <si>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</si>
  <si>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</si>
  <si>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</si>
  <si>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</si>
  <si>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</si>
  <si>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</si>
  <si>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</si>
  <si>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</si>
  <si>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</si>
  <si>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</si>
  <si>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</si>
  <si>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</si>
  <si>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</si>
  <si>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</si>
  <si>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</si>
  <si>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</si>
  <si>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</si>
  <si>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</si>
  <si>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</si>
  <si>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</si>
  <si>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</si>
  <si>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</si>
  <si>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</si>
  <si>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</si>
  <si>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</si>
  <si>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</si>
  <si>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</si>
  <si>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</si>
  <si>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</si>
  <si>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</si>
  <si>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</si>
  <si>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</si>
  <si>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</si>
  <si>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</si>
  <si>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</si>
  <si>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</si>
  <si>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</si>
  <si>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</si>
  <si>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</si>
  <si>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</si>
  <si>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</si>
  <si>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</si>
  <si>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</si>
  <si>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</si>
  <si>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</si>
  <si>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</si>
  <si>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</si>
  <si>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</si>
  <si>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</si>
  <si>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</si>
  <si>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</si>
  <si>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</si>
  <si>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</si>
  <si>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</si>
  <si>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</si>
  <si>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</si>
  <si>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</si>
  <si>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</si>
  <si>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</si>
  <si>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</si>
  <si>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</si>
  <si>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</si>
  <si>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</si>
  <si>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</si>
  <si>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</si>
  <si>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</si>
  <si>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</si>
  <si>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</si>
  <si>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</si>
  <si>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</si>
  <si>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</si>
  <si>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</si>
  <si>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</si>
  <si>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</si>
  <si>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</si>
  <si>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</si>
  <si>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</si>
  <si>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</si>
  <si>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</si>
  <si>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</si>
  <si>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</si>
  <si>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</si>
  <si>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</si>
  <si>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</si>
  <si>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</si>
  <si>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</si>
  <si>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</si>
  <si>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</si>
  <si>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</si>
  <si>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</si>
  <si>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</si>
  <si>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</si>
  <si>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</si>
  <si>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</si>
  <si>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</si>
  <si>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</si>
  <si>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</si>
  <si>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</si>
  <si>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</si>
  <si>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</si>
  <si>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</si>
  <si>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</si>
  <si>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</si>
  <si>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</si>
  <si>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</si>
  <si>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</si>
  <si>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</si>
  <si>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</si>
  <si>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</si>
  <si>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</si>
  <si>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</si>
  <si>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</si>
  <si>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</si>
  <si>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</si>
  <si>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</si>
  <si>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</si>
  <si>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</si>
  <si>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</si>
  <si>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</si>
  <si>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</si>
  <si>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</si>
  <si>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</si>
  <si>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</si>
  <si>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</si>
  <si>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</si>
  <si>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</si>
  <si>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</si>
  <si>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</si>
  <si>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</si>
  <si>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</si>
  <si>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</si>
  <si>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</si>
  <si>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</si>
  <si>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</si>
  <si>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</si>
  <si>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</si>
  <si>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</si>
  <si>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</si>
  <si>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</si>
  <si>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</si>
  <si>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</si>
  <si>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</si>
  <si>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</si>
  <si>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</si>
  <si>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</si>
  <si>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</si>
  <si>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</si>
  <si>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</si>
  <si>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</si>
  <si>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</si>
  <si>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</si>
  <si>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</si>
  <si>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</si>
  <si>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</si>
  <si>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</si>
  <si>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</si>
  <si>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</si>
  <si>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</si>
  <si>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</si>
  <si>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</si>
  <si>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</si>
  <si>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</si>
  <si>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</si>
  <si>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</si>
  <si>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</si>
  <si>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</si>
  <si>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</si>
  <si>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</si>
  <si>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</si>
  <si>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</si>
  <si>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</si>
  <si>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</si>
  <si>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</si>
  <si>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</si>
  <si>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</si>
  <si>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</si>
  <si>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</si>
  <si>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</si>
  <si>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</si>
  <si>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</si>
  <si>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</si>
  <si>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</si>
  <si>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</si>
  <si>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</si>
  <si>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</si>
  <si>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</si>
  <si>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</si>
  <si>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</si>
  <si>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</si>
  <si>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</si>
  <si>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</si>
  <si>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</si>
  <si>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</si>
  <si>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</si>
  <si>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</si>
  <si>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</si>
  <si>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</si>
  <si>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</si>
  <si>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</si>
  <si>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</si>
  <si>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</si>
  <si>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</si>
  <si>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</si>
  <si>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</si>
  <si>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</si>
  <si>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</si>
  <si>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</si>
  <si>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</si>
  <si>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</si>
  <si>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</si>
  <si>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</si>
  <si>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</si>
  <si>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</si>
  <si>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</si>
  <si>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</si>
  <si>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</si>
  <si>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</si>
  <si>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</si>
  <si>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</si>
  <si>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</si>
  <si>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</si>
  <si>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</si>
  <si>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</si>
  <si>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</si>
  <si>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</si>
  <si>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</si>
  <si>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</si>
  <si>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</si>
  <si>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</si>
  <si>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</si>
  <si>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</si>
  <si>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</si>
  <si>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</si>
  <si>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</si>
  <si>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</si>
  <si>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</si>
  <si>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</si>
  <si>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</si>
  <si>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</si>
  <si>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</si>
  <si>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</si>
  <si>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</si>
  <si>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</si>
  <si>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</si>
  <si>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</si>
  <si>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</si>
  <si>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</si>
  <si>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</si>
  <si>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</si>
  <si>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</si>
  <si>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</si>
  <si>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</si>
  <si>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</si>
  <si>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</si>
  <si>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</si>
  <si>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</si>
  <si>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</si>
  <si>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</si>
  <si>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</si>
  <si>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</si>
  <si>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</si>
  <si>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</si>
  <si>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</si>
  <si>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</si>
  <si>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</si>
  <si>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</si>
  <si>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</si>
  <si>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</si>
  <si>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</si>
  <si>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</si>
  <si>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</si>
  <si>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</si>
  <si>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</si>
  <si>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</si>
  <si>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</si>
  <si>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</si>
  <si>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</si>
  <si>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</si>
  <si>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</si>
  <si>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</si>
  <si>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</si>
  <si>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</si>
  <si>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</si>
  <si>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</si>
  <si>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</si>
  <si>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</si>
  <si>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</si>
  <si>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</si>
  <si>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</si>
  <si>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</si>
  <si>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</si>
  <si>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</si>
  <si>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</si>
  <si>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</si>
  <si>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</si>
  <si>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</si>
  <si>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</si>
  <si>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</si>
  <si>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</si>
  <si>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</si>
  <si>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</si>
  <si>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</si>
  <si>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</si>
  <si>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</si>
  <si>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</si>
  <si>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</si>
  <si>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</si>
  <si>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</si>
  <si>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</si>
  <si>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</si>
  <si>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</si>
  <si>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</si>
  <si>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</si>
  <si>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</si>
  <si>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</si>
  <si>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</si>
  <si>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</si>
  <si>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</si>
  <si>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</si>
  <si>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</si>
  <si>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</si>
  <si>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</si>
  <si>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</si>
  <si>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</si>
  <si>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</si>
  <si>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</si>
  <si>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</si>
  <si>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</si>
  <si>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</si>
  <si>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</si>
  <si>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</si>
  <si>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</si>
  <si>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</si>
  <si>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</si>
  <si>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</si>
  <si>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</si>
  <si>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</si>
  <si>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</si>
  <si>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</si>
  <si>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</si>
  <si>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</si>
  <si>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</si>
  <si>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</si>
  <si>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</si>
  <si>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</si>
  <si>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</si>
  <si>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</si>
  <si>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</si>
  <si>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</si>
  <si>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</si>
  <si>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</si>
  <si>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</si>
  <si>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</si>
  <si>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</si>
  <si>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</si>
  <si>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</si>
  <si>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</si>
  <si>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</si>
  <si>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</si>
  <si>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</si>
  <si>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</si>
  <si>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</si>
  <si>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</si>
  <si>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</si>
  <si>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</si>
  <si>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</si>
  <si>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</si>
  <si>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</si>
  <si>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</si>
  <si>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</si>
  <si>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</si>
  <si>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</si>
  <si>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</si>
  <si>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</si>
  <si>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</si>
  <si>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</si>
  <si>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</si>
  <si>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</si>
  <si>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</si>
  <si>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</si>
  <si>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</si>
  <si>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</si>
  <si>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</si>
  <si>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</si>
  <si>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</si>
  <si>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</si>
  <si>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</si>
  <si>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</si>
  <si>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</si>
  <si>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</si>
  <si>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</si>
  <si>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</si>
  <si>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</si>
  <si>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</si>
  <si>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</si>
  <si>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</si>
  <si>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</si>
  <si>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</si>
  <si>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</si>
  <si>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</si>
  <si>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</si>
  <si>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</si>
  <si>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</si>
  <si>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</si>
  <si>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</si>
  <si>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</si>
  <si>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</si>
  <si>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</si>
  <si>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</si>
  <si>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</si>
  <si>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</si>
  <si>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</si>
  <si>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</si>
  <si>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</si>
  <si>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</si>
  <si>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</si>
  <si>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</si>
  <si>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</si>
  <si>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</si>
  <si>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</si>
  <si>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</si>
  <si>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</si>
  <si>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</si>
  <si>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</si>
  <si>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</si>
  <si>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</si>
  <si>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</si>
  <si>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</si>
  <si>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</si>
  <si>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</si>
  <si>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</si>
  <si>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</si>
  <si>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</si>
  <si>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</si>
  <si>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</si>
  <si>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</si>
  <si>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</si>
  <si>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</si>
  <si>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</si>
  <si>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</si>
  <si>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</si>
  <si>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</si>
  <si>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</si>
  <si>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</si>
  <si>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</si>
  <si>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</si>
  <si>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</si>
  <si>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</si>
  <si>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</si>
  <si>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</si>
  <si>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</si>
  <si>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</si>
  <si>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</si>
  <si>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</si>
  <si>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</si>
  <si>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</si>
  <si>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</si>
  <si>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</si>
  <si>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</si>
  <si>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</si>
  <si>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</si>
  <si>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</si>
  <si>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</si>
  <si>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</si>
  <si>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</si>
  <si>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</si>
  <si>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</si>
  <si>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</si>
  <si>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</si>
  <si>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</si>
  <si>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</si>
  <si>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</si>
  <si>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</si>
  <si>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</si>
  <si>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</si>
  <si>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</si>
  <si>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</si>
  <si>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</si>
  <si>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</si>
  <si>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</si>
  <si>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</si>
  <si>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</si>
  <si>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</si>
  <si>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</si>
  <si>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</si>
  <si>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</si>
  <si>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</si>
  <si>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</si>
  <si>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</si>
  <si>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</si>
  <si>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</si>
  <si>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</si>
  <si>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</si>
  <si>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</si>
  <si>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</si>
  <si>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</si>
  <si>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</si>
  <si>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</si>
  <si>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</si>
  <si>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</si>
  <si>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</si>
  <si>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</si>
  <si>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</si>
  <si>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</si>
  <si>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</si>
  <si>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</si>
  <si>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</si>
  <si>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</si>
  <si>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</si>
  <si>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</si>
  <si>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</si>
  <si>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</si>
  <si>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</si>
  <si>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</si>
  <si>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</si>
  <si>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</si>
  <si>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</si>
  <si>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</si>
  <si>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</si>
  <si>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</si>
  <si>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</si>
  <si>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</si>
  <si>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</si>
  <si>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</si>
  <si>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</si>
  <si>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</si>
  <si>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</si>
  <si>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</si>
  <si>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</si>
  <si>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</si>
  <si>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</si>
  <si>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</si>
  <si>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</si>
  <si>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</si>
  <si>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</si>
  <si>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</si>
  <si>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</si>
  <si>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</si>
  <si>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</si>
  <si>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</si>
  <si>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</si>
  <si>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</si>
  <si>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</si>
  <si>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</si>
  <si>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</si>
  <si>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</si>
  <si>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</si>
  <si>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</si>
  <si>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</si>
  <si>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</si>
  <si>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</si>
  <si>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</si>
  <si>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</si>
  <si>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</si>
  <si>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</si>
  <si>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</si>
  <si>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</si>
  <si>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</si>
  <si>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</si>
  <si>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</si>
  <si>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</si>
  <si>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</si>
  <si>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</si>
  <si>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</si>
  <si>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</si>
  <si>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</si>
  <si>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</si>
  <si>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</si>
  <si>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</si>
  <si>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</si>
  <si>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</si>
  <si>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</si>
  <si>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</si>
  <si>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</si>
  <si>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</si>
  <si>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</si>
  <si>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</si>
  <si>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</si>
  <si>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</si>
  <si>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</si>
  <si>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</si>
  <si>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</si>
  <si>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</si>
  <si>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</si>
  <si>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</si>
  <si>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</si>
  <si>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</si>
  <si>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</si>
  <si>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</si>
  <si>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</si>
  <si>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</si>
  <si>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</si>
  <si>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</si>
  <si>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</si>
  <si>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</si>
  <si>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</si>
  <si>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</si>
  <si>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</si>
  <si>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</si>
  <si>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</si>
  <si>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</si>
  <si>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</si>
  <si>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</si>
  <si>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</si>
  <si>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</si>
  <si>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</si>
  <si>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</si>
  <si>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</si>
  <si>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</si>
  <si>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</si>
  <si>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</si>
  <si>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</si>
  <si>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</si>
  <si>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</si>
  <si>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</si>
  <si>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</si>
  <si>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</si>
  <si>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</si>
  <si>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</si>
  <si>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</si>
  <si>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</si>
  <si>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</si>
  <si>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</si>
  <si>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</si>
  <si>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</si>
  <si>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</si>
  <si>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</si>
  <si>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</si>
  <si>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</si>
  <si>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</si>
  <si>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</si>
  <si>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</si>
  <si>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</si>
  <si>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</si>
  <si>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</si>
  <si>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</si>
  <si>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</si>
  <si>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</si>
  <si>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</si>
  <si>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</si>
  <si>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</si>
  <si>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</si>
  <si>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</si>
  <si>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</si>
  <si>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</si>
  <si>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</si>
  <si>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</si>
  <si>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</si>
  <si>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</si>
  <si>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</si>
  <si>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</si>
  <si>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</si>
  <si>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</si>
  <si>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</si>
  <si>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</si>
  <si>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</si>
  <si>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</si>
  <si>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</si>
  <si>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</si>
  <si>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</si>
  <si>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</si>
  <si>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</si>
  <si>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</si>
  <si>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</si>
  <si>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</si>
  <si>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</si>
  <si>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</si>
  <si>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</si>
  <si>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</si>
  <si>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</si>
  <si>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</si>
  <si>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</si>
  <si>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</si>
  <si>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</si>
  <si>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</si>
  <si>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</si>
  <si>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</si>
  <si>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</si>
  <si>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</si>
  <si>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</si>
  <si>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</si>
  <si>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</si>
  <si>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</si>
  <si>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</si>
  <si>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</si>
  <si>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</si>
  <si>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</si>
  <si>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</si>
  <si>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</si>
  <si>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</si>
  <si>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</si>
  <si>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</si>
  <si>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</si>
  <si>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</si>
  <si>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</si>
  <si>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</si>
  <si>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</si>
  <si>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</si>
  <si>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</si>
  <si>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</si>
  <si>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</si>
  <si>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</si>
  <si>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</si>
  <si>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</si>
  <si>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</si>
  <si>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</si>
  <si>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</si>
  <si>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</si>
  <si>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</si>
  <si>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</si>
  <si>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</si>
  <si>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</si>
  <si>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</si>
  <si>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</si>
  <si>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</si>
  <si>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</si>
  <si>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</si>
  <si>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</si>
  <si>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</si>
  <si>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</si>
  <si>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</si>
  <si>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</si>
  <si>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</si>
  <si>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</si>
  <si>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</si>
  <si>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</si>
  <si>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</si>
  <si>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</si>
  <si>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</si>
  <si>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</si>
  <si>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</si>
  <si>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</si>
  <si>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</si>
  <si>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</si>
  <si>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</si>
  <si>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</si>
  <si>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</si>
  <si>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</si>
  <si>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</si>
  <si>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</si>
  <si>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</si>
  <si>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</si>
  <si>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</si>
  <si>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</si>
  <si>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</si>
  <si>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</si>
  <si>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</si>
  <si>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</si>
  <si>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</si>
  <si>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</si>
  <si>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</si>
  <si>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</si>
  <si>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</si>
  <si>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</si>
  <si>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</si>
  <si>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</si>
  <si>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</si>
  <si>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</si>
  <si>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</si>
  <si>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</si>
  <si>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</si>
  <si>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</si>
  <si>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</si>
  <si>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</si>
  <si>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</si>
  <si>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</si>
  <si>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</si>
  <si>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</si>
  <si>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</si>
  <si>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</si>
  <si>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</si>
  <si>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</si>
  <si>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</si>
  <si>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</si>
  <si>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</si>
  <si>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</si>
  <si>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</si>
  <si>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</si>
  <si>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</si>
  <si>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</si>
  <si>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</si>
  <si>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</si>
  <si>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</si>
  <si>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</si>
  <si>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</si>
  <si>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</si>
  <si>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</si>
  <si>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</si>
  <si>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</si>
  <si>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</si>
  <si>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</si>
  <si>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</si>
  <si>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</si>
  <si>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</si>
  <si>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</si>
  <si>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</si>
  <si>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</si>
  <si>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</si>
  <si>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</si>
  <si>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</si>
  <si>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</si>
  <si>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</si>
  <si>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</si>
  <si>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</si>
  <si>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</si>
  <si>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</si>
  <si>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</si>
  <si>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</si>
  <si>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</si>
  <si>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</si>
  <si>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</si>
  <si>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</si>
  <si>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</si>
  <si>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</si>
  <si>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</si>
  <si>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</si>
  <si>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</si>
  <si>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</si>
  <si>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</si>
  <si>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</si>
  <si>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</si>
  <si>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</si>
  <si>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</si>
  <si>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</si>
  <si>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</si>
  <si>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</si>
  <si>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</si>
  <si>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</si>
  <si>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</si>
  <si>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</si>
  <si>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</si>
  <si>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</si>
  <si>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</si>
  <si>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</si>
  <si>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</si>
  <si>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</si>
  <si>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</si>
  <si>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</si>
  <si>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</si>
  <si>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</si>
  <si>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</si>
  <si>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</si>
  <si>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</si>
  <si>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</si>
  <si>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</si>
  <si>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</si>
  <si>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</si>
  <si>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</si>
  <si>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</si>
  <si>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</si>
  <si>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</si>
  <si>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</si>
  <si>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</si>
  <si>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</si>
  <si>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</si>
  <si>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</si>
  <si>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</si>
  <si>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</si>
  <si>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</si>
  <si>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</si>
  <si>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</si>
  <si>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</si>
  <si>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</si>
  <si>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</si>
  <si>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</si>
  <si>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</si>
  <si>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</si>
  <si>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</si>
  <si>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</si>
  <si>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</si>
  <si>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</si>
  <si>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</si>
  <si>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</si>
  <si>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</si>
  <si>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</si>
  <si>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</si>
  <si>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</si>
  <si>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</si>
  <si>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</si>
  <si>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</si>
  <si>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</si>
  <si>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</si>
  <si>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</si>
  <si>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</si>
  <si>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</si>
  <si>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</si>
  <si>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</si>
  <si>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</si>
  <si>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</si>
  <si>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</si>
  <si>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</si>
  <si>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</si>
  <si>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</si>
  <si>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</si>
  <si>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</si>
  <si>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</si>
  <si>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</si>
  <si>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</si>
  <si>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</si>
  <si>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</si>
  <si>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</si>
  <si>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</si>
  <si>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</si>
  <si>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</si>
  <si>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</si>
  <si>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</si>
  <si>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</si>
  <si>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</si>
  <si>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</si>
  <si>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</si>
  <si>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</si>
  <si>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</si>
  <si>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</si>
  <si>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</si>
  <si>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</si>
  <si>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</si>
  <si>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</si>
  <si>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</si>
  <si>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</si>
  <si>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</si>
  <si>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</si>
  <si>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</si>
  <si>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</si>
  <si>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</si>
  <si>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</si>
  <si>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</si>
  <si>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</si>
  <si>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</si>
  <si>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</si>
  <si>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</si>
  <si>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</si>
  <si>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</si>
  <si>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</si>
  <si>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</si>
  <si>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</si>
  <si>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</si>
  <si>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</si>
  <si>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</si>
  <si>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</si>
  <si>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</si>
  <si>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</si>
  <si>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</si>
  <si>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</si>
  <si>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</si>
  <si>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</si>
  <si>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</si>
  <si>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</si>
  <si>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</si>
  <si>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</si>
  <si>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</si>
  <si>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</si>
  <si>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</si>
  <si>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</si>
  <si>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</si>
  <si>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</si>
  <si>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</si>
  <si>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</si>
  <si>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</si>
  <si>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</si>
  <si>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</si>
  <si>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</si>
  <si>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</si>
  <si>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</si>
  <si>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</si>
  <si>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</si>
  <si>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</si>
  <si>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</si>
  <si>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</si>
  <si>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</si>
  <si>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</si>
  <si>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</si>
  <si>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</si>
  <si>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</si>
  <si>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</si>
  <si>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</si>
  <si>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Lawrence, Crawford</t>
  </si>
  <si>
    <t>1250 JUDY AVE</t>
  </si>
  <si>
    <t>BRIDGEPORT</t>
  </si>
  <si>
    <t>kraldridge@cusd10.org</t>
  </si>
  <si>
    <t>Kemper CPA Group LLP</t>
  </si>
  <si>
    <t>Curt Benson</t>
  </si>
  <si>
    <t>802 Old Wheatland Road</t>
  </si>
  <si>
    <t>Vincennes</t>
  </si>
  <si>
    <t>IN</t>
  </si>
  <si>
    <t>812-882-7730</t>
  </si>
  <si>
    <t>812-882-7778</t>
  </si>
  <si>
    <t>065-029936</t>
  </si>
  <si>
    <t>cbenson@kempercpa.com</t>
  </si>
  <si>
    <t>Jakie Walker</t>
  </si>
  <si>
    <t>jwalker@cusd10.org</t>
  </si>
  <si>
    <t>618-945-2061</t>
  </si>
  <si>
    <t>618-945-7067</t>
  </si>
  <si>
    <t>Monte Newlin</t>
  </si>
  <si>
    <t>mnewlin@row12.org</t>
  </si>
  <si>
    <t>618-392-4631</t>
  </si>
  <si>
    <t>618-392-3993</t>
  </si>
  <si>
    <t>Citizens National Bank of Albion</t>
  </si>
  <si>
    <t>Note Payable</t>
  </si>
  <si>
    <t>Education - Board of Education - Audit/Finance</t>
  </si>
  <si>
    <t>Outside Services: Outsourced to third party</t>
  </si>
  <si>
    <t>Southeastern Special Education (see below)</t>
  </si>
  <si>
    <t>Lawrence County CUSD #20; Richland Co CUSD #1</t>
  </si>
  <si>
    <t xml:space="preserve">Lawrence County CUSD #20 </t>
  </si>
  <si>
    <t>Line 26 includes school districts within the counties of Clay, Crawford, Jasper, Lawrence, and Richland.</t>
  </si>
  <si>
    <t>CHILD NUTRITION CLUSTER
U.S. Department of Agriculture</t>
  </si>
  <si>
    <t xml:space="preserve">   Pass Through From Illinois State Board of 
   Education:</t>
  </si>
  <si>
    <t xml:space="preserve">     TOTAL U.S. DEPARTMENT OF AGRICULTURE</t>
  </si>
  <si>
    <t xml:space="preserve">     TOTAL CHILD NUTRITION CLUSTER</t>
  </si>
  <si>
    <t>2020-4210</t>
  </si>
  <si>
    <t>2019-4210</t>
  </si>
  <si>
    <t>2020-4215</t>
  </si>
  <si>
    <t>2019-4215</t>
  </si>
  <si>
    <t>2020-4220</t>
  </si>
  <si>
    <t>2019-4220</t>
  </si>
  <si>
    <t>N/A</t>
  </si>
  <si>
    <t>2020-4225</t>
  </si>
  <si>
    <t>MEDICAID CLUSTER
U.S. Department of Health &amp; Human Services</t>
  </si>
  <si>
    <t xml:space="preserve">  Pass Through From Illinois Dept of Healthcare &amp; Family Services:</t>
  </si>
  <si>
    <t xml:space="preserve">    Medicaid Matching - Admin Outreach</t>
  </si>
  <si>
    <t xml:space="preserve">      TOTAL U.S. DEPARTMENT OF HEALTH &amp; 
      HUMAN SERVICES</t>
  </si>
  <si>
    <t xml:space="preserve">     TOTAL MEDICAID CLUSTER</t>
  </si>
  <si>
    <t>2020-4910</t>
  </si>
  <si>
    <t>SPECIAL EDUCATION (IDEA) CLUSTER
U.S. Department of Education</t>
  </si>
  <si>
    <t xml:space="preserve">  Pass Through From Illinois State Board of
  Education:</t>
  </si>
  <si>
    <t xml:space="preserve">    Special Ed Room/Board</t>
  </si>
  <si>
    <t xml:space="preserve">      TOTAL U.S. DEPARTMENT OF EDUCATION</t>
  </si>
  <si>
    <t xml:space="preserve">      TOTAL SPECIAL EDUCATION (IDEA) CLUSTER</t>
  </si>
  <si>
    <t xml:space="preserve">    Special Ed - IDEA Flow Through</t>
  </si>
  <si>
    <t>84.027A</t>
  </si>
  <si>
    <t>2020-4625</t>
  </si>
  <si>
    <t>2019-4625</t>
  </si>
  <si>
    <t>84.173A</t>
  </si>
  <si>
    <t>2020-4600</t>
  </si>
  <si>
    <t>2020-4620</t>
  </si>
  <si>
    <t xml:space="preserve">    Special Ed - Pre-school Flow Through</t>
  </si>
  <si>
    <t>OTHER PROGRAMS
U.S. Department of Education</t>
  </si>
  <si>
    <t xml:space="preserve">    Title II - Teacher Quality</t>
  </si>
  <si>
    <t xml:space="preserve">  Pass Through From Twin Rivers:</t>
  </si>
  <si>
    <t xml:space="preserve">    Career &amp; Technical Ed - Perkins</t>
  </si>
  <si>
    <t xml:space="preserve">      TOTAL OTHER PROGRAMS</t>
  </si>
  <si>
    <t>GRAND TOTAL</t>
  </si>
  <si>
    <t>84.367A</t>
  </si>
  <si>
    <t>2020-4300</t>
  </si>
  <si>
    <t>2019-4300</t>
  </si>
  <si>
    <t>2020-4932</t>
  </si>
  <si>
    <t>2019-4932</t>
  </si>
  <si>
    <t>The District does not have any individual staff with the necessary knowledge and expertise to properly prepare the notes to the financial statements in accordance with the financial reporting provisions of the Illinois State Board of Education.</t>
  </si>
  <si>
    <t>In the absence of the necessary knowledge and expertise, the District must rely on the independent contractor to prepare the notes to the financial statements.</t>
  </si>
  <si>
    <t>The District cannot prepare the notes to the financial statements in accordance with the financial reporting provisions of the Illinois State Board of Education.</t>
  </si>
  <si>
    <t>The District personnel have not obtained the necessary knowledge or expertise.</t>
  </si>
  <si>
    <t>The District should provide the necessary training to the personnel or contract with an independent contractor with the knowledge to properly prepare the financial statement notes.</t>
  </si>
  <si>
    <t>The District does not intend to correct the finding in the next fiscal year and will continue to contract with an independent contractor to prepare the financial statement notes for their review and approval.</t>
  </si>
  <si>
    <t>2019-001</t>
  </si>
  <si>
    <t xml:space="preserve">The District doesn't have the personnel capable of drafting its own financial statements (ISBE Annual Financial Report and Notes). </t>
  </si>
  <si>
    <t>Repeated as finding in 2020-001</t>
  </si>
  <si>
    <t>Education</t>
  </si>
  <si>
    <t>Operations</t>
  </si>
  <si>
    <t>Municipal Retirement &amp; Social Security</t>
  </si>
  <si>
    <t>Employer Contrib-FICA-Lunch $970, Employer Contrib-Medi-Lunch $1</t>
  </si>
  <si>
    <t>Page 11; Line 107, Other Local Revenues, Column 20; Other $50,000</t>
  </si>
  <si>
    <t xml:space="preserve">    Title IVA - Student Support &amp; Academic Enrichment</t>
  </si>
  <si>
    <t>2020-4400</t>
  </si>
  <si>
    <r>
      <t xml:space="preserve">    Title I - Low Income </t>
    </r>
    <r>
      <rPr>
        <b/>
        <sz val="8"/>
        <rFont val="Calibri"/>
        <family val="2"/>
        <scheme val="minor"/>
      </rPr>
      <t>(M)</t>
    </r>
  </si>
  <si>
    <r>
      <t xml:space="preserve">    National School Lunch </t>
    </r>
    <r>
      <rPr>
        <b/>
        <sz val="8"/>
        <rFont val="Calibri"/>
        <family val="2"/>
        <scheme val="minor"/>
      </rPr>
      <t>(M)</t>
    </r>
  </si>
  <si>
    <r>
      <t xml:space="preserve">      Special Milk Program </t>
    </r>
    <r>
      <rPr>
        <b/>
        <sz val="8"/>
        <rFont val="Calibri"/>
        <family val="2"/>
        <scheme val="minor"/>
      </rPr>
      <t>(M)</t>
    </r>
  </si>
  <si>
    <r>
      <t xml:space="preserve">     Special Milk Program </t>
    </r>
    <r>
      <rPr>
        <b/>
        <sz val="8"/>
        <rFont val="Calibri"/>
        <family val="2"/>
        <scheme val="minor"/>
      </rPr>
      <t>(M)</t>
    </r>
  </si>
  <si>
    <r>
      <t xml:space="preserve">    School Breakfast Program </t>
    </r>
    <r>
      <rPr>
        <b/>
        <sz val="8"/>
        <rFont val="Calibri"/>
        <family val="2"/>
        <scheme val="minor"/>
      </rPr>
      <t>(M)</t>
    </r>
  </si>
  <si>
    <r>
      <t xml:space="preserve">    Summer Food Service Program </t>
    </r>
    <r>
      <rPr>
        <b/>
        <sz val="8"/>
        <rFont val="Calibri"/>
        <family val="2"/>
        <scheme val="minor"/>
      </rPr>
      <t>(M)</t>
    </r>
  </si>
  <si>
    <r>
      <t xml:space="preserve">    Non-cash Food Commodities </t>
    </r>
    <r>
      <rPr>
        <b/>
        <sz val="8"/>
        <rFont val="Calibri"/>
        <family val="2"/>
        <scheme val="minor"/>
      </rPr>
      <t>(M)</t>
    </r>
  </si>
  <si>
    <r>
      <t xml:space="preserve">    Non-cash DoD Fruits &amp; Veg </t>
    </r>
    <r>
      <rPr>
        <b/>
        <sz val="8"/>
        <rFont val="Calibri"/>
        <family val="2"/>
        <scheme val="minor"/>
      </rPr>
      <t>(M)</t>
    </r>
  </si>
  <si>
    <r>
      <t xml:space="preserve">The accompanying Schedule of Expenditures of Federal Awards includes the federal grant activity of </t>
    </r>
    <r>
      <rPr>
        <b/>
        <sz val="9"/>
        <rFont val="Calibri"/>
        <family val="2"/>
        <scheme val="minor"/>
      </rPr>
      <t>Red Hill Community Unit School District No. 10</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</si>
  <si>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Red Hill Community Unit School District No. 10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</si>
  <si>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Red Hill Community Unit School District No. 10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</si>
  <si>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</si>
  <si>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 Grants to Local Educational Agencies</t>
  </si>
  <si>
    <t>10.555 &amp; 10.553</t>
  </si>
  <si>
    <t>Child Nutrition Cluster</t>
  </si>
  <si>
    <t>See Auditor's Report.</t>
  </si>
  <si>
    <t>Pg. 16; Line 83; Other Payments to In-State Govt Units; Purchased Services; Tuition to Other District $528</t>
  </si>
  <si>
    <t xml:space="preserve">Page 19; Line 237; Other Support Services - Pupils; Employee Benefits; Employer Contrib-IMRF-Lunch $152, </t>
  </si>
  <si>
    <t>Pg. 5; Line 12; Other Current Assets - Due From TRS $55,444</t>
  </si>
  <si>
    <t>Pg. 12; Line 168; State Sources; State Library Grants $750; Other Revenue From State Sources; Other State Sources $39,525</t>
  </si>
  <si>
    <t>Pg. 15; Line 41; Other Support Services-Pupils; Salaries; Lunch Duty-Salary $22,047</t>
  </si>
  <si>
    <t xml:space="preserve">Pg. 15; Line 41; Other Support Services-Pupils; Salaries; Lunch Duty-TRS $144  </t>
  </si>
  <si>
    <t xml:space="preserve">Pg. 10; Line 72; Sales to Pupils - Other; Sales-Pupils-Milk-Sumner $360, Sales-Pupils-Milk-BGS $49 </t>
  </si>
  <si>
    <t>Pg. 10; Line 81; Other District/School Activity Revenue, Other Pupil Activities $35</t>
  </si>
  <si>
    <t>Pg. 11; Line 107; Other Local Revenues, Other Revenue $28,324</t>
  </si>
  <si>
    <t>Page 11; Line 107, Other Local Revenues, Other Revenue $5,495</t>
  </si>
  <si>
    <t>Page 11; Line 107, Other Local Revenues, Other Revenue $446</t>
  </si>
  <si>
    <t>Schedule of Restricted Receipts</t>
  </si>
  <si>
    <t>Page 25; Line 22; Other Disbursements: Adjust balance to actual $288,314</t>
  </si>
  <si>
    <t>Pg. 11; line 106; Other Local Fees; Student Athletic Fees $14,605</t>
  </si>
  <si>
    <t>Pg. 13; Line 220; CTE Other; Federal Perkins Grant Revenue $16,523</t>
  </si>
  <si>
    <t>Red Hill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</si>
</sst>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4" fillId="0" borderId="22" xfId="3" applyNumberFormat="1" applyFont="1" applyBorder="1" applyAlignment="1" applyProtection="1">
      <alignment horizontal="left" vertical="center" wrapText="1"/>
      <protection locked="0"/>
    </xf>
    <xf numFmtId="3" fontId="62" fillId="0" borderId="196" xfId="3" applyNumberFormat="1" applyFont="1" applyBorder="1" applyAlignment="1" applyProtection="1">
      <alignment horizontal="center" shrinkToFit="1"/>
      <protection locked="0"/>
    </xf>
    <xf numFmtId="3" fontId="62" fillId="0" borderId="45" xfId="3" applyNumberFormat="1" applyFont="1" applyBorder="1" applyAlignment="1" applyProtection="1">
      <alignment horizontal="center" shrinkToFit="1"/>
      <protection locked="0"/>
    </xf>
    <xf numFmtId="3" fontId="62" fillId="0" borderId="197" xfId="3" applyNumberFormat="1" applyFont="1" applyBorder="1" applyAlignment="1" applyProtection="1">
      <alignment horizontal="center" shrinkToFit="1"/>
      <protection locked="0"/>
    </xf>
    <xf numFmtId="0" fontId="57" fillId="0" borderId="0" xfId="3" applyFont="1" applyBorder="1" applyAlignment="1" applyProtection="1">
      <alignment wrapText="1"/>
      <protection locked="0"/>
    </xf>
    <xf numFmtId="0" fontId="57" fillId="0" borderId="0" xfId="3" applyFont="1" applyBorder="1" applyAlignment="1" applyProtection="1">
      <alignment horizontal="center" vertical="top"/>
      <protection locked="0"/>
    </xf>
    <xf numFmtId="179" fontId="57" fillId="0" borderId="0" xfId="3" applyNumberFormat="1" applyFont="1" applyBorder="1" applyAlignment="1" applyProtection="1">
      <alignment horizontal="center" vertical="top"/>
      <protection locked="0"/>
    </xf>
    <xf numFmtId="0" fontId="65" fillId="0" borderId="78" xfId="0" applyFont="1" applyBorder="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wrapText="1"/>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1</xdr:row>
          <xdr:rowOff>47625</xdr:rowOff>
        </xdr:from>
        <xdr:to>
          <xdr:col>1</xdr:col>
          <xdr:colOff>1019175</xdr:colOff>
          <xdr:row>5</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6</xdr:row>
          <xdr:rowOff>95250</xdr:rowOff>
        </xdr:from>
        <xdr:to>
          <xdr:col>1</xdr:col>
          <xdr:colOff>1019175</xdr:colOff>
          <xdr:row>10</xdr:row>
          <xdr:rowOff>133350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1</xdr:row>
          <xdr:rowOff>47625</xdr:rowOff>
        </xdr:from>
        <xdr:to>
          <xdr:col>1</xdr:col>
          <xdr:colOff>2076450</xdr:colOff>
          <xdr:row>5</xdr:row>
          <xdr:rowOff>85725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1171575</xdr:colOff>
          <xdr:row>6</xdr:row>
          <xdr:rowOff>104775</xdr:rowOff>
        </xdr:from>
        <xdr:to>
          <xdr:col>1</xdr:col>
          <xdr:colOff>2085975</xdr:colOff>
          <xdr:row>10</xdr:row>
          <xdr:rowOff>142875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2257425</xdr:colOff>
          <xdr:row>1</xdr:row>
          <xdr:rowOff>47625</xdr:rowOff>
        </xdr:from>
        <xdr:to>
          <xdr:col>1</xdr:col>
          <xdr:colOff>3171825</xdr:colOff>
          <xdr:row>5</xdr:row>
          <xdr:rowOff>85725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87" t="s">
        <v>402</v>
      </c>
      <c r="J1" s="2088"/>
      <c r="K1" s="2088"/>
      <c r="L1" s="2088"/>
      <c r="M1" s="2088"/>
      <c r="N1" s="2088"/>
      <c r="O1" s="2088"/>
      <c r="P1" s="2088"/>
      <c r="Q1" s="2088"/>
      <c r="R1" s="2088"/>
      <c r="S1" s="2088"/>
    </row>
    <row r="2" spans="1:32" ht="12" customHeight="1" x14ac:dyDescent="0.2">
      <c r="A2" s="1831" t="str">
        <f>"Due to ISBE on "</f>
        <v xml:space="preserve">Due to ISBE on </v>
      </c>
      <c r="B2" s="2130">
        <f>+'AFR20'!F4</f>
        <v>44151</v>
      </c>
      <c r="C2" s="2130"/>
      <c r="D2" s="2131"/>
      <c r="I2" s="2089" t="s">
        <v>2000</v>
      </c>
      <c r="J2" s="2088"/>
      <c r="K2" s="2088"/>
      <c r="L2" s="2088"/>
      <c r="M2" s="2088"/>
      <c r="N2" s="2088"/>
      <c r="O2" s="2088"/>
      <c r="P2" s="2088"/>
      <c r="Q2" s="2088"/>
      <c r="R2" s="2088"/>
      <c r="S2" s="2088"/>
    </row>
    <row r="3" spans="1:32" ht="12" customHeight="1" x14ac:dyDescent="0.2">
      <c r="A3" s="1834" t="str">
        <f>"SD/JA"&amp;MID('AFR20'!E2,3,2)</f>
        <v>SD/JA20</v>
      </c>
      <c r="B3" s="151"/>
      <c r="C3" s="151"/>
      <c r="D3" s="152"/>
      <c r="I3" s="2089" t="s">
        <v>52</v>
      </c>
      <c r="J3" s="2088"/>
      <c r="K3" s="2088"/>
      <c r="L3" s="2088"/>
      <c r="M3" s="2088"/>
      <c r="N3" s="2088"/>
      <c r="O3" s="2088"/>
      <c r="P3" s="2088"/>
      <c r="Q3" s="2088"/>
      <c r="R3" s="2088"/>
      <c r="S3" s="2088"/>
    </row>
    <row r="4" spans="1:32" ht="12" customHeight="1" x14ac:dyDescent="0.2">
      <c r="A4" s="37"/>
      <c r="I4" s="2089" t="s">
        <v>521</v>
      </c>
      <c r="J4" s="2088"/>
      <c r="K4" s="2088"/>
      <c r="L4" s="2088"/>
      <c r="M4" s="2088"/>
      <c r="N4" s="2088"/>
      <c r="O4" s="2088"/>
      <c r="P4" s="2088"/>
      <c r="Q4" s="2088"/>
      <c r="R4" s="2088"/>
      <c r="S4" s="2088"/>
    </row>
    <row r="5" spans="1:32" ht="14.1" customHeight="1" x14ac:dyDescent="0.2">
      <c r="B5" s="101" t="s">
        <v>2048</v>
      </c>
      <c r="C5" s="26" t="s">
        <v>904</v>
      </c>
      <c r="D5" s="81"/>
      <c r="E5" s="81"/>
      <c r="H5" s="38"/>
      <c r="I5" s="2097" t="s">
        <v>675</v>
      </c>
      <c r="J5" s="2096"/>
      <c r="K5" s="2096"/>
      <c r="L5" s="2096"/>
      <c r="M5" s="2096"/>
      <c r="N5" s="2096"/>
      <c r="O5" s="2096"/>
      <c r="P5" s="2096"/>
      <c r="Q5" s="2096"/>
      <c r="R5" s="2096"/>
      <c r="S5" s="2096"/>
      <c r="AF5" s="1827"/>
    </row>
    <row r="6" spans="1:32" ht="14.1" customHeight="1" x14ac:dyDescent="0.2">
      <c r="B6" s="101"/>
      <c r="C6" s="26" t="s">
        <v>905</v>
      </c>
      <c r="D6" s="81"/>
      <c r="E6" s="81"/>
      <c r="I6" s="2095" t="s">
        <v>877</v>
      </c>
      <c r="J6" s="2096"/>
      <c r="K6" s="2096"/>
      <c r="L6" s="2096"/>
      <c r="M6" s="2096"/>
      <c r="N6" s="2096"/>
      <c r="O6" s="2096"/>
      <c r="P6" s="2096"/>
      <c r="Q6" s="2096"/>
      <c r="R6" s="2096"/>
      <c r="S6" s="2096"/>
    </row>
    <row r="7" spans="1:32" ht="12.2" customHeight="1" x14ac:dyDescent="0.2">
      <c r="I7" s="2090" t="str">
        <f>"June 30, "&amp;'AFR20'!E2</f>
        <v>June 30, 2020</v>
      </c>
      <c r="J7" s="2091"/>
      <c r="K7" s="2091"/>
      <c r="L7" s="2091"/>
      <c r="M7" s="2091"/>
      <c r="N7" s="2091"/>
      <c r="O7" s="2091"/>
      <c r="P7" s="2091"/>
      <c r="Q7" s="2091"/>
      <c r="R7" s="2091"/>
      <c r="S7" s="20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2" t="s">
        <v>669</v>
      </c>
      <c r="J9" s="2093"/>
      <c r="K9" s="2093"/>
      <c r="L9" s="2093"/>
      <c r="M9" s="2093"/>
      <c r="N9" s="2093"/>
      <c r="O9" s="2093"/>
      <c r="P9" s="2093"/>
      <c r="Q9" s="2093"/>
      <c r="R9" s="2093"/>
      <c r="S9" s="2094"/>
      <c r="T9" s="2145" t="s">
        <v>530</v>
      </c>
      <c r="U9" s="2146"/>
      <c r="V9" s="2146"/>
      <c r="W9" s="2146"/>
      <c r="X9" s="2146"/>
      <c r="Y9" s="2146"/>
      <c r="Z9" s="2146"/>
      <c r="AA9" s="2147"/>
    </row>
    <row r="10" spans="1:32" ht="13.5" customHeight="1" x14ac:dyDescent="0.2">
      <c r="A10" s="2152" t="s">
        <v>670</v>
      </c>
      <c r="B10" s="2153"/>
      <c r="C10" s="2153"/>
      <c r="D10" s="2153"/>
      <c r="E10" s="2153"/>
      <c r="F10" s="2153"/>
      <c r="G10" s="2153"/>
      <c r="H10" s="2154"/>
      <c r="I10" s="29"/>
      <c r="J10" s="30"/>
      <c r="K10" s="28"/>
      <c r="R10" s="30"/>
      <c r="S10" s="30"/>
      <c r="T10" s="2148"/>
      <c r="U10" s="2096"/>
      <c r="V10" s="2096"/>
      <c r="W10" s="2096"/>
      <c r="X10" s="2096"/>
      <c r="Y10" s="2096"/>
      <c r="Z10" s="2096"/>
      <c r="AA10" s="2102"/>
    </row>
    <row r="11" spans="1:32" ht="14.25" customHeight="1" x14ac:dyDescent="0.2">
      <c r="A11" s="2155" t="s">
        <v>949</v>
      </c>
      <c r="B11" s="2156"/>
      <c r="C11" s="2156"/>
      <c r="D11" s="2156"/>
      <c r="E11" s="2156"/>
      <c r="F11" s="2156"/>
      <c r="G11" s="2156"/>
      <c r="H11" s="2157"/>
      <c r="I11" s="27"/>
      <c r="J11" s="71"/>
      <c r="K11" s="27"/>
      <c r="O11" s="144" t="s">
        <v>2048</v>
      </c>
      <c r="P11" s="97" t="s">
        <v>199</v>
      </c>
      <c r="Q11" s="30"/>
      <c r="R11" s="28"/>
      <c r="S11" s="27"/>
      <c r="T11" s="2149"/>
      <c r="U11" s="2150"/>
      <c r="V11" s="2150"/>
      <c r="W11" s="2150"/>
      <c r="X11" s="2150"/>
      <c r="Y11" s="2150"/>
      <c r="Z11" s="2150"/>
      <c r="AA11" s="215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12051010026</v>
      </c>
      <c r="B13" s="2109"/>
      <c r="C13" s="2109"/>
      <c r="D13" s="2109"/>
      <c r="E13" s="2109"/>
      <c r="F13" s="2109"/>
      <c r="G13" s="2109"/>
      <c r="H13" s="2110"/>
      <c r="I13" s="31"/>
      <c r="J13" s="30"/>
      <c r="K13" s="28"/>
      <c r="L13" s="30"/>
      <c r="M13" s="30"/>
      <c r="N13" s="30"/>
      <c r="O13" s="30"/>
      <c r="P13" s="30"/>
      <c r="Q13" s="30"/>
      <c r="R13" s="30"/>
      <c r="S13" s="30"/>
      <c r="T13" s="2114" t="s">
        <v>2053</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1" t="s">
        <v>2049</v>
      </c>
      <c r="B15" s="2112"/>
      <c r="C15" s="2112"/>
      <c r="D15" s="2112"/>
      <c r="E15" s="2112"/>
      <c r="F15" s="2112"/>
      <c r="G15" s="2112"/>
      <c r="H15" s="2113"/>
      <c r="T15" s="2118" t="s">
        <v>2054</v>
      </c>
      <c r="U15" s="2075"/>
      <c r="V15" s="2075"/>
      <c r="W15" s="2075"/>
      <c r="X15" s="2075"/>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1" t="s">
        <v>2167</v>
      </c>
      <c r="B17" s="2082"/>
      <c r="C17" s="2082"/>
      <c r="D17" s="2082"/>
      <c r="E17" s="2082"/>
      <c r="F17" s="2082"/>
      <c r="G17" s="2082"/>
      <c r="H17" s="2107"/>
      <c r="T17" s="2125" t="s">
        <v>2055</v>
      </c>
      <c r="U17" s="2126"/>
      <c r="V17" s="2126"/>
      <c r="W17" s="2126"/>
      <c r="X17" s="2126"/>
      <c r="Y17" s="2126"/>
      <c r="Z17" s="2126"/>
      <c r="AA17" s="2127"/>
    </row>
    <row r="18" spans="1:27" ht="13.5" customHeight="1" x14ac:dyDescent="0.2">
      <c r="A18" s="82" t="s">
        <v>527</v>
      </c>
      <c r="B18" s="73"/>
      <c r="C18" s="69"/>
      <c r="D18" s="73"/>
      <c r="E18" s="73"/>
      <c r="F18" s="73"/>
      <c r="G18" s="73"/>
      <c r="H18" s="53"/>
      <c r="I18" s="2106" t="s">
        <v>671</v>
      </c>
      <c r="J18" s="2057"/>
      <c r="K18" s="2057"/>
      <c r="L18" s="2057"/>
      <c r="M18" s="2057"/>
      <c r="N18" s="2057"/>
      <c r="O18" s="2057"/>
      <c r="P18" s="2057"/>
      <c r="Q18" s="2057"/>
      <c r="R18" s="2057"/>
      <c r="S18" s="2058"/>
      <c r="T18" s="82" t="s">
        <v>706</v>
      </c>
      <c r="U18" s="48"/>
      <c r="V18" s="69"/>
      <c r="W18" s="47"/>
      <c r="X18" s="82" t="s">
        <v>264</v>
      </c>
      <c r="Y18" s="78"/>
      <c r="Z18" s="154" t="s">
        <v>672</v>
      </c>
      <c r="AA18" s="44"/>
    </row>
    <row r="19" spans="1:27" ht="13.5" customHeight="1" x14ac:dyDescent="0.2">
      <c r="A19" s="2111" t="s">
        <v>2050</v>
      </c>
      <c r="B19" s="2067"/>
      <c r="C19" s="2067"/>
      <c r="D19" s="2067"/>
      <c r="E19" s="2067"/>
      <c r="F19" s="2067"/>
      <c r="G19" s="2067"/>
      <c r="H19" s="2047"/>
      <c r="I19" s="30"/>
      <c r="J19" s="96"/>
      <c r="K19" s="40"/>
      <c r="L19" s="38"/>
      <c r="M19" s="109" t="s">
        <v>312</v>
      </c>
      <c r="P19" s="27"/>
      <c r="Q19" s="27"/>
      <c r="R19" s="27"/>
      <c r="S19" s="31"/>
      <c r="T19" s="2111" t="s">
        <v>2056</v>
      </c>
      <c r="U19" s="2046"/>
      <c r="V19" s="2046"/>
      <c r="W19" s="2047"/>
      <c r="X19" s="2123" t="s">
        <v>2057</v>
      </c>
      <c r="Y19" s="2124"/>
      <c r="Z19" s="2121">
        <v>47591</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5" t="s">
        <v>2051</v>
      </c>
      <c r="B21" s="2046"/>
      <c r="C21" s="2046"/>
      <c r="D21" s="2046"/>
      <c r="E21" s="2046"/>
      <c r="F21" s="2046"/>
      <c r="G21" s="2046"/>
      <c r="H21" s="2047"/>
      <c r="I21" s="2101" t="s">
        <v>673</v>
      </c>
      <c r="J21" s="2096"/>
      <c r="K21" s="2096"/>
      <c r="L21" s="2096"/>
      <c r="M21" s="2096"/>
      <c r="N21" s="2096"/>
      <c r="O21" s="2096"/>
      <c r="P21" s="2096"/>
      <c r="Q21" s="2096"/>
      <c r="R21" s="2096"/>
      <c r="S21" s="2102"/>
      <c r="T21" s="2136" t="s">
        <v>2058</v>
      </c>
      <c r="U21" s="2137"/>
      <c r="V21" s="2137"/>
      <c r="W21" s="2137"/>
      <c r="X21" s="2142" t="s">
        <v>2059</v>
      </c>
      <c r="Y21" s="2143"/>
      <c r="Z21" s="2143"/>
      <c r="AA21" s="2144"/>
    </row>
    <row r="22" spans="1:27" ht="13.5" customHeight="1" x14ac:dyDescent="0.2">
      <c r="A22" s="84" t="s">
        <v>528</v>
      </c>
      <c r="B22" s="56"/>
      <c r="C22" s="56"/>
      <c r="D22" s="56"/>
      <c r="E22" s="56"/>
      <c r="F22" s="56"/>
      <c r="G22" s="56"/>
      <c r="H22" s="57"/>
      <c r="I22" s="2103" t="s">
        <v>1412</v>
      </c>
      <c r="J22" s="2104"/>
      <c r="K22" s="2104"/>
      <c r="L22" s="2104"/>
      <c r="M22" s="2104"/>
      <c r="N22" s="2104"/>
      <c r="O22" s="2104"/>
      <c r="P22" s="2104"/>
      <c r="Q22" s="2104"/>
      <c r="R22" s="2104"/>
      <c r="S22" s="2105"/>
      <c r="T22" s="82" t="s">
        <v>1499</v>
      </c>
      <c r="U22" s="48"/>
      <c r="V22" s="69"/>
      <c r="W22" s="48"/>
      <c r="X22" s="155" t="s">
        <v>1307</v>
      </c>
      <c r="Z22" s="43"/>
      <c r="AA22" s="44"/>
    </row>
    <row r="23" spans="1:27" ht="13.5" customHeight="1" x14ac:dyDescent="0.2">
      <c r="A23" s="2098" t="s">
        <v>2052</v>
      </c>
      <c r="B23" s="2099"/>
      <c r="C23" s="2099"/>
      <c r="D23" s="2099"/>
      <c r="E23" s="2099"/>
      <c r="F23" s="2099"/>
      <c r="G23" s="2099"/>
      <c r="H23" s="2100"/>
      <c r="T23" s="2081" t="s">
        <v>2060</v>
      </c>
      <c r="U23" s="2135"/>
      <c r="V23" s="2135"/>
      <c r="W23" s="2135"/>
      <c r="X23" s="2139">
        <v>44469</v>
      </c>
      <c r="Y23" s="2140"/>
      <c r="Z23" s="2140"/>
      <c r="AA23" s="2141"/>
    </row>
    <row r="24" spans="1:27" ht="14.1" customHeight="1" x14ac:dyDescent="0.2">
      <c r="A24" s="85" t="s">
        <v>672</v>
      </c>
      <c r="B24" s="46"/>
      <c r="C24" s="46"/>
      <c r="D24" s="46"/>
      <c r="E24" s="46"/>
      <c r="F24" s="46"/>
      <c r="G24" s="46"/>
      <c r="H24" s="58"/>
      <c r="J24" s="2068">
        <f>IF(B5="x",IF(AUDITCHECK!D29="AFR form Incomplete.","",IF(AUDITCHECK!D29="Deficit reduction plan is required.","School District must complete a deficit reduction plan in the 2020-2021 Budget",)),"")</f>
        <v>0</v>
      </c>
      <c r="K24" s="2068"/>
      <c r="L24" s="2068"/>
      <c r="M24" s="2068"/>
      <c r="N24" s="2068"/>
      <c r="O24" s="2068"/>
      <c r="P24" s="2068"/>
      <c r="Q24" s="2068"/>
      <c r="R24" s="2068"/>
      <c r="S24" s="2069"/>
      <c r="T24" s="102" t="s">
        <v>528</v>
      </c>
      <c r="U24" s="103"/>
      <c r="V24" s="103"/>
      <c r="W24" s="103"/>
      <c r="X24" s="104"/>
      <c r="Y24" s="104"/>
      <c r="Z24" s="104"/>
      <c r="AA24" s="105"/>
    </row>
    <row r="25" spans="1:27" ht="14.1" customHeight="1" x14ac:dyDescent="0.2">
      <c r="A25" s="2045">
        <v>62417</v>
      </c>
      <c r="B25" s="2046"/>
      <c r="C25" s="2046"/>
      <c r="D25" s="2046"/>
      <c r="E25" s="2046"/>
      <c r="F25" s="2046"/>
      <c r="G25" s="2046"/>
      <c r="H25" s="2047"/>
      <c r="I25" s="110"/>
      <c r="J25" s="2070"/>
      <c r="K25" s="2070"/>
      <c r="L25" s="2070"/>
      <c r="M25" s="2070"/>
      <c r="N25" s="2070"/>
      <c r="O25" s="2070"/>
      <c r="P25" s="2070"/>
      <c r="Q25" s="2070"/>
      <c r="R25" s="2070"/>
      <c r="S25" s="2071"/>
      <c r="T25" s="2132" t="s">
        <v>2061</v>
      </c>
      <c r="U25" s="2133"/>
      <c r="V25" s="2133"/>
      <c r="W25" s="2133"/>
      <c r="X25" s="2133"/>
      <c r="Y25" s="2133"/>
      <c r="Z25" s="2133"/>
      <c r="AA25" s="21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6" t="s">
        <v>1494</v>
      </c>
      <c r="J27" s="2057"/>
      <c r="K27" s="2057"/>
      <c r="L27" s="2057"/>
      <c r="M27" s="2057"/>
      <c r="N27" s="2057"/>
      <c r="O27" s="2057"/>
      <c r="P27" s="2057"/>
      <c r="Q27" s="2057"/>
      <c r="R27" s="2057"/>
      <c r="S27" s="205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7"/>
      <c r="Q35" s="2046"/>
      <c r="R35" s="204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1" t="s">
        <v>2062</v>
      </c>
      <c r="B38" s="2082"/>
      <c r="C38" s="2082"/>
      <c r="D38" s="2082"/>
      <c r="E38" s="2082"/>
      <c r="F38" s="2046"/>
      <c r="G38" s="2046"/>
      <c r="H38" s="2047"/>
      <c r="I38" s="2074"/>
      <c r="J38" s="2075"/>
      <c r="K38" s="2075"/>
      <c r="L38" s="2075"/>
      <c r="M38" s="2075"/>
      <c r="N38" s="2075"/>
      <c r="O38" s="2075"/>
      <c r="P38" s="2076"/>
      <c r="Q38" s="2076"/>
      <c r="R38" s="2076"/>
      <c r="S38" s="2077"/>
      <c r="T38" s="2118" t="s">
        <v>2066</v>
      </c>
      <c r="U38" s="2075"/>
      <c r="V38" s="2075"/>
      <c r="W38" s="2075"/>
      <c r="X38" s="2076"/>
      <c r="Y38" s="2076"/>
      <c r="Z38" s="2076"/>
      <c r="AA38" s="2077"/>
    </row>
    <row r="39" spans="1:27" ht="12" customHeight="1" x14ac:dyDescent="0.2">
      <c r="A39" s="2051" t="s">
        <v>528</v>
      </c>
      <c r="B39" s="2052"/>
      <c r="C39" s="69"/>
      <c r="D39" s="66"/>
      <c r="E39" s="66"/>
      <c r="F39" s="76"/>
      <c r="G39" s="66"/>
      <c r="H39" s="53"/>
      <c r="I39" s="2051" t="s">
        <v>528</v>
      </c>
      <c r="J39" s="2052"/>
      <c r="K39" s="2052"/>
      <c r="L39" s="2052"/>
      <c r="M39" s="2052"/>
      <c r="N39" s="64"/>
      <c r="O39" s="69"/>
      <c r="P39" s="69"/>
      <c r="Q39" s="75"/>
      <c r="R39" s="69"/>
      <c r="S39" s="53"/>
      <c r="T39" s="69" t="s">
        <v>528</v>
      </c>
      <c r="U39" s="48"/>
      <c r="V39" s="69"/>
      <c r="W39" s="47"/>
      <c r="X39" s="75"/>
      <c r="Y39" s="43"/>
      <c r="Z39" s="43"/>
      <c r="AA39" s="44"/>
    </row>
    <row r="40" spans="1:27" ht="13.5" customHeight="1" x14ac:dyDescent="0.2">
      <c r="A40" s="2059" t="s">
        <v>2063</v>
      </c>
      <c r="B40" s="2060"/>
      <c r="C40" s="2061"/>
      <c r="D40" s="2061"/>
      <c r="E40" s="2061"/>
      <c r="F40" s="2062"/>
      <c r="G40" s="2062"/>
      <c r="H40" s="2063"/>
      <c r="I40" s="2084"/>
      <c r="J40" s="2085"/>
      <c r="K40" s="2085"/>
      <c r="L40" s="2085"/>
      <c r="M40" s="2085"/>
      <c r="N40" s="2085"/>
      <c r="O40" s="2085"/>
      <c r="P40" s="2085"/>
      <c r="Q40" s="2085"/>
      <c r="R40" s="2085"/>
      <c r="S40" s="2086"/>
      <c r="T40" s="2084" t="s">
        <v>2067</v>
      </c>
      <c r="U40" s="2138"/>
      <c r="V40" s="2085"/>
      <c r="W40" s="2085"/>
      <c r="X40" s="2085"/>
      <c r="Y40" s="2085"/>
      <c r="Z40" s="2085"/>
      <c r="AA40" s="208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3" t="s">
        <v>2064</v>
      </c>
      <c r="B42" s="2065"/>
      <c r="C42" s="2066"/>
      <c r="D42" s="2064" t="s">
        <v>2065</v>
      </c>
      <c r="E42" s="2065"/>
      <c r="F42" s="2065"/>
      <c r="G42" s="2065"/>
      <c r="H42" s="2066"/>
      <c r="I42" s="2048"/>
      <c r="J42" s="2049"/>
      <c r="K42" s="2049"/>
      <c r="L42" s="2049"/>
      <c r="M42" s="2049"/>
      <c r="N42" s="2049"/>
      <c r="O42" s="2050"/>
      <c r="P42" s="2083"/>
      <c r="Q42" s="2049"/>
      <c r="R42" s="2049"/>
      <c r="S42" s="2050"/>
      <c r="T42" s="2048" t="s">
        <v>2068</v>
      </c>
      <c r="U42" s="2049"/>
      <c r="V42" s="2049"/>
      <c r="W42" s="2050"/>
      <c r="X42" s="2083" t="s">
        <v>2069</v>
      </c>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1145</v>
      </c>
      <c r="B4" s="1721">
        <f>'Revenues 9-14'!C5</f>
        <v>1087689</v>
      </c>
      <c r="C4" s="1722"/>
      <c r="D4" s="1723">
        <f>B4-C4</f>
        <v>1087689</v>
      </c>
      <c r="E4" s="1722">
        <v>1212027</v>
      </c>
      <c r="F4" s="1723">
        <f>E4-C4</f>
        <v>1212027</v>
      </c>
    </row>
    <row r="5" spans="1:8" ht="13.7" customHeight="1" x14ac:dyDescent="0.2">
      <c r="A5" s="579" t="s">
        <v>865</v>
      </c>
      <c r="B5" s="1724">
        <f>'Revenues 9-14'!D5</f>
        <v>289391</v>
      </c>
      <c r="C5" s="1664"/>
      <c r="D5" s="1725">
        <f t="shared" ref="D5:D18" si="0">B5-C5</f>
        <v>289391</v>
      </c>
      <c r="E5" s="1664">
        <v>322346</v>
      </c>
      <c r="F5" s="1725">
        <f>E5-C5</f>
        <v>322346</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115753</v>
      </c>
      <c r="C7" s="1664"/>
      <c r="D7" s="1725">
        <f t="shared" si="0"/>
        <v>115753</v>
      </c>
      <c r="E7" s="1664">
        <v>128937</v>
      </c>
      <c r="F7" s="1725">
        <f t="shared" si="1"/>
        <v>128937</v>
      </c>
    </row>
    <row r="8" spans="1:8" ht="13.7" customHeight="1" x14ac:dyDescent="0.2">
      <c r="A8" s="579" t="s">
        <v>1169</v>
      </c>
      <c r="B8" s="1724">
        <f>'Revenues 9-14'!G5</f>
        <v>187429</v>
      </c>
      <c r="C8" s="1664"/>
      <c r="D8" s="1725">
        <f t="shared" si="0"/>
        <v>187429</v>
      </c>
      <c r="E8" s="1664">
        <v>195230</v>
      </c>
      <c r="F8" s="1725">
        <f t="shared" si="1"/>
        <v>195230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28934</v>
      </c>
      <c r="C10" s="1664"/>
      <c r="D10" s="1725">
        <f t="shared" si="0"/>
        <v>28934</v>
      </c>
      <c r="E10" s="1664">
        <v>32229</v>
      </c>
      <c r="F10" s="1725">
        <f t="shared" si="1"/>
        <v>32229</v>
      </c>
    </row>
    <row r="11" spans="1:8" x14ac:dyDescent="0.2">
      <c r="A11" s="579" t="s">
        <v>406</v>
      </c>
      <c r="B11" s="1724">
        <f>'Revenues 9-14'!J5</f>
        <v>245882</v>
      </c>
      <c r="C11" s="1664"/>
      <c r="D11" s="1725">
        <f t="shared" si="0"/>
        <v>245882</v>
      </c>
      <c r="E11" s="1664">
        <v>289944</v>
      </c>
      <c r="F11" s="1725">
        <f t="shared" si="1"/>
        <v>289944</v>
      </c>
    </row>
    <row r="12" spans="1:8" ht="13.7" customHeight="1" x14ac:dyDescent="0.2">
      <c r="A12" s="579" t="s">
        <v>156</v>
      </c>
      <c r="B12" s="1724">
        <f>'Revenues 9-14'!K5</f>
        <v>28934</v>
      </c>
      <c r="C12" s="1664"/>
      <c r="D12" s="1725">
        <f t="shared" si="0"/>
        <v>28934</v>
      </c>
      <c r="E12" s="1664">
        <v>32229</v>
      </c>
      <c r="F12" s="1725">
        <f t="shared" si="1"/>
        <v>32229</v>
      </c>
    </row>
    <row r="13" spans="1:8" ht="13.7" customHeight="1" x14ac:dyDescent="0.2">
      <c r="A13" s="579" t="s">
        <v>930</v>
      </c>
      <c r="B13" s="1724">
        <f>SUM('Revenues 9-14'!C6:D6)</f>
        <v>28934</v>
      </c>
      <c r="C13" s="1664"/>
      <c r="D13" s="1725">
        <f t="shared" si="0"/>
        <v>28934</v>
      </c>
      <c r="E13" s="1664">
        <v>22560</v>
      </c>
      <c r="F13" s="1725">
        <f t="shared" si="1"/>
        <v>22560</v>
      </c>
    </row>
    <row r="14" spans="1:8" ht="13.7" customHeight="1" x14ac:dyDescent="0.2">
      <c r="A14" s="579" t="s">
        <v>407</v>
      </c>
      <c r="B14" s="1724">
        <f>SUM('Revenues 9-14'!C7:D7,'Revenues 9-14'!F7:H7)</f>
        <v>23148</v>
      </c>
      <c r="C14" s="1664"/>
      <c r="D14" s="1725">
        <f t="shared" si="0"/>
        <v>23148</v>
      </c>
      <c r="E14" s="1664">
        <v>25783</v>
      </c>
      <c r="F14" s="1725">
        <f t="shared" si="1"/>
        <v>25783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111343</v>
      </c>
      <c r="C16" s="1664"/>
      <c r="D16" s="1725">
        <f t="shared" si="0"/>
        <v>111343</v>
      </c>
      <c r="E16" s="1664">
        <v>149803</v>
      </c>
      <c r="F16" s="1725">
        <f t="shared" si="1"/>
        <v>149803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2147437</v>
      </c>
      <c r="C19" s="1726">
        <f>SUM(C4:C18)</f>
        <v>0</v>
      </c>
      <c r="D19" s="1726">
        <f>SUM(D4:D18)</f>
        <v>2147437</v>
      </c>
      <c r="E19" s="1726">
        <f>SUM(E4:E18)</f>
        <v>2411088</v>
      </c>
      <c r="F19" s="1726">
        <f>SUM(F4:F18)</f>
        <v>2411088</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6"/>
      <c r="C1" s="585"/>
    </row>
    <row r="2" spans="1:7" ht="33.75" x14ac:dyDescent="0.2">
      <c r="A2" s="2323" t="s">
        <v>1776</v>
      </c>
      <c r="B2" s="232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5" t="s">
        <v>1104</v>
      </c>
      <c r="B3" s="2326"/>
      <c r="C3" s="2319"/>
      <c r="D3" s="2320"/>
      <c r="E3" s="2320"/>
      <c r="F3" s="2321"/>
    </row>
    <row r="4" spans="1:7" ht="12.75" customHeight="1" thickBot="1" x14ac:dyDescent="0.25">
      <c r="A4" s="2313" t="s">
        <v>626</v>
      </c>
      <c r="B4" s="2314"/>
      <c r="C4" s="1656"/>
      <c r="D4" s="1656"/>
      <c r="E4" s="1656"/>
      <c r="F4" s="1732">
        <f>SUM(C4+D4)-E4</f>
        <v>0</v>
      </c>
    </row>
    <row r="5" spans="1:7" ht="15.75" customHeight="1" thickTop="1" x14ac:dyDescent="0.2">
      <c r="A5" s="2317" t="s">
        <v>1101</v>
      </c>
      <c r="B5" s="2312"/>
      <c r="C5" s="2306"/>
      <c r="D5" s="2307"/>
      <c r="E5" s="2307"/>
      <c r="F5" s="230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9" t="s">
        <v>627</v>
      </c>
      <c r="B15" s="2310"/>
      <c r="C15" s="1732">
        <f>SUM(C6:C14)</f>
        <v>0</v>
      </c>
      <c r="D15" s="1732">
        <f>SUM(D6:D14)</f>
        <v>0</v>
      </c>
      <c r="E15" s="1732">
        <f>SUM(E6:E14)</f>
        <v>0</v>
      </c>
      <c r="F15" s="1732">
        <f>SUM(F6:F14)</f>
        <v>0</v>
      </c>
      <c r="G15" s="473"/>
    </row>
    <row r="16" spans="1:7" s="197" customFormat="1" ht="15.75" customHeight="1" thickTop="1" x14ac:dyDescent="0.2">
      <c r="A16" s="2322" t="s">
        <v>1102</v>
      </c>
      <c r="B16" s="2312"/>
      <c r="C16" s="2306"/>
      <c r="D16" s="2307"/>
      <c r="E16" s="2307"/>
      <c r="F16" s="2308"/>
    </row>
    <row r="17" spans="1:11" ht="12.75" customHeight="1" thickBot="1" x14ac:dyDescent="0.25">
      <c r="A17" s="2304" t="s">
        <v>64</v>
      </c>
      <c r="B17" s="2305"/>
      <c r="C17" s="1733"/>
      <c r="D17" s="1664"/>
      <c r="E17" s="1733"/>
      <c r="F17" s="1732">
        <f>SUM(C17+D17)-E17</f>
        <v>0</v>
      </c>
    </row>
    <row r="18" spans="1:11" ht="12.75" customHeight="1" thickTop="1" thickBot="1" x14ac:dyDescent="0.25">
      <c r="A18" s="2304" t="s">
        <v>6</v>
      </c>
      <c r="B18" s="2305"/>
      <c r="C18" s="1733"/>
      <c r="D18" s="1664"/>
      <c r="E18" s="1733"/>
      <c r="F18" s="1732">
        <f>SUM(C18+D18)-E18</f>
        <v>0</v>
      </c>
    </row>
    <row r="19" spans="1:11" ht="12.75" customHeight="1" thickTop="1" thickBot="1" x14ac:dyDescent="0.25">
      <c r="A19" s="2304" t="s">
        <v>385</v>
      </c>
      <c r="B19" s="2305"/>
      <c r="C19" s="1733"/>
      <c r="D19" s="1664"/>
      <c r="E19" s="1733"/>
      <c r="F19" s="1732">
        <f>SUM(C19+D19)-E19</f>
        <v>0</v>
      </c>
    </row>
    <row r="20" spans="1:11" ht="12.75" customHeight="1" thickTop="1" thickBot="1" x14ac:dyDescent="0.25">
      <c r="A20" s="2304" t="s">
        <v>445</v>
      </c>
      <c r="B20" s="2305"/>
      <c r="C20" s="1733"/>
      <c r="D20" s="1664"/>
      <c r="E20" s="1733"/>
      <c r="F20" s="1732">
        <f>SUM(C20+D20)-E20</f>
        <v>0</v>
      </c>
    </row>
    <row r="21" spans="1:11" ht="14.25" thickTop="1" thickBot="1" x14ac:dyDescent="0.25">
      <c r="A21" s="2309" t="s">
        <v>628</v>
      </c>
      <c r="B21" s="2310"/>
      <c r="C21" s="1732">
        <f>SUM(C17:C20)</f>
        <v>0</v>
      </c>
      <c r="D21" s="1732">
        <f>SUM(D17:D20)</f>
        <v>0</v>
      </c>
      <c r="E21" s="1732">
        <f>SUM(E17:E20)</f>
        <v>0</v>
      </c>
      <c r="F21" s="1732">
        <f>SUM(F17:F20)</f>
        <v>0</v>
      </c>
      <c r="G21" s="473"/>
    </row>
    <row r="22" spans="1:11" ht="15.75" customHeight="1" thickTop="1" x14ac:dyDescent="0.2">
      <c r="A22" s="2311" t="s">
        <v>1103</v>
      </c>
      <c r="B22" s="2312"/>
      <c r="C22" s="2306"/>
      <c r="D22" s="2307"/>
      <c r="E22" s="2307"/>
      <c r="F22" s="2308"/>
    </row>
    <row r="23" spans="1:11" ht="13.5" thickBot="1" x14ac:dyDescent="0.25">
      <c r="A23" s="2313" t="s">
        <v>629</v>
      </c>
      <c r="B23" s="2314"/>
      <c r="C23" s="1656"/>
      <c r="D23" s="1656"/>
      <c r="E23" s="1656"/>
      <c r="F23" s="1732">
        <f>SUM(C23+D23)-E23</f>
        <v>0</v>
      </c>
      <c r="G23" s="473"/>
    </row>
    <row r="24" spans="1:11" ht="15.75" customHeight="1" thickTop="1" x14ac:dyDescent="0.2">
      <c r="A24" s="2311" t="s">
        <v>2003</v>
      </c>
      <c r="B24" s="2312"/>
      <c r="C24" s="2306"/>
      <c r="D24" s="2307"/>
      <c r="E24" s="2307"/>
      <c r="F24" s="2308"/>
    </row>
    <row r="25" spans="1:11" ht="13.5" thickBot="1" x14ac:dyDescent="0.25">
      <c r="A25" s="2313" t="s">
        <v>2004</v>
      </c>
      <c r="B25" s="2314"/>
      <c r="C25" s="1656"/>
      <c r="D25" s="1656"/>
      <c r="E25" s="1656"/>
      <c r="F25" s="1732">
        <f>SUM(C25+D25)-E25</f>
        <v>0</v>
      </c>
      <c r="G25" s="473"/>
    </row>
    <row r="26" spans="1:11" ht="15.75" customHeight="1" thickTop="1" x14ac:dyDescent="0.2">
      <c r="A26" s="2317" t="s">
        <v>652</v>
      </c>
      <c r="B26" s="2312"/>
      <c r="C26" s="589"/>
      <c r="D26" s="589"/>
      <c r="E26" s="589"/>
      <c r="F26" s="590"/>
    </row>
    <row r="27" spans="1:11" ht="13.5" thickBot="1" x14ac:dyDescent="0.25">
      <c r="A27" s="2309" t="s">
        <v>1061</v>
      </c>
      <c r="B27" s="2310"/>
      <c r="C27" s="1664"/>
      <c r="D27" s="1664"/>
      <c r="E27" s="1664"/>
      <c r="F27" s="1732">
        <f>SUM(C27+D27)-E27</f>
        <v>0</v>
      </c>
      <c r="G27" s="473"/>
    </row>
    <row r="28" spans="1:11" ht="7.5" customHeight="1" thickTop="1" x14ac:dyDescent="0.2">
      <c r="A28" s="489"/>
    </row>
    <row r="29" spans="1:11" ht="23.25" customHeight="1" x14ac:dyDescent="0.2">
      <c r="A29" s="2315" t="s">
        <v>578</v>
      </c>
      <c r="B29" s="231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43395</v>
      </c>
      <c r="C31" s="1734">
        <v>76000</v>
      </c>
      <c r="D31" s="1735">
        <v>7</v>
      </c>
      <c r="E31" s="1734">
        <v>50423</v>
      </c>
      <c r="F31" s="1734"/>
      <c r="G31" s="1734"/>
      <c r="H31" s="1734"/>
      <c r="I31" s="1736">
        <f>((E31+F31)-H31)+G31</f>
        <v>50423</v>
      </c>
      <c r="J31" s="1734">
        <v>50423</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76000</v>
      </c>
      <c r="D49" s="1742"/>
      <c r="E49" s="1736">
        <f t="shared" ref="E49:J49" si="2">SUM(E31:E48)</f>
        <v>50423</v>
      </c>
      <c r="F49" s="1736">
        <f t="shared" si="2"/>
        <v>0</v>
      </c>
      <c r="G49" s="1736">
        <f t="shared" si="2"/>
        <v>0</v>
      </c>
      <c r="H49" s="1736">
        <f t="shared" si="2"/>
        <v>0</v>
      </c>
      <c r="I49" s="1736">
        <f t="shared" si="2"/>
        <v>50423</v>
      </c>
      <c r="J49" s="1736">
        <f t="shared" si="2"/>
        <v>50423</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8" t="s">
        <v>580</v>
      </c>
      <c r="C52" s="2299"/>
      <c r="D52" s="2299"/>
      <c r="E52" s="603" t="s">
        <v>840</v>
      </c>
      <c r="F52" s="2300" t="s">
        <v>2071</v>
      </c>
      <c r="G52" s="2301"/>
      <c r="H52" s="596"/>
      <c r="I52" s="596"/>
      <c r="J52" s="600"/>
    </row>
    <row r="53" spans="1:11" ht="11.25" customHeight="1" x14ac:dyDescent="0.2">
      <c r="A53" s="604" t="s">
        <v>907</v>
      </c>
      <c r="B53" s="605" t="s">
        <v>945</v>
      </c>
      <c r="C53" s="600"/>
      <c r="D53" s="597"/>
      <c r="E53" s="603" t="s">
        <v>494</v>
      </c>
      <c r="F53" s="2302"/>
      <c r="G53" s="2303"/>
      <c r="H53" s="596"/>
      <c r="I53" s="596"/>
      <c r="J53" s="600"/>
    </row>
    <row r="54" spans="1:11" ht="11.25" customHeight="1" x14ac:dyDescent="0.2">
      <c r="A54" s="606" t="s">
        <v>908</v>
      </c>
      <c r="B54" s="601" t="s">
        <v>946</v>
      </c>
      <c r="C54" s="600"/>
      <c r="D54" s="597"/>
      <c r="E54" s="603" t="s">
        <v>495</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851</v>
      </c>
      <c r="B1" s="2328"/>
      <c r="C1" s="2328"/>
      <c r="D1" s="2328"/>
      <c r="E1" s="2328"/>
      <c r="F1" s="2328"/>
      <c r="G1" s="2329"/>
      <c r="H1" s="1298"/>
      <c r="I1" s="614"/>
      <c r="J1" s="400"/>
    </row>
    <row r="2" spans="1:11" ht="26.25" x14ac:dyDescent="0.2">
      <c r="A2" s="2346" t="s">
        <v>1658</v>
      </c>
      <c r="B2" s="2347"/>
      <c r="C2" s="2347"/>
      <c r="D2" s="2347"/>
      <c r="E2" s="2348"/>
      <c r="F2" s="615" t="s">
        <v>898</v>
      </c>
      <c r="G2" s="616" t="s">
        <v>1655</v>
      </c>
      <c r="H2" s="616" t="s">
        <v>407</v>
      </c>
      <c r="I2" s="616" t="s">
        <v>1148</v>
      </c>
      <c r="J2" s="616" t="s">
        <v>1786</v>
      </c>
      <c r="K2" s="616" t="s">
        <v>137</v>
      </c>
    </row>
    <row r="3" spans="1:11" x14ac:dyDescent="0.2">
      <c r="A3" s="2349" t="str">
        <f>"Cash Basis Fund Balance as of July 1, "&amp;'AFR20'!E2-1</f>
        <v>Cash Basis Fund Balance as of July 1, 2019</v>
      </c>
      <c r="B3" s="2350"/>
      <c r="C3" s="2350"/>
      <c r="D3" s="2350"/>
      <c r="E3" s="2351"/>
      <c r="F3" s="617"/>
      <c r="G3" s="1744"/>
      <c r="H3" s="1744"/>
      <c r="I3" s="1744"/>
      <c r="J3" s="1745">
        <v>287154</v>
      </c>
      <c r="K3" s="1745"/>
    </row>
    <row r="4" spans="1:11" x14ac:dyDescent="0.2">
      <c r="A4" s="2352" t="s">
        <v>366</v>
      </c>
      <c r="B4" s="2353"/>
      <c r="C4" s="2353"/>
      <c r="D4" s="2353"/>
      <c r="E4" s="2299"/>
      <c r="F4" s="620"/>
      <c r="G4" s="1746"/>
      <c r="H4" s="1747"/>
      <c r="I4" s="1746"/>
      <c r="J4" s="1748"/>
      <c r="K4" s="1748"/>
    </row>
    <row r="5" spans="1:11" x14ac:dyDescent="0.2">
      <c r="A5" s="2330" t="s">
        <v>1060</v>
      </c>
      <c r="B5" s="2331"/>
      <c r="C5" s="2331"/>
      <c r="D5" s="2331"/>
      <c r="E5" s="2332"/>
      <c r="F5" s="622" t="s">
        <v>843</v>
      </c>
      <c r="G5" s="1749"/>
      <c r="H5" s="1744">
        <v>23148</v>
      </c>
      <c r="I5" s="1750"/>
      <c r="J5" s="1751"/>
      <c r="K5" s="1751"/>
    </row>
    <row r="6" spans="1:11" x14ac:dyDescent="0.2">
      <c r="A6" s="625" t="s">
        <v>715</v>
      </c>
      <c r="B6" s="626"/>
      <c r="C6" s="626"/>
      <c r="D6" s="626"/>
      <c r="E6" s="627"/>
      <c r="F6" s="628" t="s">
        <v>844</v>
      </c>
      <c r="G6" s="1744"/>
      <c r="H6" s="1744"/>
      <c r="I6" s="1744"/>
      <c r="J6" s="1745">
        <v>1161</v>
      </c>
      <c r="K6" s="1745"/>
    </row>
    <row r="7" spans="1:11" x14ac:dyDescent="0.2">
      <c r="A7" s="629" t="s">
        <v>244</v>
      </c>
      <c r="B7" s="630"/>
      <c r="C7" s="630"/>
      <c r="D7" s="630"/>
      <c r="E7" s="631"/>
      <c r="F7" s="622" t="s">
        <v>845</v>
      </c>
      <c r="G7" s="1746"/>
      <c r="H7" s="1746"/>
      <c r="I7" s="1746"/>
      <c r="J7" s="1752"/>
      <c r="K7" s="1745">
        <v>2825</v>
      </c>
    </row>
    <row r="8" spans="1:11" x14ac:dyDescent="0.2">
      <c r="A8" s="629" t="s">
        <v>342</v>
      </c>
      <c r="B8" s="630"/>
      <c r="C8" s="630"/>
      <c r="D8" s="630"/>
      <c r="E8" s="631"/>
      <c r="F8" s="622" t="s">
        <v>846</v>
      </c>
      <c r="G8" s="1753"/>
      <c r="H8" s="1753"/>
      <c r="I8" s="1753"/>
      <c r="J8" s="1745">
        <v>350569</v>
      </c>
      <c r="K8" s="1748"/>
    </row>
    <row r="9" spans="1:11" x14ac:dyDescent="0.2">
      <c r="A9" s="629" t="s">
        <v>137</v>
      </c>
      <c r="B9" s="630"/>
      <c r="C9" s="630"/>
      <c r="D9" s="630"/>
      <c r="E9" s="631"/>
      <c r="F9" s="628" t="s">
        <v>848</v>
      </c>
      <c r="G9" s="1753"/>
      <c r="H9" s="1749"/>
      <c r="I9" s="1749"/>
      <c r="J9" s="1752"/>
      <c r="K9" s="1745">
        <v>9163</v>
      </c>
    </row>
    <row r="10" spans="1:11" x14ac:dyDescent="0.2">
      <c r="A10" s="2330" t="s">
        <v>1787</v>
      </c>
      <c r="B10" s="2331"/>
      <c r="C10" s="2331"/>
      <c r="D10" s="2331"/>
      <c r="E10" s="2333"/>
      <c r="F10" s="633" t="s">
        <v>857</v>
      </c>
      <c r="G10" s="1753"/>
      <c r="H10" s="1754"/>
      <c r="I10" s="1744"/>
      <c r="J10" s="1745"/>
      <c r="K10" s="1745"/>
    </row>
    <row r="11" spans="1:11" x14ac:dyDescent="0.2">
      <c r="A11" s="2330" t="s">
        <v>159</v>
      </c>
      <c r="B11" s="2331"/>
      <c r="C11" s="2331"/>
      <c r="D11" s="2331"/>
      <c r="E11" s="2332"/>
      <c r="F11" s="622" t="s">
        <v>847</v>
      </c>
      <c r="G11" s="1749"/>
      <c r="H11" s="1744"/>
      <c r="I11" s="1744"/>
      <c r="J11" s="1745"/>
      <c r="K11" s="1751"/>
    </row>
    <row r="12" spans="1:11" ht="13.5" thickBot="1" x14ac:dyDescent="0.25">
      <c r="A12" s="2357" t="s">
        <v>899</v>
      </c>
      <c r="B12" s="2358"/>
      <c r="C12" s="2358"/>
      <c r="D12" s="2358"/>
      <c r="E12" s="2359"/>
      <c r="F12" s="1433"/>
      <c r="G12" s="1755">
        <f>SUM(G5:G11)</f>
        <v>0</v>
      </c>
      <c r="H12" s="1755">
        <f>SUM(H5:H11)</f>
        <v>23148</v>
      </c>
      <c r="I12" s="1755">
        <f>SUM(I5:I11)</f>
        <v>0</v>
      </c>
      <c r="J12" s="1755">
        <f>SUM(J5:J11)</f>
        <v>351730</v>
      </c>
      <c r="K12" s="1755">
        <f>SUM(K5:K11)</f>
        <v>11988</v>
      </c>
    </row>
    <row r="13" spans="1:11" ht="13.5" thickTop="1" x14ac:dyDescent="0.2">
      <c r="A13" s="2354" t="s">
        <v>367</v>
      </c>
      <c r="B13" s="2355"/>
      <c r="C13" s="2355"/>
      <c r="D13" s="2355"/>
      <c r="E13" s="2356"/>
      <c r="F13" s="634"/>
      <c r="G13" s="1756"/>
      <c r="H13" s="1757"/>
      <c r="I13" s="1758"/>
      <c r="J13" s="1758"/>
      <c r="K13" s="1758"/>
    </row>
    <row r="14" spans="1:11" x14ac:dyDescent="0.2">
      <c r="A14" s="2337" t="s">
        <v>453</v>
      </c>
      <c r="B14" s="2337"/>
      <c r="C14" s="2337"/>
      <c r="D14" s="2337"/>
      <c r="E14" s="2338"/>
      <c r="F14" s="635" t="s">
        <v>849</v>
      </c>
      <c r="G14" s="1753"/>
      <c r="H14" s="1744">
        <v>23148</v>
      </c>
      <c r="I14" s="1749"/>
      <c r="J14" s="1751"/>
      <c r="K14" s="1745">
        <v>11988</v>
      </c>
    </row>
    <row r="15" spans="1:11" x14ac:dyDescent="0.2">
      <c r="A15" s="2331" t="s">
        <v>4</v>
      </c>
      <c r="B15" s="2331"/>
      <c r="C15" s="2331"/>
      <c r="D15" s="2331"/>
      <c r="E15" s="2332"/>
      <c r="F15" s="635" t="s">
        <v>850</v>
      </c>
      <c r="G15" s="1749"/>
      <c r="H15" s="1744"/>
      <c r="I15" s="1744"/>
      <c r="J15" s="1745">
        <v>174255</v>
      </c>
      <c r="K15" s="1745"/>
    </row>
    <row r="16" spans="1:11" x14ac:dyDescent="0.2">
      <c r="A16" s="2331" t="s">
        <v>295</v>
      </c>
      <c r="B16" s="2331"/>
      <c r="C16" s="2331"/>
      <c r="D16" s="2331"/>
      <c r="E16" s="2332"/>
      <c r="F16" s="635" t="s">
        <v>917</v>
      </c>
      <c r="G16" s="1750"/>
      <c r="H16" s="1746"/>
      <c r="I16" s="1746"/>
      <c r="J16" s="1748"/>
      <c r="K16" s="1748"/>
    </row>
    <row r="17" spans="1:15" x14ac:dyDescent="0.2">
      <c r="A17" s="2364" t="s">
        <v>929</v>
      </c>
      <c r="B17" s="2364"/>
      <c r="C17" s="2364"/>
      <c r="D17" s="2364"/>
      <c r="E17" s="2365"/>
      <c r="F17" s="636"/>
      <c r="G17" s="1759"/>
      <c r="H17" s="1760"/>
      <c r="I17" s="1760"/>
      <c r="J17" s="1761"/>
      <c r="K17" s="1762"/>
    </row>
    <row r="18" spans="1:15" x14ac:dyDescent="0.2">
      <c r="A18" s="2341" t="s">
        <v>365</v>
      </c>
      <c r="B18" s="2342"/>
      <c r="C18" s="2342"/>
      <c r="D18" s="2342"/>
      <c r="E18" s="2343"/>
      <c r="F18" s="635" t="s">
        <v>926</v>
      </c>
      <c r="G18" s="1753"/>
      <c r="H18" s="1753"/>
      <c r="I18" s="1753"/>
      <c r="J18" s="1745"/>
      <c r="K18" s="1763"/>
    </row>
    <row r="19" spans="1:15" ht="21.75" customHeight="1" x14ac:dyDescent="0.2">
      <c r="A19" s="2339" t="s">
        <v>1783</v>
      </c>
      <c r="B19" s="2339"/>
      <c r="C19" s="2339"/>
      <c r="D19" s="2339"/>
      <c r="E19" s="2340"/>
      <c r="F19" s="635" t="s">
        <v>927</v>
      </c>
      <c r="G19" s="1753"/>
      <c r="H19" s="1753"/>
      <c r="I19" s="1753"/>
      <c r="J19" s="1745"/>
      <c r="K19" s="1763"/>
    </row>
    <row r="20" spans="1:15" x14ac:dyDescent="0.2">
      <c r="A20" s="2341" t="s">
        <v>1788</v>
      </c>
      <c r="B20" s="2342"/>
      <c r="C20" s="2342"/>
      <c r="D20" s="2342"/>
      <c r="E20" s="2343"/>
      <c r="F20" s="635" t="s">
        <v>928</v>
      </c>
      <c r="G20" s="1753"/>
      <c r="H20" s="1753"/>
      <c r="I20" s="1753"/>
      <c r="J20" s="1745"/>
      <c r="K20" s="1763"/>
    </row>
    <row r="21" spans="1:15" ht="13.5" thickBot="1" x14ac:dyDescent="0.25">
      <c r="A21" s="2360" t="s">
        <v>633</v>
      </c>
      <c r="B21" s="2360"/>
      <c r="C21" s="2360"/>
      <c r="D21" s="2360"/>
      <c r="E21" s="2360"/>
      <c r="F21" s="1434"/>
      <c r="G21" s="1760"/>
      <c r="H21" s="1764"/>
      <c r="I21" s="1764"/>
      <c r="J21" s="1765">
        <f>SUM(J18:J20)</f>
        <v>0</v>
      </c>
      <c r="K21" s="1761"/>
    </row>
    <row r="22" spans="1:15" ht="13.5" thickTop="1" x14ac:dyDescent="0.2">
      <c r="A22" s="2331" t="s">
        <v>1789</v>
      </c>
      <c r="B22" s="2331"/>
      <c r="C22" s="2331"/>
      <c r="D22" s="2331"/>
      <c r="E22" s="2332"/>
      <c r="F22" s="635" t="s">
        <v>857</v>
      </c>
      <c r="G22" s="1753"/>
      <c r="H22" s="1744"/>
      <c r="I22" s="1744"/>
      <c r="J22" s="1766">
        <v>288314</v>
      </c>
      <c r="K22" s="1745"/>
    </row>
    <row r="23" spans="1:15" ht="13.5" thickBot="1" x14ac:dyDescent="0.25">
      <c r="A23" s="2361" t="s">
        <v>900</v>
      </c>
      <c r="B23" s="2360"/>
      <c r="C23" s="2360"/>
      <c r="D23" s="2360"/>
      <c r="E23" s="2360"/>
      <c r="F23" s="1436"/>
      <c r="G23" s="1755">
        <f>SUM(G14:G16,G21,G22)</f>
        <v>0</v>
      </c>
      <c r="H23" s="1755">
        <f>SUM(H14:H16,H21,H22)</f>
        <v>23148</v>
      </c>
      <c r="I23" s="1755">
        <f>SUM(I14:I16,I21,I22)</f>
        <v>0</v>
      </c>
      <c r="J23" s="1755">
        <f>SUM(J14:J16,J21,J22)</f>
        <v>462569</v>
      </c>
      <c r="K23" s="1755">
        <f>SUM(K14:K16,K21,K22)</f>
        <v>11988</v>
      </c>
      <c r="M23" s="1846"/>
      <c r="N23" s="1846"/>
      <c r="O23" s="1846"/>
    </row>
    <row r="24" spans="1:15" ht="14.25" thickTop="1" thickBot="1" x14ac:dyDescent="0.25">
      <c r="A24" s="2362" t="str">
        <f>"Ending Cash Basis Fund Balance as of June 30, "&amp;'AFR20'!E2</f>
        <v>Ending Cash Basis Fund Balance as of June 30, 2020</v>
      </c>
      <c r="B24" s="2363"/>
      <c r="C24" s="2363"/>
      <c r="D24" s="2363"/>
      <c r="E24" s="2363"/>
      <c r="F24" s="1437"/>
      <c r="G24" s="1767">
        <f>SUM(G3,G12)-G23</f>
        <v>0</v>
      </c>
      <c r="H24" s="1767">
        <f>SUM(H3,H12)-H23</f>
        <v>0</v>
      </c>
      <c r="I24" s="1767">
        <f>SUM(I3,I12)-I23</f>
        <v>0</v>
      </c>
      <c r="J24" s="1767">
        <f>SUM(J3,J12)-J23</f>
        <v>176315</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176315</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1159</v>
      </c>
      <c r="B33" s="341"/>
      <c r="C33" s="341"/>
      <c r="D33" s="341"/>
      <c r="E33" s="341"/>
      <c r="F33" s="341"/>
      <c r="G33" s="653"/>
      <c r="H33" s="2336"/>
      <c r="I33" s="2335"/>
      <c r="J33" s="2335"/>
      <c r="K33" s="2335"/>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1872</v>
      </c>
      <c r="B1" s="2369"/>
      <c r="C1" s="2370"/>
      <c r="D1" s="666"/>
      <c r="E1" s="667"/>
      <c r="F1" s="667"/>
      <c r="G1" s="668"/>
      <c r="H1" s="669"/>
      <c r="I1" s="670"/>
      <c r="J1" s="2366"/>
      <c r="K1" s="2367"/>
      <c r="L1" s="236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374272</v>
      </c>
      <c r="D5" s="1770"/>
      <c r="E5" s="1770"/>
      <c r="F5" s="1765">
        <f>(C5+D5)-E5</f>
        <v>374272</v>
      </c>
      <c r="G5" s="676"/>
      <c r="H5" s="680"/>
      <c r="I5" s="680"/>
      <c r="J5" s="680"/>
      <c r="K5" s="637"/>
      <c r="L5" s="1442">
        <f>F5-K5</f>
        <v>374272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22219772</v>
      </c>
      <c r="D8" s="1771">
        <v>43549</v>
      </c>
      <c r="E8" s="1771"/>
      <c r="F8" s="1765">
        <f>(C8+D8)-E8</f>
        <v>22263321</v>
      </c>
      <c r="G8" s="681">
        <v>50</v>
      </c>
      <c r="H8" s="619">
        <v>8829514</v>
      </c>
      <c r="I8" s="619">
        <v>445022</v>
      </c>
      <c r="J8" s="619"/>
      <c r="K8" s="1442">
        <f>(H8+I8)-J8</f>
        <v>9274536</v>
      </c>
      <c r="L8" s="1442">
        <f>F8-K8</f>
        <v>12988785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1183016</v>
      </c>
      <c r="D10" s="1772">
        <v>13712</v>
      </c>
      <c r="E10" s="1772"/>
      <c r="F10" s="1773">
        <f>(C10+D10)-E10</f>
        <v>1196728</v>
      </c>
      <c r="G10" s="681">
        <v>20</v>
      </c>
      <c r="H10" s="683">
        <v>963071</v>
      </c>
      <c r="I10" s="683">
        <v>59751</v>
      </c>
      <c r="J10" s="683"/>
      <c r="K10" s="1442">
        <f>(H10+I10)-J10</f>
        <v>1022822</v>
      </c>
      <c r="L10" s="1442">
        <f>F10-K10</f>
        <v>173906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633490</v>
      </c>
      <c r="D12" s="1771">
        <v>81226</v>
      </c>
      <c r="E12" s="1771">
        <v>3357</v>
      </c>
      <c r="F12" s="1765">
        <f>(C12+D12)-E12</f>
        <v>711359</v>
      </c>
      <c r="G12" s="681">
        <v>10</v>
      </c>
      <c r="H12" s="619">
        <v>183897</v>
      </c>
      <c r="I12" s="619">
        <v>66736</v>
      </c>
      <c r="J12" s="619">
        <v>3357</v>
      </c>
      <c r="K12" s="1442">
        <f>(H12+I12)-J12</f>
        <v>247276</v>
      </c>
      <c r="L12" s="1442">
        <f>F12-K12</f>
        <v>464083</v>
      </c>
    </row>
    <row r="13" spans="1:14" ht="14.25" thickTop="1" thickBot="1" x14ac:dyDescent="0.25">
      <c r="A13" s="684" t="s">
        <v>1112</v>
      </c>
      <c r="B13" s="679">
        <v>252</v>
      </c>
      <c r="C13" s="1771">
        <v>286673</v>
      </c>
      <c r="D13" s="1771">
        <v>286422</v>
      </c>
      <c r="E13" s="1771">
        <v>55599</v>
      </c>
      <c r="F13" s="1765">
        <f>(C13+D13)-E13</f>
        <v>517496</v>
      </c>
      <c r="G13" s="681">
        <v>5</v>
      </c>
      <c r="H13" s="619">
        <v>126155</v>
      </c>
      <c r="I13" s="619">
        <v>68835</v>
      </c>
      <c r="J13" s="619">
        <v>55599</v>
      </c>
      <c r="K13" s="1442">
        <f>(H13+I13)-J13</f>
        <v>139391</v>
      </c>
      <c r="L13" s="1442">
        <f>F13-K13</f>
        <v>378105</v>
      </c>
    </row>
    <row r="14" spans="1:14" ht="14.25" thickTop="1" thickBot="1" x14ac:dyDescent="0.25">
      <c r="A14" s="684" t="s">
        <v>1113</v>
      </c>
      <c r="B14" s="679">
        <v>253</v>
      </c>
      <c r="C14" s="1745">
        <v>23796</v>
      </c>
      <c r="D14" s="1745">
        <v>47873</v>
      </c>
      <c r="E14" s="1745">
        <v>7521</v>
      </c>
      <c r="F14" s="1765">
        <f>(C14+D14)-E14</f>
        <v>64148</v>
      </c>
      <c r="G14" s="681">
        <v>3</v>
      </c>
      <c r="H14" s="619">
        <v>7747</v>
      </c>
      <c r="I14" s="619">
        <v>12739</v>
      </c>
      <c r="J14" s="619">
        <v>7521</v>
      </c>
      <c r="K14" s="1442">
        <f>(H14+I14)-J14</f>
        <v>12965</v>
      </c>
      <c r="L14" s="1442">
        <f>F14-K14</f>
        <v>51183</v>
      </c>
    </row>
    <row r="15" spans="1:14" ht="15" customHeight="1" thickTop="1" thickBot="1" x14ac:dyDescent="0.25">
      <c r="A15" s="1366" t="s">
        <v>525</v>
      </c>
      <c r="B15" s="1365">
        <v>260</v>
      </c>
      <c r="C15" s="1771"/>
      <c r="D15" s="1771">
        <v>6675</v>
      </c>
      <c r="E15" s="1771"/>
      <c r="F15" s="1765">
        <f>(C15+D15)-E15</f>
        <v>6675</v>
      </c>
      <c r="G15" s="685" t="s">
        <v>857</v>
      </c>
      <c r="H15" s="632"/>
      <c r="I15" s="632"/>
      <c r="J15" s="632"/>
      <c r="K15" s="632"/>
      <c r="L15" s="1442">
        <f>F15-K15</f>
        <v>6675</v>
      </c>
    </row>
    <row r="16" spans="1:14" ht="15" customHeight="1" thickTop="1" thickBot="1" x14ac:dyDescent="0.25">
      <c r="A16" s="1438" t="s">
        <v>638</v>
      </c>
      <c r="B16" s="1439">
        <v>200</v>
      </c>
      <c r="C16" s="1765">
        <f>SUM(C3,C5:C6,C8:C10,C12:C15)</f>
        <v>24721019</v>
      </c>
      <c r="D16" s="1765">
        <f>SUM(D3,D5:D6,D8:D10,D12:D15)</f>
        <v>479457</v>
      </c>
      <c r="E16" s="1765">
        <f>SUM(E3,E5:E6,E8:E10,E12:E15)</f>
        <v>66477</v>
      </c>
      <c r="F16" s="1765">
        <f>SUM(F3,F5:F6,F8:F10,F12:F15)</f>
        <v>25133999</v>
      </c>
      <c r="G16" s="681"/>
      <c r="H16" s="1435">
        <f>SUM(H3,H6,H8:H10,H12:H14,)</f>
        <v>10110384</v>
      </c>
      <c r="I16" s="1435">
        <f>SUM(I3,I6,I8:I10,I12:I14,)</f>
        <v>653083</v>
      </c>
      <c r="J16" s="1435">
        <f>SUM(J3,J6,J8:J10,J12:J14,)</f>
        <v>66477</v>
      </c>
      <c r="K16" s="1435">
        <f>(H16+I16)-J16</f>
        <v>10696990</v>
      </c>
      <c r="L16" s="1435">
        <f>F16-K16</f>
        <v>14437009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653083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1095</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6795774</v>
      </c>
      <c r="G8" s="701"/>
    </row>
    <row r="9" spans="1:9" x14ac:dyDescent="0.2">
      <c r="A9" s="705" t="s">
        <v>457</v>
      </c>
      <c r="B9" s="706" t="s">
        <v>1845</v>
      </c>
      <c r="C9" s="707"/>
      <c r="D9" s="705" t="s">
        <v>498</v>
      </c>
      <c r="E9" s="704"/>
      <c r="F9" s="1775">
        <f>'Expenditures 15-22'!K151</f>
        <v>765184</v>
      </c>
      <c r="G9" s="708"/>
    </row>
    <row r="10" spans="1:9" x14ac:dyDescent="0.2">
      <c r="A10" s="705" t="s">
        <v>496</v>
      </c>
      <c r="B10" s="706" t="s">
        <v>1846</v>
      </c>
      <c r="C10" s="707"/>
      <c r="D10" s="705" t="s">
        <v>498</v>
      </c>
      <c r="E10" s="704"/>
      <c r="F10" s="1775">
        <f>'Expenditures 15-22'!K174</f>
        <v>0</v>
      </c>
      <c r="G10" s="708"/>
    </row>
    <row r="11" spans="1:9" x14ac:dyDescent="0.2">
      <c r="A11" s="705" t="s">
        <v>458</v>
      </c>
      <c r="B11" s="706" t="s">
        <v>1847</v>
      </c>
      <c r="C11" s="707"/>
      <c r="D11" s="705" t="s">
        <v>498</v>
      </c>
      <c r="E11" s="704"/>
      <c r="F11" s="1775">
        <f>'Expenditures 15-22'!K210</f>
        <v>767095</v>
      </c>
      <c r="G11" s="708"/>
    </row>
    <row r="12" spans="1:9" x14ac:dyDescent="0.2">
      <c r="A12" s="705" t="s">
        <v>459</v>
      </c>
      <c r="B12" s="706" t="s">
        <v>1848</v>
      </c>
      <c r="C12" s="707"/>
      <c r="D12" s="705" t="s">
        <v>498</v>
      </c>
      <c r="E12" s="704"/>
      <c r="F12" s="1775">
        <f>'Expenditures 15-22'!K295</f>
        <v>341973</v>
      </c>
      <c r="G12" s="708"/>
    </row>
    <row r="13" spans="1:9" x14ac:dyDescent="0.2">
      <c r="A13" s="705" t="s">
        <v>106</v>
      </c>
      <c r="B13" s="706" t="s">
        <v>1849</v>
      </c>
      <c r="C13" s="707"/>
      <c r="D13" s="705" t="s">
        <v>498</v>
      </c>
      <c r="E13" s="704"/>
      <c r="F13" s="1775">
        <f>'Expenditures 15-22'!K342</f>
        <v>315867</v>
      </c>
      <c r="G13" s="709"/>
    </row>
    <row r="14" spans="1:9" ht="12" customHeight="1" thickBot="1" x14ac:dyDescent="0.25">
      <c r="A14" s="1443"/>
      <c r="B14" s="1444"/>
      <c r="C14" s="1445"/>
      <c r="D14" s="1446" t="s">
        <v>498</v>
      </c>
      <c r="E14" s="1447" t="s">
        <v>952</v>
      </c>
      <c r="F14" s="1776">
        <f>SUM(F8:F13)</f>
        <v>8985893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184746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17716</v>
      </c>
      <c r="G52" s="701"/>
    </row>
    <row r="53" spans="1:7" x14ac:dyDescent="0.2">
      <c r="A53" s="705" t="s">
        <v>456</v>
      </c>
      <c r="B53" s="705" t="s">
        <v>1458</v>
      </c>
      <c r="C53" s="724">
        <f>'Expenditures 15-22'!B102</f>
        <v>4000</v>
      </c>
      <c r="D53" s="723" t="str">
        <f>'Expenditures 15-22'!A102</f>
        <v>Total Payments to Other Govt Units</v>
      </c>
      <c r="E53" s="704"/>
      <c r="F53" s="1782">
        <f>'Expenditures 15-22'!K102</f>
        <v>649645</v>
      </c>
      <c r="G53" s="701"/>
    </row>
    <row r="54" spans="1:7" x14ac:dyDescent="0.2">
      <c r="A54" s="705" t="s">
        <v>456</v>
      </c>
      <c r="B54" s="705" t="s">
        <v>1459</v>
      </c>
      <c r="C54" s="724" t="s">
        <v>975</v>
      </c>
      <c r="D54" s="720" t="s">
        <v>1086</v>
      </c>
      <c r="E54" s="704"/>
      <c r="F54" s="1782">
        <f>'Expenditures 15-22'!G114</f>
        <v>86141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7199</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286422</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8601</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1012</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1241482</v>
      </c>
      <c r="G77" s="701"/>
    </row>
    <row r="78" spans="1:9" s="728" customFormat="1" ht="12" customHeight="1" thickTop="1" thickBot="1" x14ac:dyDescent="0.25">
      <c r="A78" s="1450"/>
      <c r="B78" s="1448"/>
      <c r="C78" s="1445"/>
      <c r="D78" s="1449" t="s">
        <v>2009</v>
      </c>
      <c r="E78" s="1447"/>
      <c r="F78" s="1788">
        <f>(F14-F77)</f>
        <v>7744411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844.3</v>
      </c>
      <c r="G79" s="733"/>
      <c r="H79" s="705"/>
      <c r="I79" s="705"/>
    </row>
    <row r="80" spans="1:9" s="728" customFormat="1" ht="12" customHeight="1" thickBot="1" x14ac:dyDescent="0.25">
      <c r="A80" s="1452"/>
      <c r="B80" s="1448"/>
      <c r="C80" s="1445"/>
      <c r="D80" s="1449" t="s">
        <v>2010</v>
      </c>
      <c r="E80" s="1447" t="s">
        <v>952</v>
      </c>
      <c r="F80" s="1790">
        <f>IF(F79&gt;0,F78/F79," Complete Line 79")</f>
        <v>9172.5820206087883</v>
      </c>
      <c r="G80" s="705"/>
    </row>
    <row r="81" spans="1:7" s="728" customFormat="1" ht="8.25" customHeight="1" thickTop="1" x14ac:dyDescent="0.2">
      <c r="A81" s="734"/>
      <c r="B81" s="705"/>
      <c r="C81" s="707"/>
      <c r="D81" s="735"/>
      <c r="E81" s="704"/>
      <c r="F81" s="1791"/>
      <c r="G81" s="705"/>
    </row>
    <row r="82" spans="1:7" s="728" customFormat="1" ht="12" thickBot="1" x14ac:dyDescent="0.25">
      <c r="A82" s="2371" t="s">
        <v>1096</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74531</v>
      </c>
      <c r="G95" s="745"/>
    </row>
    <row r="96" spans="1:7" x14ac:dyDescent="0.2">
      <c r="A96" s="741" t="s">
        <v>139</v>
      </c>
      <c r="B96" s="741" t="s">
        <v>174</v>
      </c>
      <c r="C96" s="743">
        <v>1700</v>
      </c>
      <c r="D96" s="751" t="str">
        <f>'Revenues 9-14'!A82</f>
        <v>Total District/School Activity Income</v>
      </c>
      <c r="E96" s="739"/>
      <c r="F96" s="1793">
        <f>SUM('Revenues 9-14'!C82,'Revenues 9-14'!D82)</f>
        <v>59719</v>
      </c>
      <c r="G96" s="745"/>
    </row>
    <row r="97" spans="1:7" x14ac:dyDescent="0.2">
      <c r="A97" s="741" t="s">
        <v>456</v>
      </c>
      <c r="B97" s="741" t="s">
        <v>175</v>
      </c>
      <c r="C97" s="743">
        <f>'Revenues 9-14'!B84</f>
        <v>1811</v>
      </c>
      <c r="D97" s="744" t="str">
        <f>'Revenues 9-14'!A84</f>
        <v>Rentals - Regular Textbooks</v>
      </c>
      <c r="E97" s="739"/>
      <c r="F97" s="1793">
        <f>'Revenues 9-14'!C84</f>
        <v>29146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14605</v>
      </c>
      <c r="G105" s="745"/>
    </row>
    <row r="106" spans="1:7" x14ac:dyDescent="0.2">
      <c r="A106" s="741" t="s">
        <v>500</v>
      </c>
      <c r="B106" s="741" t="s">
        <v>1907</v>
      </c>
      <c r="C106" s="746">
        <v>3100</v>
      </c>
      <c r="D106" s="752" t="str">
        <f>'Revenues 9-14'!A132</f>
        <v>Total Special Education</v>
      </c>
      <c r="E106" s="739"/>
      <c r="F106" s="1793">
        <f>SUM('Revenues 9-14'!C132:D132,'Revenues 9-14'!F132)</f>
        <v>11671</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71408</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3008</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9163</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372608</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40275</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243931</v>
      </c>
      <c r="G126" s="763"/>
    </row>
    <row r="127" spans="1:7" x14ac:dyDescent="0.2">
      <c r="A127" s="760" t="s">
        <v>663</v>
      </c>
      <c r="B127" s="760" t="s">
        <v>1928</v>
      </c>
      <c r="C127" s="765">
        <v>4300</v>
      </c>
      <c r="D127" s="766" t="str">
        <f>'Revenues 9-14'!A204</f>
        <v>Total Title I</v>
      </c>
      <c r="E127" s="739"/>
      <c r="F127" s="1793">
        <f>SUM('Revenues 9-14'!C204,'Revenues 9-14'!D204,'Revenues 9-14'!F204,'Revenues 9-14'!G204)</f>
        <v>288420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9367</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236905</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92480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16523</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31909</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17939</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30322</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315140.23</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1969070.23</v>
      </c>
    </row>
    <row r="176" spans="1:7" ht="12" customHeight="1" x14ac:dyDescent="0.2">
      <c r="A176" s="1443"/>
      <c r="B176" s="1453"/>
      <c r="C176" s="1454"/>
      <c r="D176" s="1455" t="s">
        <v>2011</v>
      </c>
      <c r="E176" s="1456"/>
      <c r="F176" s="1793">
        <f>'PCTC-OEPP 27-28'!F78-F175</f>
        <v>5775340.7699999996</v>
      </c>
    </row>
    <row r="177" spans="1:9" ht="12" customHeight="1" x14ac:dyDescent="0.2">
      <c r="A177" s="1443"/>
      <c r="B177" s="1453"/>
      <c r="C177" s="1454"/>
      <c r="D177" s="1455" t="s">
        <v>1791</v>
      </c>
      <c r="E177" s="1456"/>
      <c r="F177" s="1793">
        <f>'Cap Outlay Deprec 26'!I18</f>
        <v>653083</v>
      </c>
    </row>
    <row r="178" spans="1:9" ht="12" customHeight="1" x14ac:dyDescent="0.2">
      <c r="A178" s="1443"/>
      <c r="B178" s="1453"/>
      <c r="C178" s="1454"/>
      <c r="D178" s="1455" t="s">
        <v>2012</v>
      </c>
      <c r="E178" s="1456"/>
      <c r="F178" s="1793">
        <f>F176+F177</f>
        <v>6428423.7699999996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844.3</v>
      </c>
      <c r="G179" s="763"/>
      <c r="I179" s="701"/>
    </row>
    <row r="180" spans="1:9" ht="12" customHeight="1" thickBot="1" x14ac:dyDescent="0.25">
      <c r="A180" s="1443"/>
      <c r="B180" s="1457"/>
      <c r="C180" s="1454"/>
      <c r="D180" s="1455" t="s">
        <v>2014</v>
      </c>
      <c r="E180" s="1456" t="s">
        <v>1528</v>
      </c>
      <c r="F180" s="1798">
        <f>F178/F179</f>
        <v>7613.9094753049867</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5" t="s">
        <v>1792</v>
      </c>
      <c r="B4" s="2386"/>
      <c r="C4" s="2386"/>
      <c r="D4" s="2386"/>
      <c r="E4" s="2386"/>
      <c r="F4" s="2387"/>
    </row>
    <row r="5" spans="1:6" x14ac:dyDescent="0.25">
      <c r="A5" s="2388"/>
      <c r="B5" s="2389"/>
      <c r="C5" s="2389"/>
      <c r="D5" s="2389"/>
      <c r="E5" s="2389"/>
      <c r="F5" s="2390"/>
    </row>
    <row r="6" spans="1:6" ht="18.75" x14ac:dyDescent="0.25">
      <c r="A6" s="1867" t="s">
        <v>1793</v>
      </c>
      <c r="B6" s="1868"/>
      <c r="C6" s="1869"/>
      <c r="D6" s="1869"/>
      <c r="E6" s="1869"/>
      <c r="F6" s="1870"/>
    </row>
    <row r="7" spans="1:6" ht="47.25" customHeight="1" x14ac:dyDescent="0.25">
      <c r="A7" s="2391" t="s">
        <v>1982</v>
      </c>
      <c r="B7" s="2392"/>
      <c r="C7" s="2392"/>
      <c r="D7" s="2392"/>
      <c r="E7" s="2392"/>
      <c r="F7" s="2393"/>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94" t="s">
        <v>1978</v>
      </c>
      <c r="B10" s="2395"/>
      <c r="C10" s="2395"/>
      <c r="D10" s="2395"/>
      <c r="E10" s="2395"/>
      <c r="F10" s="2396"/>
    </row>
    <row r="11" spans="1:6" ht="33" customHeight="1" x14ac:dyDescent="0.25">
      <c r="A11" s="2391" t="s">
        <v>1983</v>
      </c>
      <c r="B11" s="2392"/>
      <c r="C11" s="2392"/>
      <c r="D11" s="2392"/>
      <c r="E11" s="2392"/>
      <c r="F11" s="2393"/>
    </row>
    <row r="12" spans="1:6" ht="15" customHeight="1" x14ac:dyDescent="0.25">
      <c r="A12" s="1873" t="s">
        <v>1979</v>
      </c>
      <c r="B12" s="1874"/>
      <c r="C12" s="1875"/>
      <c r="D12" s="1875"/>
      <c r="E12" s="1875"/>
      <c r="F12" s="1876"/>
    </row>
    <row r="13" spans="1:6" ht="17.25" customHeight="1" x14ac:dyDescent="0.25">
      <c r="A13" s="2391" t="s">
        <v>1980</v>
      </c>
      <c r="B13" s="2392"/>
      <c r="C13" s="2392"/>
      <c r="D13" s="2392"/>
      <c r="E13" s="2392"/>
      <c r="F13" s="2393"/>
    </row>
    <row r="14" spans="1:6" ht="15" customHeight="1" x14ac:dyDescent="0.25">
      <c r="A14" s="1873" t="s">
        <v>1797</v>
      </c>
      <c r="B14" s="1874"/>
      <c r="C14" s="1875"/>
      <c r="D14" s="1875"/>
      <c r="E14" s="1875"/>
      <c r="F14" s="187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5" t="s">
        <v>2072</v>
      </c>
      <c r="B18" s="1908">
        <v>102300300</v>
      </c>
      <c r="C18" s="2036" t="s">
        <v>2053</v>
      </c>
      <c r="D18" s="1886">
        <v>12950</v>
      </c>
      <c r="E18" s="1906">
        <f t="shared" ref="E18:E81" si="0">IF(D18&lt;25000,D18,"25,000")</f>
        <v>12950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12950</v>
      </c>
      <c r="E142" s="1893">
        <f>SUM(E18:E141)</f>
        <v>12950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1660</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203068</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v>44058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4261644</v>
      </c>
      <c r="F19" s="1802"/>
      <c r="G19" s="1804">
        <f>'Expenditures 15-22'!K33-SUM('Expenditures 15-22'!G33,'Expenditures 15-22'!I33)+'Expenditures 15-22'!D229</f>
        <v>4261644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320232</v>
      </c>
      <c r="F21" s="1805"/>
      <c r="G21" s="1808">
        <f>'Expenditures 15-22'!K42-SUM('Expenditures 15-22'!G42,'Expenditures 15-22'!I42)+'Expenditures 15-22'!K120-SUM('Expenditures 15-22'!G120,'Expenditures 15-22'!I120)+'Expenditures 15-22'!K180-SUM('Expenditures 15-22'!G180,'Expenditures 15-22'!I180)+'Expenditures 15-22'!D238</f>
        <v>320232</v>
      </c>
      <c r="H21" s="817"/>
      <c r="I21" s="157"/>
    </row>
    <row r="22" spans="1:9" s="542" customFormat="1" ht="12" customHeight="1" x14ac:dyDescent="0.2">
      <c r="A22" s="824" t="s">
        <v>560</v>
      </c>
      <c r="B22" s="825"/>
      <c r="C22" s="823">
        <v>2200</v>
      </c>
      <c r="D22" s="1805"/>
      <c r="E22" s="1807">
        <f>'Expenditures 15-22'!K47-SUM('Expenditures 15-22'!G47,'Expenditures 15-22'!I47)+'Expenditures 15-22'!D243</f>
        <v>354802</v>
      </c>
      <c r="F22" s="1805"/>
      <c r="G22" s="1808">
        <f>'Expenditures 15-22'!K47-SUM('Expenditures 15-22'!G47,'Expenditures 15-22'!I47)+'Expenditures 15-22'!D243</f>
        <v>354802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504224</v>
      </c>
      <c r="F23" s="1805"/>
      <c r="G23" s="1807">
        <f>'Expenditures 15-22'!K53-SUM('Expenditures 15-22'!G53,'Expenditures 15-22'!I53)+'Expenditures 15-22'!D257+'Expenditures 15-22'!K330-SUM('Expenditures 15-22'!G330,'Expenditures 15-22'!I330)</f>
        <v>504224</v>
      </c>
      <c r="H23" s="817"/>
      <c r="I23" s="157"/>
    </row>
    <row r="24" spans="1:9" s="542" customFormat="1" ht="12" customHeight="1" x14ac:dyDescent="0.2">
      <c r="A24" s="824" t="s">
        <v>562</v>
      </c>
      <c r="B24" s="825"/>
      <c r="C24" s="823">
        <v>2400</v>
      </c>
      <c r="D24" s="1805"/>
      <c r="E24" s="1807">
        <f>'Expenditures 15-22'!K57-SUM('Expenditures 15-22'!G57,'Expenditures 15-22'!I57)+'Expenditures 15-22'!D261</f>
        <v>620584</v>
      </c>
      <c r="F24" s="1805"/>
      <c r="G24" s="1808">
        <f>'Expenditures 15-22'!K57-SUM('Expenditures 15-22'!G57,'Expenditures 15-22'!I57)+'Expenditures 15-22'!D261</f>
        <v>620584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5651</v>
      </c>
      <c r="E27" s="1807">
        <f>E8</f>
        <v>0</v>
      </c>
      <c r="F27" s="1807">
        <f>'Expenditures 15-22'!K60-SUM('Expenditures 15-22'!G60,'Expenditures 15-22'!I60)+'Expenditures 15-22'!D264-E8</f>
        <v>5651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867049</v>
      </c>
      <c r="F28" s="1809">
        <f>'Expenditures 15-22'!K61-SUM('Expenditures 15-22'!G61,'Expenditures 15-22'!I61)+'Expenditures 15-22'!K124-SUM('Expenditures 15-22'!G124,'Expenditures 15-22'!I124)+'Expenditures 15-22'!D266-E9</f>
        <v>867049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518798</v>
      </c>
      <c r="F29" s="1805"/>
      <c r="G29" s="1808">
        <f>'Expenditures 15-22'!K62-SUM('Expenditures 15-22'!G62,'Expenditures 15-22'!I62)+'Expenditures 15-22'!K125-SUM('Expenditures 15-22'!G125,'Expenditures 15-22'!I125)+'Expenditures 15-22'!K182-SUM('Expenditures 15-22'!G182,'Expenditures 15-22'!I182)+'Expenditures 15-22'!D267</f>
        <v>518798</v>
      </c>
      <c r="H29" s="815"/>
    </row>
    <row r="30" spans="1:9" ht="12" customHeight="1" x14ac:dyDescent="0.2">
      <c r="A30" s="824" t="s">
        <v>100</v>
      </c>
      <c r="B30" s="827"/>
      <c r="C30" s="823">
        <v>2560</v>
      </c>
      <c r="D30" s="1805"/>
      <c r="E30" s="1807">
        <f>'Expenditures 15-22'!K63-SUM('Expenditures 15-22'!G63,'Expenditures 15-22'!I63)+'Expenditures 15-22'!D268-E10</f>
        <v>281706</v>
      </c>
      <c r="F30" s="1805"/>
      <c r="G30" s="1807">
        <f>'Expenditures 15-22'!K63-SUM('Expenditures 15-22'!G63,'Expenditures 15-22'!I63)+'Expenditures 15-22'!D268-E10</f>
        <v>281706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18728</v>
      </c>
      <c r="F39" s="1805"/>
      <c r="G39" s="1807">
        <f>'Expenditures 15-22'!K75-SUM('Expenditures 15-22'!G75,'Expenditures 15-22'!I75)+'Expenditures 15-22'!K130-SUM('Expenditures 15-22'!G130,'Expenditures 15-22'!I130)+'Expenditures 15-22'!K185-SUM('Expenditures 15-22'!G185,'Expenditures 15-22'!I185)+'Expenditures 15-22'!D280</f>
        <v>18728</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5651</v>
      </c>
      <c r="E41" s="1809">
        <f>SUM(E19:E40)</f>
        <v>7747767</v>
      </c>
      <c r="F41" s="1809">
        <f>SUM(F19:F39)</f>
        <v>872700</v>
      </c>
      <c r="G41" s="1809">
        <f>SUM(G19:G40)</f>
        <v>6880718</v>
      </c>
    </row>
    <row r="42" spans="1:7" x14ac:dyDescent="0.2">
      <c r="A42" s="817"/>
      <c r="B42" s="157"/>
      <c r="C42" s="831"/>
      <c r="D42" s="2400" t="s">
        <v>519</v>
      </c>
      <c r="E42" s="2401"/>
      <c r="F42" s="832" t="s">
        <v>520</v>
      </c>
      <c r="G42" s="833"/>
    </row>
    <row r="43" spans="1:7" ht="12" customHeight="1" x14ac:dyDescent="0.2">
      <c r="A43" s="817"/>
      <c r="B43" s="157"/>
      <c r="C43" s="831"/>
      <c r="D43" s="1458" t="s">
        <v>470</v>
      </c>
      <c r="E43" s="1810">
        <f>D41</f>
        <v>5651</v>
      </c>
      <c r="F43" s="1458" t="s">
        <v>470</v>
      </c>
      <c r="G43" s="1810">
        <f>F41</f>
        <v>872700</v>
      </c>
    </row>
    <row r="44" spans="1:7" ht="12" customHeight="1" x14ac:dyDescent="0.2">
      <c r="A44" s="817"/>
      <c r="B44" s="157"/>
      <c r="C44" s="831"/>
      <c r="D44" s="1458" t="s">
        <v>471</v>
      </c>
      <c r="E44" s="1810">
        <f>E41</f>
        <v>7747767</v>
      </c>
      <c r="F44" s="1458" t="s">
        <v>471</v>
      </c>
      <c r="G44" s="1810">
        <f>G41</f>
        <v>6880718</v>
      </c>
    </row>
    <row r="45" spans="1:7" ht="12" customHeight="1" x14ac:dyDescent="0.2">
      <c r="A45" s="817"/>
      <c r="B45" s="157"/>
      <c r="C45" s="157"/>
      <c r="D45" s="1459" t="s">
        <v>999</v>
      </c>
      <c r="E45" s="1811">
        <f>(E43/E44)</f>
        <v>7.2937144341072722E-4</v>
      </c>
      <c r="F45" s="1459" t="s">
        <v>999</v>
      </c>
      <c r="G45" s="1811">
        <f>(G43/G44)</f>
        <v>0.12683269391362936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K35" sqref="K3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9" t="s">
        <v>1363</v>
      </c>
      <c r="B1" s="2419"/>
      <c r="C1" s="2419"/>
      <c r="D1" s="2419"/>
      <c r="E1" s="2419"/>
      <c r="F1" s="2419"/>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0" t="s">
        <v>1529</v>
      </c>
      <c r="B5" s="2421"/>
      <c r="C5" s="2422"/>
      <c r="D5" s="2422"/>
      <c r="E5" s="2422"/>
      <c r="F5" s="2422"/>
      <c r="G5" s="1507"/>
      <c r="L5" s="1507"/>
      <c r="M5" s="1855"/>
      <c r="N5" s="1855"/>
      <c r="O5" s="1855"/>
    </row>
    <row r="6" spans="1:15" ht="12" customHeight="1" x14ac:dyDescent="0.25">
      <c r="A6" s="1480"/>
      <c r="B6" s="1481"/>
      <c r="C6" s="2423" t="str">
        <f>COVER!A17</f>
        <v>Red Hill CUSD 10</v>
      </c>
      <c r="D6" s="2423"/>
      <c r="E6" s="2423"/>
      <c r="F6" s="1482"/>
      <c r="G6" s="1507"/>
      <c r="L6" s="1507"/>
      <c r="M6" s="1855"/>
      <c r="N6" s="1855"/>
      <c r="O6" s="1855"/>
    </row>
    <row r="7" spans="1:15" ht="11.25" customHeight="1" thickBot="1" x14ac:dyDescent="0.3">
      <c r="A7" s="1480"/>
      <c r="B7" s="1481"/>
      <c r="C7" s="2424">
        <f>COVER!A13</f>
        <v>12051010026</v>
      </c>
      <c r="D7" s="2424"/>
      <c r="E7" s="2424"/>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2048</v>
      </c>
      <c r="D14" s="1495" t="s">
        <v>2048</v>
      </c>
      <c r="E14" s="1498"/>
      <c r="F14" s="1497"/>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2048</v>
      </c>
      <c r="D19" s="1495" t="s">
        <v>2048</v>
      </c>
      <c r="E19" s="1498"/>
      <c r="F19" s="1497" t="s">
        <v>2073</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t="s">
        <v>2073</v>
      </c>
      <c r="G20" s="1507"/>
      <c r="H20" s="1507">
        <f t="shared" si="0"/>
        <v>0</v>
      </c>
      <c r="I20" s="1507">
        <f t="shared" si="1"/>
        <v>0</v>
      </c>
      <c r="J20" s="1507">
        <f t="shared" si="2"/>
        <v>0</v>
      </c>
      <c r="L20" s="1507"/>
      <c r="M20" s="1855"/>
      <c r="N20" s="1855"/>
      <c r="O20" s="1855"/>
    </row>
    <row r="21" spans="1:15" ht="12" customHeight="1" x14ac:dyDescent="0.2">
      <c r="A21" s="1493" t="s">
        <v>1512</v>
      </c>
      <c r="B21" s="1494"/>
      <c r="C21" s="1495" t="s">
        <v>2048</v>
      </c>
      <c r="D21" s="1495" t="s">
        <v>2048</v>
      </c>
      <c r="E21" s="1498"/>
      <c r="F21" s="1497"/>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c r="F26" s="1497" t="s">
        <v>2074</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2048</v>
      </c>
      <c r="D31" s="1495" t="s">
        <v>2048</v>
      </c>
      <c r="E31" s="1498"/>
      <c r="F31" s="1497" t="s">
        <v>2075</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2048</v>
      </c>
      <c r="D32" s="1495" t="s">
        <v>2048</v>
      </c>
      <c r="E32" s="1498"/>
      <c r="F32" s="1497" t="s">
        <v>2076</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1376</v>
      </c>
      <c r="B35" s="1501"/>
      <c r="C35" s="2425"/>
      <c r="D35" s="2425"/>
      <c r="E35" s="2425"/>
      <c r="F35" s="2426"/>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t="s">
        <v>2077</v>
      </c>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5"/>
      <c r="B43" s="2406"/>
      <c r="C43" s="2406"/>
      <c r="D43" s="2406"/>
      <c r="E43" s="2406"/>
      <c r="F43" s="2407"/>
      <c r="H43" s="1508"/>
      <c r="I43" s="1508"/>
      <c r="J43" s="1508"/>
      <c r="K43" s="1508"/>
    </row>
    <row r="44" spans="1:15" s="1499" customFormat="1" ht="12" hidden="1" customHeight="1" x14ac:dyDescent="0.25">
      <c r="A44" s="2405"/>
      <c r="B44" s="2406"/>
      <c r="C44" s="2406"/>
      <c r="D44" s="2406"/>
      <c r="E44" s="2406"/>
      <c r="F44" s="240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Normal="100" workbookViewId="0"/>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5" t="str">
        <f>COVER!A17</f>
        <v>Red Hill CUSD 10</v>
      </c>
      <c r="K6" s="2445"/>
      <c r="L6" s="2459"/>
      <c r="M6" s="838"/>
      <c r="N6" s="1998"/>
    </row>
    <row r="7" spans="1:14" x14ac:dyDescent="0.2">
      <c r="A7" s="2460" t="s">
        <v>864</v>
      </c>
      <c r="B7" s="2461"/>
      <c r="C7" s="2461"/>
      <c r="D7" s="2461"/>
      <c r="E7" s="2462"/>
      <c r="F7" s="839"/>
      <c r="G7" s="838"/>
      <c r="H7" s="838"/>
      <c r="I7" s="1924" t="s">
        <v>369</v>
      </c>
      <c r="J7" s="2447">
        <f>COVER!A13</f>
        <v>12051010026</v>
      </c>
      <c r="K7" s="2447"/>
      <c r="L7" s="2447"/>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3" t="s">
        <v>478</v>
      </c>
      <c r="B11" s="2464"/>
      <c r="C11" s="2465"/>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157240</v>
      </c>
      <c r="F12" s="1942"/>
      <c r="G12" s="1968">
        <f>G68</f>
        <v>38097</v>
      </c>
      <c r="H12" s="1944">
        <f t="shared" ref="H12:H18" si="0">SUM(E12:G12)</f>
        <v>195337</v>
      </c>
      <c r="I12" s="1943">
        <v>136916</v>
      </c>
      <c r="J12" s="1942"/>
      <c r="K12" s="1943">
        <v>41403</v>
      </c>
      <c r="L12" s="1944">
        <f t="shared" ref="L12:L18" si="1">SUM(I12:K12)</f>
        <v>178319</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6" t="s">
        <v>7</v>
      </c>
      <c r="C18" s="2467"/>
      <c r="D18" s="2468"/>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157240</v>
      </c>
      <c r="F19" s="1950">
        <f t="shared" si="2"/>
        <v>0</v>
      </c>
      <c r="G19" s="1950">
        <f t="shared" ref="G19" si="3">SUM(G12:G17)-G18</f>
        <v>38097</v>
      </c>
      <c r="H19" s="1950">
        <f t="shared" si="2"/>
        <v>195337</v>
      </c>
      <c r="I19" s="1950">
        <f t="shared" si="2"/>
        <v>136916</v>
      </c>
      <c r="J19" s="1950">
        <f t="shared" si="2"/>
        <v>0</v>
      </c>
      <c r="K19" s="1950">
        <f t="shared" si="2"/>
        <v>41403</v>
      </c>
      <c r="L19" s="1950">
        <f t="shared" si="2"/>
        <v>178319</v>
      </c>
      <c r="M19" s="838"/>
      <c r="N19" s="1998"/>
    </row>
    <row r="20" spans="1:14" ht="13.5" thickTop="1" x14ac:dyDescent="0.2">
      <c r="A20" s="2003">
        <v>9</v>
      </c>
      <c r="B20" s="2469" t="s">
        <v>2018</v>
      </c>
      <c r="C20" s="2469"/>
      <c r="D20" s="2470"/>
      <c r="E20" s="1951"/>
      <c r="F20" s="1951"/>
      <c r="G20" s="1951"/>
      <c r="H20" s="1951"/>
      <c r="I20" s="1951"/>
      <c r="J20" s="1951"/>
      <c r="K20" s="1951"/>
      <c r="L20" s="1952">
        <f>IF(AND(H19&gt;0,L19&gt;0),(((L19-H19)/H19)),"Enter Budget Data")</f>
        <v>-8.7121231512719041E-2</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1"/>
      <c r="D27" s="2471"/>
      <c r="E27" s="843"/>
      <c r="F27" s="2472"/>
      <c r="G27" s="2472"/>
      <c r="H27" s="2472"/>
      <c r="I27" s="838"/>
      <c r="J27" s="838"/>
      <c r="K27" s="838"/>
      <c r="L27" s="838"/>
      <c r="M27" s="838"/>
      <c r="N27" s="1998"/>
    </row>
    <row r="28" spans="1:14" x14ac:dyDescent="0.2">
      <c r="A28" s="1997"/>
      <c r="B28" s="2007"/>
      <c r="C28" s="1957" t="s">
        <v>1026</v>
      </c>
      <c r="D28" s="844"/>
      <c r="E28" s="1958"/>
      <c r="F28" s="2473" t="s">
        <v>1492</v>
      </c>
      <c r="G28" s="2473"/>
      <c r="H28" s="2473"/>
      <c r="I28" s="838"/>
      <c r="J28" s="838"/>
      <c r="K28" s="838"/>
      <c r="L28" s="838"/>
      <c r="M28" s="838"/>
      <c r="N28" s="1998"/>
    </row>
    <row r="29" spans="1:14" x14ac:dyDescent="0.2">
      <c r="A29" s="1997"/>
      <c r="B29" s="2007"/>
      <c r="C29" s="2474"/>
      <c r="D29" s="2474"/>
      <c r="E29" s="845"/>
      <c r="F29" s="2474"/>
      <c r="G29" s="2474"/>
      <c r="H29" s="2474"/>
      <c r="I29" s="838"/>
      <c r="J29" s="838"/>
      <c r="K29" s="838"/>
      <c r="L29" s="838"/>
      <c r="M29" s="838"/>
      <c r="N29" s="1998"/>
    </row>
    <row r="30" spans="1:14" x14ac:dyDescent="0.2">
      <c r="A30" s="1997"/>
      <c r="B30" s="2007"/>
      <c r="C30" s="1960" t="s">
        <v>1544</v>
      </c>
      <c r="D30" s="838"/>
      <c r="E30" s="1959"/>
      <c r="F30" s="2458" t="s">
        <v>1493</v>
      </c>
      <c r="G30" s="2458"/>
      <c r="H30" s="2458"/>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5" t="s">
        <v>2021</v>
      </c>
      <c r="D34" s="2436"/>
      <c r="E34" s="2436"/>
      <c r="F34" s="2436"/>
      <c r="G34" s="2436"/>
      <c r="H34" s="2436"/>
      <c r="I34" s="2436"/>
      <c r="J34" s="2436"/>
      <c r="K34" s="2016"/>
      <c r="L34" s="838"/>
      <c r="M34" s="838"/>
      <c r="N34" s="1998"/>
    </row>
    <row r="35" spans="1:14" x14ac:dyDescent="0.2">
      <c r="A35" s="1997"/>
      <c r="B35" s="838"/>
      <c r="C35" s="2436"/>
      <c r="D35" s="2436"/>
      <c r="E35" s="2436"/>
      <c r="F35" s="2436"/>
      <c r="G35" s="2436"/>
      <c r="H35" s="2436"/>
      <c r="I35" s="2436"/>
      <c r="J35" s="2436"/>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5" t="s">
        <v>2022</v>
      </c>
      <c r="D37" s="2436"/>
      <c r="E37" s="2436"/>
      <c r="F37" s="2436"/>
      <c r="G37" s="2436"/>
      <c r="H37" s="2436"/>
      <c r="I37" s="2436"/>
      <c r="J37" s="2436"/>
      <c r="K37" s="2016"/>
      <c r="L37" s="2018"/>
      <c r="M37" s="838"/>
      <c r="N37" s="1998"/>
    </row>
    <row r="38" spans="1:14" x14ac:dyDescent="0.2">
      <c r="A38" s="1997"/>
      <c r="B38" s="838"/>
      <c r="C38" s="2436"/>
      <c r="D38" s="2436"/>
      <c r="E38" s="2436"/>
      <c r="F38" s="2436"/>
      <c r="G38" s="2436"/>
      <c r="H38" s="2436"/>
      <c r="I38" s="2436"/>
      <c r="J38" s="2436"/>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7" t="s">
        <v>2023</v>
      </c>
      <c r="D40" s="2438"/>
      <c r="E40" s="2438"/>
      <c r="F40" s="2438"/>
      <c r="G40" s="2438"/>
      <c r="H40" s="2438"/>
      <c r="I40" s="2438"/>
      <c r="J40" s="2438"/>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9" t="s">
        <v>2024</v>
      </c>
      <c r="B43" s="2440"/>
      <c r="C43" s="2440"/>
      <c r="D43" s="2440"/>
      <c r="E43" s="2440"/>
      <c r="F43" s="2440"/>
      <c r="G43" s="2440"/>
      <c r="H43" s="2440"/>
      <c r="I43" s="2440"/>
      <c r="J43" s="2440"/>
      <c r="K43" s="2440"/>
      <c r="L43" s="2440"/>
      <c r="M43" s="2440"/>
      <c r="N43" s="2441"/>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42" t="s">
        <v>2026</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5" t="str">
        <f>J6</f>
        <v>Red Hill CUSD 10</v>
      </c>
      <c r="M52" s="2445"/>
      <c r="N52" s="2446"/>
    </row>
    <row r="53" spans="1:14" x14ac:dyDescent="0.2">
      <c r="A53" s="1982"/>
      <c r="B53" s="1983"/>
      <c r="C53" s="1983"/>
      <c r="D53" s="1983"/>
      <c r="E53" s="1983"/>
      <c r="F53" s="1983"/>
      <c r="G53" s="1983"/>
      <c r="H53" s="1983"/>
      <c r="I53" s="1983"/>
      <c r="J53" s="1983"/>
      <c r="K53" s="1924" t="s">
        <v>369</v>
      </c>
      <c r="L53" s="2447">
        <f>J7</f>
        <v>12051010026</v>
      </c>
      <c r="M53" s="2447"/>
      <c r="N53" s="2448"/>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9"/>
      <c r="B55" s="2450"/>
      <c r="C55" s="2450"/>
      <c r="D55" s="1970"/>
      <c r="E55" s="1970"/>
      <c r="F55" s="1970"/>
      <c r="G55" s="2451" t="s">
        <v>2027</v>
      </c>
      <c r="H55" s="2451"/>
      <c r="I55" s="2451"/>
      <c r="J55" s="2451"/>
      <c r="K55" s="2451"/>
      <c r="L55" s="2451"/>
      <c r="M55" s="2451"/>
      <c r="N55" s="2452"/>
    </row>
    <row r="56" spans="1:14" ht="63.75" x14ac:dyDescent="0.2">
      <c r="A56" s="2453" t="s">
        <v>2028</v>
      </c>
      <c r="B56" s="2454"/>
      <c r="C56" s="2455"/>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56" t="s">
        <v>296</v>
      </c>
      <c r="B57" s="2457"/>
      <c r="C57" s="2457"/>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3" t="s">
        <v>2038</v>
      </c>
      <c r="B58" s="2434"/>
      <c r="C58" s="2434"/>
      <c r="D58" s="1967">
        <v>2362</v>
      </c>
      <c r="E58" s="1977">
        <f>'Expenditures 15-22'!K320</f>
        <v>57271</v>
      </c>
      <c r="F58" s="1972"/>
      <c r="G58" s="2031"/>
      <c r="H58" s="2032"/>
      <c r="I58" s="2032"/>
      <c r="J58" s="2032"/>
      <c r="K58" s="2032"/>
      <c r="L58" s="2032"/>
      <c r="M58" s="2032">
        <v>57271</v>
      </c>
      <c r="N58" s="1975">
        <f>IF((SUM(G58:M58))=E58,SUM(G58:M58),"Column N does not agree with Column E")</f>
        <v>57271</v>
      </c>
    </row>
    <row r="59" spans="1:14" ht="24.75" customHeight="1" x14ac:dyDescent="0.2">
      <c r="A59" s="2427" t="s">
        <v>297</v>
      </c>
      <c r="B59" s="2428"/>
      <c r="C59" s="2428"/>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7" t="s">
        <v>236</v>
      </c>
      <c r="B60" s="2428"/>
      <c r="C60" s="2428"/>
      <c r="D60" s="1967">
        <v>2364</v>
      </c>
      <c r="E60" s="1977">
        <f>'Expenditures 15-22'!K322</f>
        <v>15977</v>
      </c>
      <c r="F60" s="1972"/>
      <c r="G60" s="2031"/>
      <c r="H60" s="2032"/>
      <c r="I60" s="2032"/>
      <c r="J60" s="2032"/>
      <c r="K60" s="2032"/>
      <c r="L60" s="2032"/>
      <c r="M60" s="2032">
        <v>15977</v>
      </c>
      <c r="N60" s="1975">
        <f t="shared" ref="N60:N67" si="4">IF((SUM(G60:M60))=E60,SUM(G60:M60),"Column N does not agree with Column E")</f>
        <v>15977</v>
      </c>
    </row>
    <row r="61" spans="1:14" ht="24.75" customHeight="1" x14ac:dyDescent="0.2">
      <c r="A61" s="2427" t="s">
        <v>697</v>
      </c>
      <c r="B61" s="2428"/>
      <c r="C61" s="2428"/>
      <c r="D61" s="1967">
        <v>2365</v>
      </c>
      <c r="E61" s="1977">
        <f>'Expenditures 15-22'!K323</f>
        <v>0</v>
      </c>
      <c r="F61" s="1972"/>
      <c r="G61" s="2031"/>
      <c r="H61" s="2032"/>
      <c r="I61" s="2032"/>
      <c r="J61" s="2032"/>
      <c r="K61" s="2032"/>
      <c r="L61" s="2032"/>
      <c r="M61" s="2032"/>
      <c r="N61" s="1975">
        <f t="shared" si="4"/>
        <v>0</v>
      </c>
    </row>
    <row r="62" spans="1:14" ht="24" customHeight="1" x14ac:dyDescent="0.2">
      <c r="A62" s="2427" t="s">
        <v>237</v>
      </c>
      <c r="B62" s="2428"/>
      <c r="C62" s="2428"/>
      <c r="D62" s="1967">
        <v>2366</v>
      </c>
      <c r="E62" s="1977">
        <f>'Expenditures 15-22'!K324</f>
        <v>0</v>
      </c>
      <c r="F62" s="1972"/>
      <c r="G62" s="2031"/>
      <c r="H62" s="2032"/>
      <c r="I62" s="2032"/>
      <c r="J62" s="2032"/>
      <c r="K62" s="2032"/>
      <c r="L62" s="2032"/>
      <c r="M62" s="2032"/>
      <c r="N62" s="1975">
        <f t="shared" si="4"/>
        <v>0</v>
      </c>
    </row>
    <row r="63" spans="1:14" ht="24" customHeight="1" x14ac:dyDescent="0.2">
      <c r="A63" s="2433" t="s">
        <v>1022</v>
      </c>
      <c r="B63" s="2434"/>
      <c r="C63" s="2434"/>
      <c r="D63" s="1967">
        <v>2367</v>
      </c>
      <c r="E63" s="1977">
        <f>'Expenditures 15-22'!K325</f>
        <v>142320</v>
      </c>
      <c r="F63" s="1972"/>
      <c r="G63" s="2031">
        <v>38097</v>
      </c>
      <c r="H63" s="2032"/>
      <c r="I63" s="2032"/>
      <c r="J63" s="2032"/>
      <c r="K63" s="2032"/>
      <c r="L63" s="2032"/>
      <c r="M63" s="2032">
        <v>104223</v>
      </c>
      <c r="N63" s="1975">
        <f t="shared" si="4"/>
        <v>142320</v>
      </c>
    </row>
    <row r="64" spans="1:14" ht="24" customHeight="1" x14ac:dyDescent="0.2">
      <c r="A64" s="2427" t="s">
        <v>1023</v>
      </c>
      <c r="B64" s="2428"/>
      <c r="C64" s="2428"/>
      <c r="D64" s="1967">
        <v>2368</v>
      </c>
      <c r="E64" s="1977">
        <f>'Expenditures 15-22'!K326</f>
        <v>0</v>
      </c>
      <c r="F64" s="1972"/>
      <c r="G64" s="2031"/>
      <c r="H64" s="2032"/>
      <c r="I64" s="2032"/>
      <c r="J64" s="2032"/>
      <c r="K64" s="2032"/>
      <c r="L64" s="2032"/>
      <c r="M64" s="2032"/>
      <c r="N64" s="1975">
        <f t="shared" si="4"/>
        <v>0</v>
      </c>
    </row>
    <row r="65" spans="1:14" ht="24" customHeight="1" x14ac:dyDescent="0.2">
      <c r="A65" s="2427" t="s">
        <v>965</v>
      </c>
      <c r="B65" s="2428"/>
      <c r="C65" s="2428"/>
      <c r="D65" s="1967">
        <v>2369</v>
      </c>
      <c r="E65" s="1977">
        <f>'Expenditures 15-22'!K327</f>
        <v>9763</v>
      </c>
      <c r="F65" s="1972"/>
      <c r="G65" s="2031"/>
      <c r="H65" s="2032"/>
      <c r="I65" s="2032"/>
      <c r="J65" s="2032"/>
      <c r="K65" s="2032"/>
      <c r="L65" s="2032"/>
      <c r="M65" s="2032">
        <v>9763</v>
      </c>
      <c r="N65" s="1975">
        <f t="shared" si="4"/>
        <v>9763</v>
      </c>
    </row>
    <row r="66" spans="1:14" ht="24" customHeight="1" x14ac:dyDescent="0.2">
      <c r="A66" s="2427" t="s">
        <v>469</v>
      </c>
      <c r="B66" s="2428"/>
      <c r="C66" s="2428"/>
      <c r="D66" s="1967">
        <v>2371</v>
      </c>
      <c r="E66" s="1977">
        <f>'Expenditures 15-22'!K328</f>
        <v>90536</v>
      </c>
      <c r="F66" s="1972"/>
      <c r="G66" s="2031"/>
      <c r="H66" s="2032"/>
      <c r="I66" s="2032"/>
      <c r="J66" s="2032"/>
      <c r="K66" s="2032"/>
      <c r="L66" s="2032"/>
      <c r="M66" s="2032">
        <v>90536</v>
      </c>
      <c r="N66" s="1975">
        <f t="shared" si="4"/>
        <v>90536</v>
      </c>
    </row>
    <row r="67" spans="1:14" ht="24.75" customHeight="1" x14ac:dyDescent="0.2">
      <c r="A67" s="2429" t="s">
        <v>2039</v>
      </c>
      <c r="B67" s="2430"/>
      <c r="C67" s="2430"/>
      <c r="D67" s="1969">
        <v>2372</v>
      </c>
      <c r="E67" s="1978">
        <f>'Expenditures 15-22'!K329</f>
        <v>0</v>
      </c>
      <c r="F67" s="1972"/>
      <c r="G67" s="2033"/>
      <c r="H67" s="2034"/>
      <c r="I67" s="2034"/>
      <c r="J67" s="2034"/>
      <c r="K67" s="2034"/>
      <c r="L67" s="2034"/>
      <c r="M67" s="2034"/>
      <c r="N67" s="1975">
        <f t="shared" si="4"/>
        <v>0</v>
      </c>
    </row>
    <row r="68" spans="1:14" x14ac:dyDescent="0.2">
      <c r="A68" s="2431" t="s">
        <v>1151</v>
      </c>
      <c r="B68" s="2432"/>
      <c r="C68" s="2432"/>
      <c r="D68" s="1970"/>
      <c r="E68" s="1974">
        <f>SUM(E57:E67)</f>
        <v>315867</v>
      </c>
      <c r="F68" s="1973"/>
      <c r="G68" s="1974">
        <f t="shared" ref="G68:N68" si="5">SUM(G57:G67)</f>
        <v>38097</v>
      </c>
      <c r="H68" s="1974">
        <f t="shared" si="5"/>
        <v>0</v>
      </c>
      <c r="I68" s="1974">
        <f t="shared" si="5"/>
        <v>0</v>
      </c>
      <c r="J68" s="1974">
        <f t="shared" si="5"/>
        <v>0</v>
      </c>
      <c r="K68" s="1974">
        <f t="shared" si="5"/>
        <v>0</v>
      </c>
      <c r="L68" s="1974">
        <f t="shared" si="5"/>
        <v>0</v>
      </c>
      <c r="M68" s="1974">
        <f t="shared" si="5"/>
        <v>277770</v>
      </c>
      <c r="N68" s="1988">
        <f t="shared" si="5"/>
        <v>315867</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2044" t="s">
        <v>2129</v>
      </c>
    </row>
    <row r="5" spans="1:2" x14ac:dyDescent="0.2">
      <c r="A5" s="847">
        <v>1</v>
      </c>
      <c r="B5" s="307" t="s">
        <v>2154</v>
      </c>
    </row>
    <row r="6" spans="1:2" x14ac:dyDescent="0.2">
      <c r="A6" s="847">
        <v>2</v>
      </c>
      <c r="B6" s="307" t="s">
        <v>2158</v>
      </c>
    </row>
    <row r="7" spans="1:2" x14ac:dyDescent="0.2">
      <c r="A7" s="847">
        <v>3</v>
      </c>
      <c r="B7" s="307" t="s">
        <v>2159</v>
      </c>
    </row>
    <row r="8" spans="1:2" x14ac:dyDescent="0.2">
      <c r="A8" s="847">
        <v>4</v>
      </c>
      <c r="B8" s="307" t="s">
        <v>2165</v>
      </c>
    </row>
    <row r="9" spans="1:2" x14ac:dyDescent="0.2">
      <c r="A9" s="847">
        <v>5</v>
      </c>
      <c r="B9" s="307" t="s">
        <v>2160</v>
      </c>
    </row>
    <row r="10" spans="1:2" x14ac:dyDescent="0.2">
      <c r="A10" s="847">
        <v>6</v>
      </c>
      <c r="B10" s="307" t="s">
        <v>2155</v>
      </c>
    </row>
    <row r="11" spans="1:2" x14ac:dyDescent="0.2">
      <c r="A11" s="847">
        <v>7</v>
      </c>
      <c r="B11" s="307" t="s">
        <v>2166</v>
      </c>
    </row>
    <row r="12" spans="1:2" x14ac:dyDescent="0.2">
      <c r="A12" s="847">
        <v>8</v>
      </c>
      <c r="B12" s="307" t="s">
        <v>2156</v>
      </c>
    </row>
    <row r="13" spans="1:2" x14ac:dyDescent="0.2">
      <c r="A13" s="847">
        <v>9</v>
      </c>
      <c r="B13" s="307" t="s">
        <v>2157</v>
      </c>
    </row>
    <row r="14" spans="1:2" x14ac:dyDescent="0.2">
      <c r="A14" s="847">
        <v>10</v>
      </c>
      <c r="B14" s="307" t="s">
        <v>2152</v>
      </c>
    </row>
    <row r="15" spans="1:2" x14ac:dyDescent="0.2">
      <c r="A15" s="847"/>
    </row>
    <row r="16" spans="1:2" x14ac:dyDescent="0.2">
      <c r="A16" s="848"/>
      <c r="B16" s="2044" t="s">
        <v>2130</v>
      </c>
    </row>
    <row r="17" spans="1:2" x14ac:dyDescent="0.2">
      <c r="A17" s="847">
        <v>1</v>
      </c>
      <c r="B17" s="307" t="s">
        <v>2161</v>
      </c>
    </row>
    <row r="18" spans="1:2" x14ac:dyDescent="0.2">
      <c r="A18" s="847"/>
    </row>
    <row r="19" spans="1:2" x14ac:dyDescent="0.2">
      <c r="A19" s="847"/>
      <c r="B19" s="2044" t="s">
        <v>154</v>
      </c>
    </row>
    <row r="20" spans="1:2" x14ac:dyDescent="0.2">
      <c r="A20" s="847">
        <v>1</v>
      </c>
      <c r="B20" s="307" t="s">
        <v>2162</v>
      </c>
    </row>
    <row r="21" spans="1:2" x14ac:dyDescent="0.2">
      <c r="A21" s="847"/>
    </row>
    <row r="22" spans="1:2" x14ac:dyDescent="0.2">
      <c r="A22" s="847"/>
      <c r="B22" s="2044" t="s">
        <v>2131</v>
      </c>
    </row>
    <row r="23" spans="1:2" x14ac:dyDescent="0.2">
      <c r="A23" s="847">
        <v>1</v>
      </c>
      <c r="B23" s="307" t="s">
        <v>2153</v>
      </c>
    </row>
    <row r="24" spans="1:2" x14ac:dyDescent="0.2">
      <c r="A24" s="847"/>
      <c r="B24" s="307" t="s">
        <v>2132</v>
      </c>
    </row>
    <row r="25" spans="1:2" x14ac:dyDescent="0.2">
      <c r="A25" s="847"/>
    </row>
    <row r="26" spans="1:2" x14ac:dyDescent="0.2">
      <c r="A26" s="847"/>
      <c r="B26" s="2044" t="s">
        <v>434</v>
      </c>
    </row>
    <row r="27" spans="1:2" x14ac:dyDescent="0.2">
      <c r="A27" s="847">
        <v>1</v>
      </c>
      <c r="B27" s="307" t="s">
        <v>2133</v>
      </c>
    </row>
    <row r="28" spans="1:2" x14ac:dyDescent="0.2">
      <c r="A28" s="847"/>
    </row>
    <row r="29" spans="1:2" x14ac:dyDescent="0.2">
      <c r="A29" s="847"/>
      <c r="B29" s="2044" t="s">
        <v>2163</v>
      </c>
    </row>
    <row r="30" spans="1:2" x14ac:dyDescent="0.2">
      <c r="A30" s="847">
        <v>1</v>
      </c>
      <c r="B30" s="307" t="s">
        <v>2164</v>
      </c>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Red Hill CUSD 10</v>
      </c>
    </row>
    <row r="66" spans="1:2" x14ac:dyDescent="0.2">
      <c r="B66" s="849">
        <f>COVER!A13</f>
        <v>12051010026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43" sqref="T4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1" t="s">
        <v>1056</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1591</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18" sqref="D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5" t="s">
        <v>1665</v>
      </c>
      <c r="B18" s="247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104775</xdr:colOff>
                <xdr:row>1</xdr:row>
                <xdr:rowOff>47625</xdr:rowOff>
              </from>
              <to>
                <xdr:col>1</xdr:col>
                <xdr:colOff>1019175</xdr:colOff>
                <xdr:row>5</xdr:row>
                <xdr:rowOff>85725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104775</xdr:colOff>
                <xdr:row>6</xdr:row>
                <xdr:rowOff>95250</xdr:rowOff>
              </from>
              <to>
                <xdr:col>1</xdr:col>
                <xdr:colOff>1019175</xdr:colOff>
                <xdr:row>10</xdr:row>
                <xdr:rowOff>133350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1162050</xdr:colOff>
                <xdr:row>1</xdr:row>
                <xdr:rowOff>47625</xdr:rowOff>
              </from>
              <to>
                <xdr:col>1</xdr:col>
                <xdr:colOff>2076450</xdr:colOff>
                <xdr:row>5</xdr:row>
                <xdr:rowOff>85725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1171575</xdr:colOff>
                <xdr:row>6</xdr:row>
                <xdr:rowOff>104775</xdr:rowOff>
              </from>
              <to>
                <xdr:col>1</xdr:col>
                <xdr:colOff>2085975</xdr:colOff>
                <xdr:row>10</xdr:row>
                <xdr:rowOff>142875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2257425</xdr:colOff>
                <xdr:row>1</xdr:row>
                <xdr:rowOff>47625</xdr:rowOff>
              </from>
              <to>
                <xdr:col>1</xdr:col>
                <xdr:colOff>3171825</xdr:colOff>
                <xdr:row>5</xdr:row>
                <xdr:rowOff>85725</xdr:rowOff>
              </to>
            </anchor>
          </objectPr>
        </oleObject>
      </mc:Choice>
      <mc:Fallback>
        <oleObject progId="Acrobat Document" dvAspect="DVASPECT_ICON" shapeId="43013"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8" sqref="D1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1669</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1969</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1670</v>
      </c>
      <c r="B6" s="2493"/>
      <c r="C6" s="2493"/>
      <c r="D6" s="2493"/>
      <c r="E6" s="2493"/>
      <c r="F6" s="249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7252583</v>
      </c>
      <c r="C8" s="1813">
        <f>'Acct Summary 7-8'!D8</f>
        <v>864544</v>
      </c>
      <c r="D8" s="1813">
        <f>'Acct Summary 7-8'!F8</f>
        <v>785913</v>
      </c>
      <c r="E8" s="1813">
        <f>'Acct Summary 7-8'!I8</f>
        <v>33389</v>
      </c>
      <c r="F8" s="1813">
        <f>SUM(B8:E8)</f>
        <v>8936429</v>
      </c>
    </row>
    <row r="9" spans="1:8" s="858" customFormat="1" ht="14.25" customHeight="1" thickBot="1" x14ac:dyDescent="0.25">
      <c r="A9" s="857" t="s">
        <v>1353</v>
      </c>
      <c r="B9" s="1814">
        <f>'Acct Summary 7-8'!C17</f>
        <v>6795774</v>
      </c>
      <c r="C9" s="1814">
        <f>'Acct Summary 7-8'!D17</f>
        <v>765184</v>
      </c>
      <c r="D9" s="1814">
        <f>'Acct Summary 7-8'!F17</f>
        <v>767095</v>
      </c>
      <c r="E9" s="1813"/>
      <c r="F9" s="1813">
        <f>SUM(B9:E9)</f>
        <v>8328053</v>
      </c>
    </row>
    <row r="10" spans="1:8" s="858" customFormat="1" ht="14.25" thickTop="1" thickBot="1" x14ac:dyDescent="0.25">
      <c r="A10" s="859" t="s">
        <v>1354</v>
      </c>
      <c r="B10" s="1815">
        <f>(B8-B9)</f>
        <v>456809</v>
      </c>
      <c r="C10" s="1815">
        <f>(C8-C9)</f>
        <v>99360</v>
      </c>
      <c r="D10" s="1815">
        <f>(D8-D9)</f>
        <v>18818</v>
      </c>
      <c r="E10" s="1814">
        <f>(E8-E9)</f>
        <v>33389</v>
      </c>
      <c r="F10" s="1816">
        <f>SUM(F8-F9)</f>
        <v>608376</v>
      </c>
    </row>
    <row r="11" spans="1:8" s="858" customFormat="1" ht="14.25" thickTop="1" thickBot="1" x14ac:dyDescent="0.25">
      <c r="A11" s="860" t="s">
        <v>1900</v>
      </c>
      <c r="B11" s="1817">
        <f>'Acct Summary 7-8'!C81</f>
        <v>2495373</v>
      </c>
      <c r="C11" s="1817">
        <f>'Acct Summary 7-8'!D81</f>
        <v>460533</v>
      </c>
      <c r="D11" s="1817">
        <f>'Acct Summary 7-8'!F81</f>
        <v>672013</v>
      </c>
      <c r="E11" s="1817">
        <f>'Acct Summary 7-8'!I81</f>
        <v>313618</v>
      </c>
      <c r="F11" s="1818">
        <f>SUM(B11:E11)</f>
        <v>3941537</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1666</v>
      </c>
      <c r="B16" s="2479"/>
      <c r="C16" s="2479"/>
      <c r="D16" s="2479"/>
      <c r="E16" s="247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7"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1" t="s">
        <v>660</v>
      </c>
      <c r="B3" s="2502"/>
      <c r="C3" s="2502"/>
      <c r="D3" s="2503"/>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1487</v>
      </c>
      <c r="D7" s="2513"/>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6" t="s">
        <v>311</v>
      </c>
      <c r="D21" s="2517"/>
    </row>
    <row r="22" spans="1:10" ht="12.75" x14ac:dyDescent="0.2">
      <c r="A22" s="918"/>
      <c r="B22" s="919">
        <v>2</v>
      </c>
      <c r="C22" s="2514" t="s">
        <v>1507</v>
      </c>
      <c r="D22" s="251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8" t="s">
        <v>533</v>
      </c>
      <c r="D43" s="251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0" t="s">
        <v>1674</v>
      </c>
      <c r="D70" s="251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A2" sqref="A2"/>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12051010026</v>
      </c>
      <c r="E2" s="1542">
        <v>2020</v>
      </c>
      <c r="F2" s="1542">
        <v>1</v>
      </c>
      <c r="G2" s="1899">
        <v>101000300</v>
      </c>
    </row>
    <row r="3" spans="1:7" ht="15" x14ac:dyDescent="0.25">
      <c r="A3" t="s">
        <v>950</v>
      </c>
      <c r="B3" s="135" t="str">
        <f>COVER!A15</f>
        <v>Lawrence, Crawford</v>
      </c>
      <c r="E3" s="1830" t="s">
        <v>1968</v>
      </c>
      <c r="F3" s="1830" t="s">
        <v>1967</v>
      </c>
      <c r="G3" s="1899">
        <v>101000400</v>
      </c>
    </row>
    <row r="4" spans="1:7" ht="15" x14ac:dyDescent="0.25">
      <c r="A4" t="s">
        <v>1000</v>
      </c>
      <c r="B4" s="135" t="str">
        <f>COVER!A17</f>
        <v>Red Hill CUSD 10</v>
      </c>
      <c r="E4" s="1828">
        <v>44119</v>
      </c>
      <c r="F4" s="1829">
        <v>44151</v>
      </c>
      <c r="G4" s="1899">
        <v>101000600</v>
      </c>
    </row>
    <row r="5" spans="1:7" ht="15" x14ac:dyDescent="0.25">
      <c r="A5" t="s">
        <v>699</v>
      </c>
      <c r="B5" s="135" t="str">
        <f>COVER!A38</f>
        <v>Jakie Walker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Monte Newlin</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065-029936</v>
      </c>
      <c r="G15" s="1899">
        <v>402100400</v>
      </c>
    </row>
    <row r="16" spans="1:7" ht="15" x14ac:dyDescent="0.25">
      <c r="A16" t="s">
        <v>419</v>
      </c>
      <c r="B16" s="135" t="str">
        <f>COVER!T13</f>
        <v>Kemper CPA Group LLP</v>
      </c>
      <c r="G16" s="1899">
        <v>402100600</v>
      </c>
    </row>
    <row r="17" spans="1:7" ht="15" x14ac:dyDescent="0.25">
      <c r="A17" t="s">
        <v>878</v>
      </c>
      <c r="B17" s="135" t="str">
        <f>COVER!T15</f>
        <v>Curt Benson</v>
      </c>
      <c r="G17" s="1899">
        <v>402100800</v>
      </c>
    </row>
    <row r="18" spans="1:7" ht="15" x14ac:dyDescent="0.25">
      <c r="A18" t="s">
        <v>1140</v>
      </c>
      <c r="B18" s="135" t="str">
        <f>COVER!T17</f>
        <v>802 Old Wheatland Road</v>
      </c>
      <c r="G18" s="1899">
        <v>102200300</v>
      </c>
    </row>
    <row r="19" spans="1:7" ht="15" x14ac:dyDescent="0.25">
      <c r="A19" t="s">
        <v>880</v>
      </c>
      <c r="B19" s="135" t="str">
        <f>COVER!T25</f>
        <v>cbenson@kempercpa.com</v>
      </c>
      <c r="G19" s="1899">
        <v>102200400</v>
      </c>
    </row>
    <row r="20" spans="1:7" ht="15" x14ac:dyDescent="0.25">
      <c r="A20" t="s">
        <v>881</v>
      </c>
      <c r="B20" s="135" t="str">
        <f>COVER!T19</f>
        <v>Vincennes</v>
      </c>
      <c r="G20" s="1899">
        <v>102200600</v>
      </c>
    </row>
    <row r="21" spans="1:7" ht="15" x14ac:dyDescent="0.25">
      <c r="A21" t="s">
        <v>476</v>
      </c>
      <c r="B21" s="135" t="str">
        <f>COVER!X19</f>
        <v>IN</v>
      </c>
      <c r="G21" s="1899">
        <v>102200800</v>
      </c>
    </row>
    <row r="22" spans="1:7" ht="15" x14ac:dyDescent="0.25">
      <c r="A22" t="s">
        <v>882</v>
      </c>
      <c r="B22" s="135">
        <f>COVER!Z19</f>
        <v>47591</v>
      </c>
      <c r="G22" s="1899">
        <v>102300300</v>
      </c>
    </row>
    <row r="23" spans="1:7" ht="15" x14ac:dyDescent="0.25">
      <c r="A23" t="s">
        <v>1142</v>
      </c>
      <c r="B23" s="135" t="str">
        <f>COVER!T21</f>
        <v>812-882-7730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55444</v>
      </c>
      <c r="D76" s="2" t="str">
        <f t="shared" si="0"/>
        <v>Error?</v>
      </c>
      <c r="G76" s="1899">
        <v>102570600</v>
      </c>
    </row>
    <row r="77" spans="1:7" ht="15" x14ac:dyDescent="0.25">
      <c r="A77" s="5">
        <v>16</v>
      </c>
      <c r="B77" s="1832">
        <f>'Assets-Liab 5-6'!C13</f>
        <v>2495373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2471321</v>
      </c>
      <c r="D92" s="2" t="str">
        <f t="shared" si="0"/>
        <v>Error?</v>
      </c>
      <c r="G92" s="1899">
        <v>102640600</v>
      </c>
    </row>
    <row r="93" spans="1:7" ht="15" x14ac:dyDescent="0.25">
      <c r="A93" s="5">
        <v>32</v>
      </c>
      <c r="B93" s="1832">
        <f>'Assets-Liab 5-6'!C41</f>
        <v>2495373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460533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460533</v>
      </c>
      <c r="D123" s="2" t="str">
        <f t="shared" si="0"/>
        <v>Error?</v>
      </c>
      <c r="G123" s="1899">
        <v>203000400</v>
      </c>
    </row>
    <row r="124" spans="1:7" ht="15" x14ac:dyDescent="0.25">
      <c r="A124" s="5">
        <v>63</v>
      </c>
      <c r="B124" s="1832">
        <f>'Assets-Liab 5-6'!D41</f>
        <v>460533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672013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672013</v>
      </c>
      <c r="D170" s="2" t="str">
        <f t="shared" si="1"/>
        <v>Error?</v>
      </c>
    </row>
    <row r="171" spans="1:4" x14ac:dyDescent="0.2">
      <c r="A171" s="5">
        <v>110</v>
      </c>
      <c r="B171" s="1832">
        <f>'Assets-Liab 5-6'!F41</f>
        <v>672013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248904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-25216</v>
      </c>
      <c r="D189" s="2" t="str">
        <f t="shared" si="1"/>
        <v>Error?</v>
      </c>
    </row>
    <row r="190" spans="1:4" x14ac:dyDescent="0.2">
      <c r="A190" s="5">
        <v>129</v>
      </c>
      <c r="B190" s="1832">
        <f>'Assets-Liab 5-6'!G41</f>
        <v>248904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518767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342452</v>
      </c>
      <c r="D212" s="2" t="str">
        <f t="shared" si="2"/>
        <v>Error?</v>
      </c>
    </row>
    <row r="213" spans="1:4" x14ac:dyDescent="0.2">
      <c r="A213" s="12">
        <v>152</v>
      </c>
      <c r="B213" s="1832">
        <f>'Assets-Liab 5-6'!H41</f>
        <v>518767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374272</v>
      </c>
      <c r="D273" s="2" t="str">
        <f t="shared" si="3"/>
        <v>Error?</v>
      </c>
    </row>
    <row r="274" spans="1:4" x14ac:dyDescent="0.2">
      <c r="A274" s="5">
        <v>213</v>
      </c>
      <c r="B274" s="1832">
        <f>'Assets-Liab 5-6'!M17</f>
        <v>22263321</v>
      </c>
      <c r="D274" s="2" t="str">
        <f t="shared" si="3"/>
        <v>Error?</v>
      </c>
    </row>
    <row r="275" spans="1:4" x14ac:dyDescent="0.2">
      <c r="A275" s="5">
        <v>214</v>
      </c>
      <c r="B275" s="1832">
        <f>'Assets-Liab 5-6'!M18</f>
        <v>1196728</v>
      </c>
      <c r="D275" s="2" t="str">
        <f t="shared" si="3"/>
        <v>Error?</v>
      </c>
    </row>
    <row r="276" spans="1:4" x14ac:dyDescent="0.2">
      <c r="A276" s="5">
        <v>215</v>
      </c>
      <c r="B276" s="1832">
        <f>'Assets-Liab 5-6'!M19</f>
        <v>1293003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25133999</v>
      </c>
      <c r="C279" s="2" t="s">
        <v>569</v>
      </c>
      <c r="D279" s="2" t="str">
        <f t="shared" si="3"/>
        <v>Error?</v>
      </c>
    </row>
    <row r="280" spans="1:4" x14ac:dyDescent="0.2">
      <c r="A280" s="5">
        <v>219</v>
      </c>
      <c r="B280" s="1832">
        <f>'Assets-Liab 5-6'!M40</f>
        <v>25133999</v>
      </c>
      <c r="D280" s="2" t="str">
        <f t="shared" si="3"/>
        <v>Error?</v>
      </c>
    </row>
    <row r="281" spans="1:4" x14ac:dyDescent="0.2">
      <c r="A281" s="5">
        <v>220</v>
      </c>
      <c r="B281" s="1832">
        <f>'Assets-Liab 5-6'!M41</f>
        <v>25133999</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50423</v>
      </c>
      <c r="D283" s="2" t="str">
        <f t="shared" si="3"/>
        <v>Error?</v>
      </c>
    </row>
    <row r="284" spans="1:4" x14ac:dyDescent="0.2">
      <c r="A284" s="5">
        <v>223</v>
      </c>
      <c r="B284" s="1832">
        <f>'Assets-Liab 5-6'!N23</f>
        <v>50423</v>
      </c>
      <c r="C284" s="2" t="s">
        <v>569</v>
      </c>
      <c r="D284" s="2" t="str">
        <f t="shared" si="3"/>
        <v>Error?</v>
      </c>
    </row>
    <row r="285" spans="1:4" x14ac:dyDescent="0.2">
      <c r="A285" s="5">
        <v>224</v>
      </c>
      <c r="B285" s="1832">
        <f>'Assets-Liab 5-6'!N36</f>
        <v>50423</v>
      </c>
      <c r="D285" s="2" t="str">
        <f t="shared" si="3"/>
        <v>Error?</v>
      </c>
    </row>
    <row r="286" spans="1:4" x14ac:dyDescent="0.2">
      <c r="A286" s="10">
        <v>225</v>
      </c>
      <c r="B286" s="1832"/>
      <c r="D286" s="2" t="str">
        <f t="shared" si="3"/>
        <v>OK</v>
      </c>
    </row>
    <row r="287" spans="1:4" x14ac:dyDescent="0.2">
      <c r="A287" s="5">
        <v>226</v>
      </c>
      <c r="B287" s="1832">
        <f>'Assets-Liab 5-6'!N37</f>
        <v>50423</v>
      </c>
      <c r="C287" s="2" t="s">
        <v>569</v>
      </c>
      <c r="D287" s="2" t="str">
        <f t="shared" si="3"/>
        <v>Error?</v>
      </c>
    </row>
    <row r="288" spans="1:4" x14ac:dyDescent="0.2">
      <c r="A288" s="5">
        <v>227</v>
      </c>
      <c r="B288" s="1832">
        <f>'Assets-Liab 5-6'!N41</f>
        <v>50423</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2293804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182999</v>
      </c>
      <c r="D717" s="2" t="str">
        <f t="shared" si="10"/>
        <v>Error?</v>
      </c>
    </row>
    <row r="718" spans="1:4" x14ac:dyDescent="0.2">
      <c r="A718" s="5">
        <v>657</v>
      </c>
      <c r="B718" s="1832">
        <f>'Expenditures 15-22'!C14</f>
        <v>60959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3395452</v>
      </c>
      <c r="C720" s="2" t="s">
        <v>569</v>
      </c>
      <c r="D720" s="2" t="str">
        <f t="shared" si="10"/>
        <v>Error?</v>
      </c>
    </row>
    <row r="721" spans="1:4" x14ac:dyDescent="0.2">
      <c r="A721" s="5">
        <v>660</v>
      </c>
      <c r="B721" s="1832">
        <f>'Expenditures 15-22'!C36</f>
        <v>16599</v>
      </c>
      <c r="D721" s="2" t="str">
        <f t="shared" si="10"/>
        <v>Error?</v>
      </c>
    </row>
    <row r="722" spans="1:4" x14ac:dyDescent="0.2">
      <c r="A722" s="5">
        <v>661</v>
      </c>
      <c r="B722" s="1832">
        <f>'Expenditures 15-22'!C37</f>
        <v>42798</v>
      </c>
      <c r="D722" s="2" t="str">
        <f t="shared" si="10"/>
        <v>Error?</v>
      </c>
    </row>
    <row r="723" spans="1:4" x14ac:dyDescent="0.2">
      <c r="A723" s="5">
        <v>662</v>
      </c>
      <c r="B723" s="1832">
        <f>'Expenditures 15-22'!C38</f>
        <v>83805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99989</v>
      </c>
      <c r="D725" s="2" t="str">
        <f t="shared" si="10"/>
        <v>Error?</v>
      </c>
    </row>
    <row r="726" spans="1:4" x14ac:dyDescent="0.2">
      <c r="A726" s="5">
        <v>665</v>
      </c>
      <c r="B726" s="1832">
        <f>'Expenditures 15-22'!C41</f>
        <v>22047</v>
      </c>
      <c r="D726" s="2" t="str">
        <f t="shared" si="10"/>
        <v>Error?</v>
      </c>
    </row>
    <row r="727" spans="1:4" x14ac:dyDescent="0.2">
      <c r="A727" s="5">
        <v>666</v>
      </c>
      <c r="B727" s="1832">
        <f>'Expenditures 15-22'!C42</f>
        <v>265238</v>
      </c>
      <c r="C727" s="2" t="s">
        <v>569</v>
      </c>
      <c r="D727" s="2" t="str">
        <f t="shared" si="10"/>
        <v>Error?</v>
      </c>
    </row>
    <row r="728" spans="1:4" x14ac:dyDescent="0.2">
      <c r="A728" s="5">
        <v>667</v>
      </c>
      <c r="B728" s="1832">
        <f>'Expenditures 15-22'!C44</f>
        <v>86625</v>
      </c>
      <c r="D728" s="2" t="str">
        <f t="shared" si="10"/>
        <v>Error?</v>
      </c>
    </row>
    <row r="729" spans="1:4" x14ac:dyDescent="0.2">
      <c r="A729" s="5">
        <v>668</v>
      </c>
      <c r="B729" s="1832">
        <f>'Expenditures 15-22'!C45</f>
        <v>55751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142376</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136140</v>
      </c>
      <c r="D733" s="2" t="str">
        <f t="shared" si="10"/>
        <v>Error?</v>
      </c>
    </row>
    <row r="734" spans="1:4" x14ac:dyDescent="0.2">
      <c r="A734" s="5">
        <v>673</v>
      </c>
      <c r="B734" s="1832">
        <f>'Expenditures 15-22'!C53</f>
        <v>136140</v>
      </c>
      <c r="C734" s="2" t="s">
        <v>569</v>
      </c>
      <c r="D734" s="2" t="str">
        <f t="shared" si="10"/>
        <v>Error?</v>
      </c>
    </row>
    <row r="735" spans="1:4" x14ac:dyDescent="0.2">
      <c r="A735" s="5">
        <v>674</v>
      </c>
      <c r="B735" s="1832">
        <f>'Expenditures 15-22'!C55</f>
        <v>488272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488272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184164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184164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1216190</v>
      </c>
      <c r="C755" s="2" t="s">
        <v>569</v>
      </c>
      <c r="D755" s="2" t="str">
        <f t="shared" si="10"/>
        <v>Error?</v>
      </c>
    </row>
    <row r="756" spans="1:4" x14ac:dyDescent="0.2">
      <c r="A756" s="5">
        <v>695</v>
      </c>
      <c r="B756" s="1832">
        <f>'Expenditures 15-22'!C75</f>
        <v>8567</v>
      </c>
      <c r="D756" s="2" t="str">
        <f t="shared" si="10"/>
        <v>Error?</v>
      </c>
    </row>
    <row r="757" spans="1:4" x14ac:dyDescent="0.2">
      <c r="A757" s="5">
        <v>696</v>
      </c>
      <c r="B757" s="1832">
        <f>'Expenditures 15-22'!C114</f>
        <v>4620209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394406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34041</v>
      </c>
      <c r="D775" s="2" t="str">
        <f t="shared" si="11"/>
        <v>Error?</v>
      </c>
    </row>
    <row r="776" spans="1:4" x14ac:dyDescent="0.2">
      <c r="A776" s="5">
        <v>715</v>
      </c>
      <c r="B776" s="1832">
        <f>'Expenditures 15-22'!D14</f>
        <v>1380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583747</v>
      </c>
      <c r="C778" s="2" t="s">
        <v>569</v>
      </c>
      <c r="D778" s="2" t="str">
        <f t="shared" si="11"/>
        <v>Error?</v>
      </c>
    </row>
    <row r="779" spans="1:4" x14ac:dyDescent="0.2">
      <c r="A779" s="5">
        <v>718</v>
      </c>
      <c r="B779" s="1832">
        <f>'Expenditures 15-22'!D36</f>
        <v>249</v>
      </c>
      <c r="D779" s="2" t="str">
        <f t="shared" si="11"/>
        <v>Error?</v>
      </c>
    </row>
    <row r="780" spans="1:4" x14ac:dyDescent="0.2">
      <c r="A780" s="5">
        <v>719</v>
      </c>
      <c r="B780" s="1832">
        <f>'Expenditures 15-22'!D37</f>
        <v>9478</v>
      </c>
      <c r="D780" s="2" t="str">
        <f t="shared" si="11"/>
        <v>Error?</v>
      </c>
    </row>
    <row r="781" spans="1:4" x14ac:dyDescent="0.2">
      <c r="A781" s="5">
        <v>720</v>
      </c>
      <c r="B781" s="1832">
        <f>'Expenditures 15-22'!D38</f>
        <v>16982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18375</v>
      </c>
      <c r="D783" s="2" t="str">
        <f t="shared" si="11"/>
        <v>Error?</v>
      </c>
    </row>
    <row r="784" spans="1:4" x14ac:dyDescent="0.2">
      <c r="A784" s="5">
        <v>723</v>
      </c>
      <c r="B784" s="1832">
        <f>'Expenditures 15-22'!D41</f>
        <v>144</v>
      </c>
      <c r="D784" s="2" t="str">
        <f t="shared" si="11"/>
        <v>Error?</v>
      </c>
    </row>
    <row r="785" spans="1:4" x14ac:dyDescent="0.2">
      <c r="A785" s="5">
        <v>724</v>
      </c>
      <c r="B785" s="1832">
        <f>'Expenditures 15-22'!D42</f>
        <v>45228</v>
      </c>
      <c r="C785" s="2" t="s">
        <v>569</v>
      </c>
      <c r="D785" s="2" t="str">
        <f t="shared" si="11"/>
        <v>Error?</v>
      </c>
    </row>
    <row r="786" spans="1:4" x14ac:dyDescent="0.2">
      <c r="A786" s="5">
        <v>725</v>
      </c>
      <c r="B786" s="1832">
        <f>'Expenditures 15-22'!D44</f>
        <v>2220</v>
      </c>
      <c r="D786" s="2" t="str">
        <f t="shared" si="11"/>
        <v>Error?</v>
      </c>
    </row>
    <row r="787" spans="1:4" x14ac:dyDescent="0.2">
      <c r="A787" s="5">
        <v>726</v>
      </c>
      <c r="B787" s="1832">
        <f>'Expenditures 15-22'!D45</f>
        <v>8938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11158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15589</v>
      </c>
      <c r="D791" s="2" t="str">
        <f t="shared" si="11"/>
        <v>Error?</v>
      </c>
    </row>
    <row r="792" spans="1:4" x14ac:dyDescent="0.2">
      <c r="A792" s="5">
        <v>731</v>
      </c>
      <c r="B792" s="1832">
        <f>'Expenditures 15-22'!D53</f>
        <v>15589</v>
      </c>
      <c r="C792" s="2" t="s">
        <v>569</v>
      </c>
      <c r="D792" s="2" t="str">
        <f t="shared" si="11"/>
        <v>Error?</v>
      </c>
    </row>
    <row r="793" spans="1:4" x14ac:dyDescent="0.2">
      <c r="A793" s="5">
        <v>732</v>
      </c>
      <c r="B793" s="1832">
        <f>'Expenditures 15-22'!D55</f>
        <v>75353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75353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62740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62740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210068</v>
      </c>
      <c r="C813" s="2" t="s">
        <v>569</v>
      </c>
      <c r="D813" s="2" t="str">
        <f t="shared" si="11"/>
        <v>Error?</v>
      </c>
    </row>
    <row r="814" spans="1:4" x14ac:dyDescent="0.2">
      <c r="A814" s="5">
        <v>753</v>
      </c>
      <c r="B814" s="1832">
        <f>'Expenditures 15-22'!D75</f>
        <v>2823</v>
      </c>
      <c r="D814" s="2" t="str">
        <f t="shared" si="11"/>
        <v>Error?</v>
      </c>
    </row>
    <row r="815" spans="1:4" x14ac:dyDescent="0.2">
      <c r="A815" s="5">
        <v>754</v>
      </c>
      <c r="B815" s="1832">
        <f>'Expenditures 15-22'!D114</f>
        <v>796638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14852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165</v>
      </c>
      <c r="D833" s="2" t="str">
        <f t="shared" si="12"/>
        <v>Error?</v>
      </c>
    </row>
    <row r="834" spans="1:4" x14ac:dyDescent="0.2">
      <c r="A834" s="5">
        <v>773</v>
      </c>
      <c r="B834" s="1832">
        <f>'Expenditures 15-22'!E14</f>
        <v>13987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38091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1153</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482</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1635</v>
      </c>
      <c r="C843" s="2" t="s">
        <v>569</v>
      </c>
      <c r="D843" s="2" t="str">
        <f t="shared" si="12"/>
        <v>Error?</v>
      </c>
    </row>
    <row r="844" spans="1:4" x14ac:dyDescent="0.2">
      <c r="A844" s="5">
        <v>783</v>
      </c>
      <c r="B844" s="1832">
        <f>'Expenditures 15-22'!E44</f>
        <v>20987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19010</v>
      </c>
      <c r="D846" s="2" t="str">
        <f t="shared" si="12"/>
        <v>Error?</v>
      </c>
    </row>
    <row r="847" spans="1:4" x14ac:dyDescent="0.2">
      <c r="A847" s="5">
        <v>786</v>
      </c>
      <c r="B847" s="1832">
        <f>'Expenditures 15-22'!E47</f>
        <v>39997</v>
      </c>
      <c r="C847" s="2" t="s">
        <v>569</v>
      </c>
      <c r="D847" s="2" t="str">
        <f t="shared" si="12"/>
        <v>Error?</v>
      </c>
    </row>
    <row r="848" spans="1:4" x14ac:dyDescent="0.2">
      <c r="A848" s="5">
        <v>787</v>
      </c>
      <c r="B848" s="1832">
        <f>'Expenditures 15-22'!E49</f>
        <v>13454</v>
      </c>
      <c r="D848" s="2" t="str">
        <f t="shared" si="12"/>
        <v>Error?</v>
      </c>
    </row>
    <row r="849" spans="1:4" x14ac:dyDescent="0.2">
      <c r="A849" s="5">
        <v>788</v>
      </c>
      <c r="B849" s="1832">
        <f>'Expenditures 15-22'!E50</f>
        <v>3993</v>
      </c>
      <c r="D849" s="2" t="str">
        <f t="shared" si="12"/>
        <v>Error?</v>
      </c>
    </row>
    <row r="850" spans="1:4" x14ac:dyDescent="0.2">
      <c r="A850" s="5">
        <v>789</v>
      </c>
      <c r="B850" s="1832">
        <f>'Expenditures 15-22'!E53</f>
        <v>17447</v>
      </c>
      <c r="C850" s="2" t="s">
        <v>569</v>
      </c>
      <c r="D850" s="2" t="str">
        <f t="shared" si="12"/>
        <v>Error?</v>
      </c>
    </row>
    <row r="851" spans="1:4" x14ac:dyDescent="0.2">
      <c r="A851" s="5">
        <v>790</v>
      </c>
      <c r="B851" s="1832">
        <f>'Expenditures 15-22'!E55</f>
        <v>21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224</v>
      </c>
      <c r="D855" s="2" t="str">
        <f t="shared" si="12"/>
        <v>Error?</v>
      </c>
    </row>
    <row r="856" spans="1:4" x14ac:dyDescent="0.2">
      <c r="A856" s="5">
        <v>795</v>
      </c>
      <c r="B856" s="1832">
        <f>'Expenditures 15-22'!E61</f>
        <v>48626</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4278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53128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112228</v>
      </c>
      <c r="C871" s="2" t="s">
        <v>569</v>
      </c>
      <c r="D871" s="2" t="str">
        <f t="shared" si="12"/>
        <v>Error?</v>
      </c>
    </row>
    <row r="872" spans="1:4" x14ac:dyDescent="0.2">
      <c r="A872" s="5">
        <v>811</v>
      </c>
      <c r="B872" s="1832">
        <f>'Expenditures 15-22'!E75</f>
        <v>5157</v>
      </c>
      <c r="D872" s="2" t="str">
        <f t="shared" si="12"/>
        <v>Error?</v>
      </c>
    </row>
    <row r="873" spans="1:4" x14ac:dyDescent="0.2">
      <c r="A873" s="5">
        <v>812</v>
      </c>
      <c r="B873" s="1832">
        <f>'Expenditures 15-22'!E114</f>
        <v>420847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71616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15983</v>
      </c>
      <c r="D891" s="2" t="str">
        <f t="shared" si="12"/>
        <v>Error?</v>
      </c>
    </row>
    <row r="892" spans="1:4" x14ac:dyDescent="0.2">
      <c r="A892" s="5">
        <v>831</v>
      </c>
      <c r="B892" s="1832">
        <f>'Expenditures 15-22'!F14</f>
        <v>1704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136832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848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848</v>
      </c>
      <c r="C901" s="2" t="s">
        <v>569</v>
      </c>
      <c r="D901" s="2" t="str">
        <f t="shared" si="13"/>
        <v>Error?</v>
      </c>
    </row>
    <row r="902" spans="1:4" x14ac:dyDescent="0.2">
      <c r="A902" s="5">
        <v>841</v>
      </c>
      <c r="B902" s="1832">
        <f>'Expenditures 15-22'!F44</f>
        <v>130089</v>
      </c>
      <c r="D902" s="2" t="str">
        <f t="shared" si="13"/>
        <v>Error?</v>
      </c>
    </row>
    <row r="903" spans="1:4" x14ac:dyDescent="0.2">
      <c r="A903" s="5">
        <v>842</v>
      </c>
      <c r="B903" s="1832">
        <f>'Expenditures 15-22'!F45</f>
        <v>2905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132994</v>
      </c>
      <c r="C905" s="2" t="s">
        <v>569</v>
      </c>
      <c r="D905" s="2" t="str">
        <f t="shared" si="13"/>
        <v>Error?</v>
      </c>
    </row>
    <row r="906" spans="1:4" x14ac:dyDescent="0.2">
      <c r="A906" s="5">
        <v>845</v>
      </c>
      <c r="B906" s="1832">
        <f>'Expenditures 15-22'!F49</f>
        <v>1449</v>
      </c>
      <c r="D906" s="2" t="str">
        <f t="shared" si="13"/>
        <v>Error?</v>
      </c>
    </row>
    <row r="907" spans="1:4" x14ac:dyDescent="0.2">
      <c r="A907" s="5">
        <v>846</v>
      </c>
      <c r="B907" s="1832">
        <f>'Expenditures 15-22'!F50</f>
        <v>1196</v>
      </c>
      <c r="D907" s="2" t="str">
        <f t="shared" si="13"/>
        <v>Error?</v>
      </c>
    </row>
    <row r="908" spans="1:4" x14ac:dyDescent="0.2">
      <c r="A908" s="5">
        <v>847</v>
      </c>
      <c r="B908" s="1832">
        <f>'Expenditures 15-22'!F53</f>
        <v>2645</v>
      </c>
      <c r="C908" s="2" t="s">
        <v>569</v>
      </c>
      <c r="D908" s="2" t="str">
        <f t="shared" si="13"/>
        <v>Error?</v>
      </c>
    </row>
    <row r="909" spans="1:4" x14ac:dyDescent="0.2">
      <c r="A909" s="5">
        <v>848</v>
      </c>
      <c r="B909" s="1832">
        <f>'Expenditures 15-22'!F55</f>
        <v>7995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7995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198790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198790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343272</v>
      </c>
      <c r="C929" s="2" t="s">
        <v>569</v>
      </c>
      <c r="D929" s="2" t="str">
        <f t="shared" si="13"/>
        <v>Error?</v>
      </c>
    </row>
    <row r="930" spans="1:4" x14ac:dyDescent="0.2">
      <c r="A930" s="5">
        <v>869</v>
      </c>
      <c r="B930" s="1832">
        <f>'Expenditures 15-22'!F75</f>
        <v>1169</v>
      </c>
      <c r="D930" s="2" t="str">
        <f t="shared" si="13"/>
        <v>Error?</v>
      </c>
    </row>
    <row r="931" spans="1:4" x14ac:dyDescent="0.2">
      <c r="A931" s="5">
        <v>870</v>
      </c>
      <c r="B931" s="1832">
        <f>'Expenditures 15-22'!F114</f>
        <v>481273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23815</v>
      </c>
      <c r="D949" s="2" t="str">
        <f t="shared" si="13"/>
        <v>Error?</v>
      </c>
    </row>
    <row r="950" spans="1:4" x14ac:dyDescent="0.2">
      <c r="A950" s="5">
        <v>889</v>
      </c>
      <c r="B950" s="1832">
        <f>'Expenditures 15-22'!G14</f>
        <v>6972</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37506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47873</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47873</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762</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762</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48635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86141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206</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206</v>
      </c>
      <c r="C1021" s="2" t="s">
        <v>569</v>
      </c>
      <c r="D1021" s="2" t="str">
        <f t="shared" si="14"/>
        <v>Error?</v>
      </c>
    </row>
    <row r="1022" spans="1:4" x14ac:dyDescent="0.2">
      <c r="A1022" s="5">
        <v>961</v>
      </c>
      <c r="B1022" s="1832">
        <f>'Expenditures 15-22'!H49</f>
        <v>5859</v>
      </c>
      <c r="D1022" s="2" t="str">
        <f t="shared" si="14"/>
        <v>Error?</v>
      </c>
    </row>
    <row r="1023" spans="1:4" x14ac:dyDescent="0.2">
      <c r="A1023" s="5">
        <v>962</v>
      </c>
      <c r="B1023" s="1832">
        <f>'Expenditures 15-22'!H50</f>
        <v>322</v>
      </c>
      <c r="D1023" s="2" t="str">
        <f t="shared" ref="D1023:D1086" si="15">IF(ISBLANK(B1023),"OK",IF(A1023-B1023=0,"OK","Error?"))</f>
        <v>Error?</v>
      </c>
    </row>
    <row r="1024" spans="1:4" x14ac:dyDescent="0.2">
      <c r="A1024" s="5">
        <v>963</v>
      </c>
      <c r="B1024" s="1832">
        <f>'Expenditures 15-22'!H53</f>
        <v>6181</v>
      </c>
      <c r="C1024" s="2" t="s">
        <v>569</v>
      </c>
      <c r="D1024" s="2" t="str">
        <f t="shared" si="15"/>
        <v>Error?</v>
      </c>
    </row>
    <row r="1025" spans="1:4" x14ac:dyDescent="0.2">
      <c r="A1025" s="5">
        <v>964</v>
      </c>
      <c r="B1025" s="1832">
        <f>'Expenditures 15-22'!H55</f>
        <v>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6392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384274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390666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2774678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257003</v>
      </c>
      <c r="C1105" s="2" t="s">
        <v>569</v>
      </c>
      <c r="D1105" s="2" t="str">
        <f t="shared" si="16"/>
        <v>Error?</v>
      </c>
    </row>
    <row r="1106" spans="1:4" x14ac:dyDescent="0.2">
      <c r="A1106" s="5">
        <v>1045</v>
      </c>
      <c r="B1106" s="1832">
        <f>'Expenditures 15-22'!K14</f>
        <v>85002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4191628</v>
      </c>
      <c r="C1108" s="2" t="s">
        <v>569</v>
      </c>
      <c r="D1108" s="2" t="str">
        <f t="shared" si="16"/>
        <v>Error?</v>
      </c>
    </row>
    <row r="1109" spans="1:4" x14ac:dyDescent="0.2">
      <c r="A1109" s="5">
        <v>1048</v>
      </c>
      <c r="B1109" s="1832">
        <f>'Expenditures 15-22'!K36</f>
        <v>16848</v>
      </c>
      <c r="C1109" s="2" t="s">
        <v>569</v>
      </c>
      <c r="D1109" s="2" t="str">
        <f t="shared" si="16"/>
        <v>Error?</v>
      </c>
    </row>
    <row r="1110" spans="1:4" x14ac:dyDescent="0.2">
      <c r="A1110" s="5">
        <v>1049</v>
      </c>
      <c r="B1110" s="1832">
        <f>'Expenditures 15-22'!K37</f>
        <v>52276</v>
      </c>
      <c r="C1110" s="2" t="s">
        <v>569</v>
      </c>
      <c r="D1110" s="2" t="str">
        <f t="shared" si="16"/>
        <v>Error?</v>
      </c>
    </row>
    <row r="1111" spans="1:4" x14ac:dyDescent="0.2">
      <c r="A1111" s="5">
        <v>1050</v>
      </c>
      <c r="B1111" s="1832">
        <f>'Expenditures 15-22'!K38</f>
        <v>102788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118846</v>
      </c>
      <c r="C1113" s="2" t="s">
        <v>569</v>
      </c>
      <c r="D1113" s="2" t="str">
        <f t="shared" si="16"/>
        <v>Error?</v>
      </c>
    </row>
    <row r="1114" spans="1:4" x14ac:dyDescent="0.2">
      <c r="A1114" s="5">
        <v>1053</v>
      </c>
      <c r="B1114" s="1832">
        <f>'Expenditures 15-22'!K41</f>
        <v>22191</v>
      </c>
      <c r="C1114" s="2" t="s">
        <v>569</v>
      </c>
      <c r="D1114" s="2" t="str">
        <f t="shared" si="16"/>
        <v>Error?</v>
      </c>
    </row>
    <row r="1115" spans="1:4" x14ac:dyDescent="0.2">
      <c r="A1115" s="5">
        <v>1054</v>
      </c>
      <c r="B1115" s="1832">
        <f>'Expenditures 15-22'!K42</f>
        <v>312949</v>
      </c>
      <c r="C1115" s="2" t="s">
        <v>569</v>
      </c>
      <c r="D1115" s="2" t="str">
        <f t="shared" si="16"/>
        <v>Error?</v>
      </c>
    </row>
    <row r="1116" spans="1:4" x14ac:dyDescent="0.2">
      <c r="A1116" s="5">
        <v>1055</v>
      </c>
      <c r="B1116" s="1832">
        <f>'Expenditures 15-22'!K44</f>
        <v>287794</v>
      </c>
      <c r="C1116" s="2" t="s">
        <v>569</v>
      </c>
      <c r="D1116" s="2" t="str">
        <f t="shared" si="16"/>
        <v>Error?</v>
      </c>
    </row>
    <row r="1117" spans="1:4" x14ac:dyDescent="0.2">
      <c r="A1117" s="5">
        <v>1056</v>
      </c>
      <c r="B1117" s="1832">
        <f>'Expenditures 15-22'!K45</f>
        <v>67800</v>
      </c>
      <c r="C1117" s="2" t="s">
        <v>569</v>
      </c>
      <c r="D1117" s="2" t="str">
        <f t="shared" si="16"/>
        <v>Error?</v>
      </c>
    </row>
    <row r="1118" spans="1:4" x14ac:dyDescent="0.2">
      <c r="A1118" s="5">
        <v>1057</v>
      </c>
      <c r="B1118" s="1832">
        <f>'Expenditures 15-22'!K46</f>
        <v>19010</v>
      </c>
      <c r="C1118" s="2" t="s">
        <v>569</v>
      </c>
      <c r="D1118" s="2" t="str">
        <f t="shared" si="16"/>
        <v>Error?</v>
      </c>
    </row>
    <row r="1119" spans="1:4" x14ac:dyDescent="0.2">
      <c r="A1119" s="5">
        <v>1058</v>
      </c>
      <c r="B1119" s="1832">
        <f>'Expenditures 15-22'!K47</f>
        <v>374604</v>
      </c>
      <c r="C1119" s="2" t="s">
        <v>569</v>
      </c>
      <c r="D1119" s="2" t="str">
        <f t="shared" si="16"/>
        <v>Error?</v>
      </c>
    </row>
    <row r="1120" spans="1:4" x14ac:dyDescent="0.2">
      <c r="A1120" s="5">
        <v>1059</v>
      </c>
      <c r="B1120" s="1832">
        <f>'Expenditures 15-22'!K49</f>
        <v>20762</v>
      </c>
      <c r="C1120" s="2" t="s">
        <v>569</v>
      </c>
      <c r="D1120" s="2" t="str">
        <f t="shared" si="16"/>
        <v>Error?</v>
      </c>
    </row>
    <row r="1121" spans="1:4" x14ac:dyDescent="0.2">
      <c r="A1121" s="5">
        <v>1060</v>
      </c>
      <c r="B1121" s="1832">
        <f>'Expenditures 15-22'!K50</f>
        <v>157240</v>
      </c>
      <c r="C1121" s="2" t="s">
        <v>569</v>
      </c>
      <c r="D1121" s="2" t="str">
        <f t="shared" si="16"/>
        <v>Error?</v>
      </c>
    </row>
    <row r="1122" spans="1:4" x14ac:dyDescent="0.2">
      <c r="A1122" s="5">
        <v>1061</v>
      </c>
      <c r="B1122" s="1832">
        <f>'Expenditures 15-22'!K53</f>
        <v>178002</v>
      </c>
      <c r="C1122" s="2" t="s">
        <v>569</v>
      </c>
      <c r="D1122" s="2" t="str">
        <f t="shared" si="16"/>
        <v>Error?</v>
      </c>
    </row>
    <row r="1123" spans="1:4" x14ac:dyDescent="0.2">
      <c r="A1123" s="5">
        <v>1062</v>
      </c>
      <c r="B1123" s="1832">
        <f>'Expenditures 15-22'!K55</f>
        <v>571646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571646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224</v>
      </c>
      <c r="C1127" s="2" t="s">
        <v>569</v>
      </c>
      <c r="D1127" s="2" t="str">
        <f t="shared" si="16"/>
        <v>Error?</v>
      </c>
    </row>
    <row r="1128" spans="1:4" x14ac:dyDescent="0.2">
      <c r="A1128" s="5">
        <v>1067</v>
      </c>
      <c r="B1128" s="1832">
        <f>'Expenditures 15-22'!K61</f>
        <v>48626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450734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499584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1936785</v>
      </c>
      <c r="C1143" s="2" t="s">
        <v>569</v>
      </c>
      <c r="D1143" s="2" t="str">
        <f t="shared" si="16"/>
        <v>Error?</v>
      </c>
    </row>
    <row r="1144" spans="1:4" x14ac:dyDescent="0.2">
      <c r="A1144" s="5">
        <v>1083</v>
      </c>
      <c r="B1144" s="1832">
        <f>'Expenditures 15-22'!K75</f>
        <v>17716</v>
      </c>
      <c r="C1144" s="2" t="s">
        <v>569</v>
      </c>
      <c r="D1144" s="2" t="str">
        <f t="shared" si="16"/>
        <v>Error?</v>
      </c>
    </row>
    <row r="1145" spans="1:4" x14ac:dyDescent="0.2">
      <c r="A1145" s="5">
        <v>1084</v>
      </c>
      <c r="B1145" s="1832">
        <f>'Expenditures 15-22'!K102</f>
        <v>649645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6795774</v>
      </c>
      <c r="C1152" s="2" t="s">
        <v>569</v>
      </c>
      <c r="D1152" s="2" t="str">
        <f t="shared" si="17"/>
        <v>Error?</v>
      </c>
    </row>
    <row r="1153" spans="1:4" x14ac:dyDescent="0.2">
      <c r="A1153" s="5">
        <v>1092</v>
      </c>
      <c r="B1153" s="1832">
        <f>'Expenditures 15-22'!K115</f>
        <v>456809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316835</v>
      </c>
      <c r="D1221" s="2" t="str">
        <f t="shared" si="18"/>
        <v>Error?</v>
      </c>
    </row>
    <row r="1222" spans="1:4" x14ac:dyDescent="0.2">
      <c r="A1222" s="10">
        <v>1161</v>
      </c>
      <c r="B1222" s="1832"/>
      <c r="D1222" s="2" t="str">
        <f t="shared" si="18"/>
        <v>OK</v>
      </c>
    </row>
    <row r="1223" spans="1:4" x14ac:dyDescent="0.2">
      <c r="A1223" s="5">
        <v>1162</v>
      </c>
      <c r="B1223" s="1832">
        <f>'Expenditures 15-22'!C127</f>
        <v>316835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316835</v>
      </c>
      <c r="C1225" s="2" t="s">
        <v>569</v>
      </c>
      <c r="D1225" s="2" t="str">
        <f t="shared" si="18"/>
        <v>Error?</v>
      </c>
    </row>
    <row r="1226" spans="1:4" x14ac:dyDescent="0.2">
      <c r="A1226" s="5">
        <v>1165</v>
      </c>
      <c r="B1226" s="1832">
        <f>'Expenditures 15-22'!C151</f>
        <v>316835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63511</v>
      </c>
      <c r="D1229" s="2" t="str">
        <f t="shared" si="18"/>
        <v>Error?</v>
      </c>
    </row>
    <row r="1230" spans="1:4" x14ac:dyDescent="0.2">
      <c r="A1230" s="10">
        <v>1169</v>
      </c>
      <c r="B1230" s="1832"/>
      <c r="D1230" s="2" t="str">
        <f t="shared" si="18"/>
        <v>OK</v>
      </c>
    </row>
    <row r="1231" spans="1:4" x14ac:dyDescent="0.2">
      <c r="A1231" s="5">
        <v>1170</v>
      </c>
      <c r="B1231" s="1832">
        <f>'Expenditures 15-22'!D127</f>
        <v>63511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63511</v>
      </c>
      <c r="C1233" s="2" t="s">
        <v>569</v>
      </c>
      <c r="D1233" s="2" t="str">
        <f t="shared" si="18"/>
        <v>Error?</v>
      </c>
    </row>
    <row r="1234" spans="1:4" x14ac:dyDescent="0.2">
      <c r="A1234" s="5">
        <v>1173</v>
      </c>
      <c r="B1234" s="1832">
        <f>'Expenditures 15-22'!D151</f>
        <v>63511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117051</v>
      </c>
      <c r="D1237" s="2" t="str">
        <f t="shared" si="18"/>
        <v>Error?</v>
      </c>
    </row>
    <row r="1238" spans="1:4" x14ac:dyDescent="0.2">
      <c r="A1238" s="10">
        <v>1177</v>
      </c>
      <c r="B1238" s="1832"/>
      <c r="D1238" s="2" t="str">
        <f t="shared" si="18"/>
        <v>OK</v>
      </c>
    </row>
    <row r="1239" spans="1:4" x14ac:dyDescent="0.2">
      <c r="A1239" s="5">
        <v>1178</v>
      </c>
      <c r="B1239" s="1832">
        <f>'Expenditures 15-22'!E127</f>
        <v>117051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117051</v>
      </c>
      <c r="C1241" s="2" t="s">
        <v>569</v>
      </c>
      <c r="D1241" s="2" t="str">
        <f t="shared" si="18"/>
        <v>Error?</v>
      </c>
    </row>
    <row r="1242" spans="1:4" x14ac:dyDescent="0.2">
      <c r="A1242" s="5">
        <v>1181</v>
      </c>
      <c r="B1242" s="1832">
        <f>'Expenditures 15-22'!E151</f>
        <v>117051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260588</v>
      </c>
      <c r="D1245" s="2" t="str">
        <f t="shared" si="18"/>
        <v>Error?</v>
      </c>
    </row>
    <row r="1246" spans="1:4" x14ac:dyDescent="0.2">
      <c r="A1246" s="10">
        <v>1185</v>
      </c>
      <c r="B1246" s="1832"/>
      <c r="D1246" s="2" t="str">
        <f t="shared" si="18"/>
        <v>OK</v>
      </c>
    </row>
    <row r="1247" spans="1:4" x14ac:dyDescent="0.2">
      <c r="A1247" s="5">
        <v>1186</v>
      </c>
      <c r="B1247" s="1832">
        <f>'Expenditures 15-22'!F127</f>
        <v>260588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260588</v>
      </c>
      <c r="C1249" s="2" t="s">
        <v>569</v>
      </c>
      <c r="D1249" s="2" t="str">
        <f t="shared" si="18"/>
        <v>Error?</v>
      </c>
    </row>
    <row r="1250" spans="1:4" x14ac:dyDescent="0.2">
      <c r="A1250" s="5">
        <v>1189</v>
      </c>
      <c r="B1250" s="1832">
        <f>'Expenditures 15-22'!F151</f>
        <v>260588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7199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7199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7199</v>
      </c>
      <c r="C1258" s="2" t="s">
        <v>569</v>
      </c>
      <c r="D1258" s="2" t="str">
        <f t="shared" si="18"/>
        <v>Error?</v>
      </c>
    </row>
    <row r="1259" spans="1:4" x14ac:dyDescent="0.2">
      <c r="A1259" s="5">
        <v>1198</v>
      </c>
      <c r="B1259" s="1832">
        <f>'Expenditures 15-22'!G151</f>
        <v>7199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765184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765184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765184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765184</v>
      </c>
      <c r="C1288" s="2" t="s">
        <v>569</v>
      </c>
      <c r="D1288" s="2" t="str">
        <f t="shared" si="19"/>
        <v>Error?</v>
      </c>
    </row>
    <row r="1289" spans="1:4" x14ac:dyDescent="0.2">
      <c r="A1289" s="5">
        <v>1228</v>
      </c>
      <c r="B1289" s="1832">
        <f>'Expenditures 15-22'!K152</f>
        <v>99360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210864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210864</v>
      </c>
      <c r="C1339" s="2" t="s">
        <v>569</v>
      </c>
      <c r="D1339" s="2" t="str">
        <f t="shared" si="19"/>
        <v>Error?</v>
      </c>
    </row>
    <row r="1340" spans="1:4" x14ac:dyDescent="0.2">
      <c r="A1340" s="5">
        <v>1279</v>
      </c>
      <c r="B1340" s="1832">
        <f>'Expenditures 15-22'!C210</f>
        <v>210864</v>
      </c>
      <c r="C1340" s="2" t="s">
        <v>569</v>
      </c>
      <c r="D1340" s="2" t="str">
        <f t="shared" si="19"/>
        <v>Error?</v>
      </c>
    </row>
    <row r="1341" spans="1:4" x14ac:dyDescent="0.2">
      <c r="A1341" s="5">
        <v>1280</v>
      </c>
      <c r="B1341" s="1832">
        <f>'Expenditures 15-22'!D182</f>
        <v>61301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61301</v>
      </c>
      <c r="C1345" s="2" t="s">
        <v>569</v>
      </c>
      <c r="D1345" s="2" t="str">
        <f t="shared" si="20"/>
        <v>Error?</v>
      </c>
    </row>
    <row r="1346" spans="1:4" x14ac:dyDescent="0.2">
      <c r="A1346" s="5">
        <v>1285</v>
      </c>
      <c r="B1346" s="1832">
        <f>'Expenditures 15-22'!D210</f>
        <v>61301</v>
      </c>
      <c r="C1346" s="2" t="s">
        <v>569</v>
      </c>
      <c r="D1346" s="2" t="str">
        <f t="shared" si="20"/>
        <v>Error?</v>
      </c>
    </row>
    <row r="1347" spans="1:4" x14ac:dyDescent="0.2">
      <c r="A1347" s="5">
        <v>1286</v>
      </c>
      <c r="B1347" s="1832">
        <f>'Expenditures 15-22'!E182</f>
        <v>136512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136512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136512</v>
      </c>
      <c r="C1353" s="2" t="s">
        <v>569</v>
      </c>
      <c r="D1353" s="2" t="str">
        <f t="shared" si="20"/>
        <v>Error?</v>
      </c>
    </row>
    <row r="1354" spans="1:4" x14ac:dyDescent="0.2">
      <c r="A1354" s="5">
        <v>1293</v>
      </c>
      <c r="B1354" s="1832">
        <f>'Expenditures 15-22'!F182</f>
        <v>71996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71996</v>
      </c>
      <c r="C1358" s="2" t="s">
        <v>569</v>
      </c>
      <c r="D1358" s="2" t="str">
        <f t="shared" si="20"/>
        <v>Error?</v>
      </c>
    </row>
    <row r="1359" spans="1:4" x14ac:dyDescent="0.2">
      <c r="A1359" s="5">
        <v>1298</v>
      </c>
      <c r="B1359" s="1832">
        <f>'Expenditures 15-22'!F210</f>
        <v>71996</v>
      </c>
      <c r="C1359" s="2" t="s">
        <v>569</v>
      </c>
      <c r="D1359" s="2" t="str">
        <f t="shared" si="20"/>
        <v>Error?</v>
      </c>
    </row>
    <row r="1360" spans="1:4" x14ac:dyDescent="0.2">
      <c r="A1360" s="5">
        <v>1299</v>
      </c>
      <c r="B1360" s="1832">
        <f>'Expenditures 15-22'!G182</f>
        <v>286422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286422</v>
      </c>
      <c r="C1364" s="2" t="s">
        <v>569</v>
      </c>
      <c r="D1364" s="2" t="str">
        <f t="shared" si="20"/>
        <v>Error?</v>
      </c>
    </row>
    <row r="1365" spans="1:4" x14ac:dyDescent="0.2">
      <c r="A1365" s="5">
        <v>1304</v>
      </c>
      <c r="B1365" s="1832">
        <f>'Expenditures 15-22'!G210</f>
        <v>286422</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767095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767095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767095</v>
      </c>
      <c r="C1388" s="2" t="s">
        <v>569</v>
      </c>
      <c r="D1388" s="2" t="str">
        <f t="shared" si="20"/>
        <v>Error?</v>
      </c>
    </row>
    <row r="1389" spans="1:4" x14ac:dyDescent="0.2">
      <c r="A1389" s="5">
        <v>1328</v>
      </c>
      <c r="B1389" s="1832">
        <f>'Expenditures 15-22'!K211</f>
        <v>18818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2339</v>
      </c>
      <c r="D1407" s="2" t="str">
        <f t="shared" ref="D1407:D1470" si="21">IF(ISBLANK(B1407),"OK",IF(A1407-B1407=0,"OK","Error?"))</f>
        <v>Error?</v>
      </c>
    </row>
    <row r="1408" spans="1:4" x14ac:dyDescent="0.2">
      <c r="A1408" s="5">
        <v>1347</v>
      </c>
      <c r="B1408" s="1832">
        <f>'Expenditures 15-22'!D223</f>
        <v>2024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107522</v>
      </c>
      <c r="C1410" s="2" t="s">
        <v>569</v>
      </c>
      <c r="D1410" s="2" t="str">
        <f t="shared" si="21"/>
        <v>Error?</v>
      </c>
    </row>
    <row r="1411" spans="1:4" x14ac:dyDescent="0.2">
      <c r="A1411" s="5">
        <v>1350</v>
      </c>
      <c r="B1411" s="1832">
        <f>'Expenditures 15-22'!D232</f>
        <v>241</v>
      </c>
      <c r="D1411" s="2" t="str">
        <f t="shared" si="21"/>
        <v>Error?</v>
      </c>
    </row>
    <row r="1412" spans="1:4" x14ac:dyDescent="0.2">
      <c r="A1412" s="5">
        <v>1351</v>
      </c>
      <c r="B1412" s="1832">
        <f>'Expenditures 15-22'!D233</f>
        <v>576</v>
      </c>
      <c r="D1412" s="2" t="str">
        <f t="shared" si="21"/>
        <v>Error?</v>
      </c>
    </row>
    <row r="1413" spans="1:4" x14ac:dyDescent="0.2">
      <c r="A1413" s="5">
        <v>1352</v>
      </c>
      <c r="B1413" s="1832">
        <f>'Expenditures 15-22'!D234</f>
        <v>3958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1385</v>
      </c>
      <c r="D1415" s="2" t="str">
        <f t="shared" si="21"/>
        <v>Error?</v>
      </c>
    </row>
    <row r="1416" spans="1:4" x14ac:dyDescent="0.2">
      <c r="A1416" s="5">
        <v>1355</v>
      </c>
      <c r="B1416" s="1832">
        <f>'Expenditures 15-22'!D237</f>
        <v>1123</v>
      </c>
      <c r="D1416" s="2" t="str">
        <f t="shared" si="21"/>
        <v>Error?</v>
      </c>
    </row>
    <row r="1417" spans="1:4" x14ac:dyDescent="0.2">
      <c r="A1417" s="5">
        <v>1356</v>
      </c>
      <c r="B1417" s="1832">
        <f>'Expenditures 15-22'!D238</f>
        <v>7283</v>
      </c>
      <c r="C1417" s="2" t="s">
        <v>569</v>
      </c>
      <c r="D1417" s="2" t="str">
        <f t="shared" si="21"/>
        <v>Error?</v>
      </c>
    </row>
    <row r="1418" spans="1:4" x14ac:dyDescent="0.2">
      <c r="A1418" s="5">
        <v>1357</v>
      </c>
      <c r="B1418" s="1832">
        <f>'Expenditures 15-22'!D240</f>
        <v>17184</v>
      </c>
      <c r="D1418" s="2" t="str">
        <f t="shared" si="21"/>
        <v>Error?</v>
      </c>
    </row>
    <row r="1419" spans="1:4" x14ac:dyDescent="0.2">
      <c r="A1419" s="5">
        <v>1358</v>
      </c>
      <c r="B1419" s="1832">
        <f>'Expenditures 15-22'!D241</f>
        <v>10887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28071</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10355</v>
      </c>
      <c r="D1423" s="2" t="str">
        <f t="shared" si="21"/>
        <v>Error?</v>
      </c>
    </row>
    <row r="1424" spans="1:4" x14ac:dyDescent="0.2">
      <c r="A1424" s="5">
        <v>1363</v>
      </c>
      <c r="B1424" s="1832">
        <f>'Expenditures 15-22'!D257</f>
        <v>10355</v>
      </c>
      <c r="C1424" s="2" t="s">
        <v>569</v>
      </c>
      <c r="D1424" s="2" t="str">
        <f t="shared" si="21"/>
        <v>Error?</v>
      </c>
    </row>
    <row r="1425" spans="1:4" x14ac:dyDescent="0.2">
      <c r="A1425" s="5">
        <v>1364</v>
      </c>
      <c r="B1425" s="1832">
        <f>'Expenditures 15-22'!D259</f>
        <v>48938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48938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5427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60438</v>
      </c>
      <c r="D1431" s="2" t="str">
        <f t="shared" si="21"/>
        <v>Error?</v>
      </c>
    </row>
    <row r="1432" spans="1:4" x14ac:dyDescent="0.2">
      <c r="A1432" s="5">
        <v>1371</v>
      </c>
      <c r="B1432" s="1832">
        <f>'Expenditures 15-22'!D267</f>
        <v>38125</v>
      </c>
      <c r="D1432" s="2" t="str">
        <f t="shared" si="21"/>
        <v>Error?</v>
      </c>
    </row>
    <row r="1433" spans="1:4" x14ac:dyDescent="0.2">
      <c r="A1433" s="5">
        <v>1372</v>
      </c>
      <c r="B1433" s="1832">
        <f>'Expenditures 15-22'!D268</f>
        <v>34802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138792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233439</v>
      </c>
      <c r="C1446" s="2" t="s">
        <v>569</v>
      </c>
      <c r="D1446" s="2" t="str">
        <f t="shared" si="21"/>
        <v>Error?</v>
      </c>
    </row>
    <row r="1447" spans="1:4" x14ac:dyDescent="0.2">
      <c r="A1447" s="5">
        <v>1386</v>
      </c>
      <c r="B1447" s="1832">
        <f>'Expenditures 15-22'!D280</f>
        <v>1012</v>
      </c>
      <c r="D1447" s="2" t="str">
        <f t="shared" si="21"/>
        <v>Error?</v>
      </c>
    </row>
    <row r="1448" spans="1:4" x14ac:dyDescent="0.2">
      <c r="A1448" s="5">
        <v>1387</v>
      </c>
      <c r="B1448" s="1832">
        <f>'Expenditures 15-22'!D295</f>
        <v>341973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2339</v>
      </c>
      <c r="C1471" s="2" t="s">
        <v>569</v>
      </c>
      <c r="D1471" s="2" t="str">
        <f t="shared" ref="D1471:D1534" si="22">IF(ISBLANK(B1471),"OK",IF(A1471-B1471=0,"OK","Error?"))</f>
        <v>Error?</v>
      </c>
    </row>
    <row r="1472" spans="1:4" x14ac:dyDescent="0.2">
      <c r="A1472" s="5">
        <v>1411</v>
      </c>
      <c r="B1472" s="1832">
        <f>'Expenditures 15-22'!K223</f>
        <v>2024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107522</v>
      </c>
      <c r="C1474" s="2" t="s">
        <v>569</v>
      </c>
      <c r="D1474" s="2" t="str">
        <f t="shared" si="22"/>
        <v>Error?</v>
      </c>
    </row>
    <row r="1475" spans="1:4" x14ac:dyDescent="0.2">
      <c r="A1475" s="5">
        <v>1414</v>
      </c>
      <c r="B1475" s="1832">
        <f>'Expenditures 15-22'!K232</f>
        <v>241</v>
      </c>
      <c r="C1475" s="2" t="s">
        <v>569</v>
      </c>
      <c r="D1475" s="2" t="str">
        <f t="shared" si="22"/>
        <v>Error?</v>
      </c>
    </row>
    <row r="1476" spans="1:4" x14ac:dyDescent="0.2">
      <c r="A1476" s="5">
        <v>1415</v>
      </c>
      <c r="B1476" s="1832">
        <f>'Expenditures 15-22'!K233</f>
        <v>576</v>
      </c>
      <c r="C1476" s="2" t="s">
        <v>569</v>
      </c>
      <c r="D1476" s="2" t="str">
        <f t="shared" si="22"/>
        <v>Error?</v>
      </c>
    </row>
    <row r="1477" spans="1:4" x14ac:dyDescent="0.2">
      <c r="A1477" s="5">
        <v>1416</v>
      </c>
      <c r="B1477" s="1832">
        <f>'Expenditures 15-22'!K234</f>
        <v>3958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1385</v>
      </c>
      <c r="C1479" s="2" t="s">
        <v>569</v>
      </c>
      <c r="D1479" s="2" t="str">
        <f t="shared" si="22"/>
        <v>Error?</v>
      </c>
    </row>
    <row r="1480" spans="1:4" x14ac:dyDescent="0.2">
      <c r="A1480" s="5">
        <v>1419</v>
      </c>
      <c r="B1480" s="1832">
        <f>'Expenditures 15-22'!K237</f>
        <v>1123</v>
      </c>
      <c r="C1480" s="2" t="s">
        <v>569</v>
      </c>
      <c r="D1480" s="2" t="str">
        <f t="shared" si="22"/>
        <v>Error?</v>
      </c>
    </row>
    <row r="1481" spans="1:4" x14ac:dyDescent="0.2">
      <c r="A1481" s="5">
        <v>1420</v>
      </c>
      <c r="B1481" s="1832">
        <f>'Expenditures 15-22'!K238</f>
        <v>7283</v>
      </c>
      <c r="C1481" s="2" t="s">
        <v>569</v>
      </c>
      <c r="D1481" s="2" t="str">
        <f t="shared" si="22"/>
        <v>Error?</v>
      </c>
    </row>
    <row r="1482" spans="1:4" x14ac:dyDescent="0.2">
      <c r="A1482" s="5">
        <v>1421</v>
      </c>
      <c r="B1482" s="1832">
        <f>'Expenditures 15-22'!K240</f>
        <v>17184</v>
      </c>
      <c r="C1482" s="2" t="s">
        <v>569</v>
      </c>
      <c r="D1482" s="2" t="str">
        <f t="shared" si="22"/>
        <v>Error?</v>
      </c>
    </row>
    <row r="1483" spans="1:4" x14ac:dyDescent="0.2">
      <c r="A1483" s="5">
        <v>1422</v>
      </c>
      <c r="B1483" s="1832">
        <f>'Expenditures 15-22'!K241</f>
        <v>10887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28071</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10355</v>
      </c>
      <c r="C1487" s="2" t="s">
        <v>569</v>
      </c>
      <c r="D1487" s="2" t="str">
        <f t="shared" si="22"/>
        <v>Error?</v>
      </c>
    </row>
    <row r="1488" spans="1:4" x14ac:dyDescent="0.2">
      <c r="A1488" s="5">
        <v>1427</v>
      </c>
      <c r="B1488" s="1832">
        <f>'Expenditures 15-22'!K257</f>
        <v>10355</v>
      </c>
      <c r="C1488" s="2" t="s">
        <v>569</v>
      </c>
      <c r="D1488" s="2" t="str">
        <f t="shared" si="22"/>
        <v>Error?</v>
      </c>
    </row>
    <row r="1489" spans="1:4" x14ac:dyDescent="0.2">
      <c r="A1489" s="5">
        <v>1428</v>
      </c>
      <c r="B1489" s="1832">
        <f>'Expenditures 15-22'!K259</f>
        <v>48938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48938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5427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60438</v>
      </c>
      <c r="C1495" s="2" t="s">
        <v>569</v>
      </c>
      <c r="D1495" s="2" t="str">
        <f t="shared" si="22"/>
        <v>Error?</v>
      </c>
    </row>
    <row r="1496" spans="1:4" x14ac:dyDescent="0.2">
      <c r="A1496" s="5">
        <v>1435</v>
      </c>
      <c r="B1496" s="1832">
        <f>'Expenditures 15-22'!K267</f>
        <v>38125</v>
      </c>
      <c r="C1496" s="2" t="s">
        <v>569</v>
      </c>
      <c r="D1496" s="2" t="str">
        <f t="shared" si="22"/>
        <v>Error?</v>
      </c>
    </row>
    <row r="1497" spans="1:4" x14ac:dyDescent="0.2">
      <c r="A1497" s="5">
        <v>1436</v>
      </c>
      <c r="B1497" s="1832">
        <f>'Expenditures 15-22'!K268</f>
        <v>34802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138792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233439</v>
      </c>
      <c r="C1510" s="2" t="s">
        <v>569</v>
      </c>
      <c r="D1510" s="2" t="str">
        <f t="shared" si="22"/>
        <v>Error?</v>
      </c>
    </row>
    <row r="1511" spans="1:4" x14ac:dyDescent="0.2">
      <c r="A1511" s="5">
        <v>1450</v>
      </c>
      <c r="B1511" s="1832">
        <f>'Expenditures 15-22'!K280</f>
        <v>1012</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341973</v>
      </c>
      <c r="C1517" s="2" t="s">
        <v>569</v>
      </c>
      <c r="D1517" s="2" t="str">
        <f t="shared" si="22"/>
        <v>Error?</v>
      </c>
    </row>
    <row r="1518" spans="1:4" x14ac:dyDescent="0.2">
      <c r="A1518" s="5">
        <v>1457</v>
      </c>
      <c r="B1518" s="1832">
        <f>'Expenditures 15-22'!K296</f>
        <v>-26296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62840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62840</v>
      </c>
      <c r="C1535" s="2" t="s">
        <v>569</v>
      </c>
      <c r="D1535" s="2" t="str">
        <f t="shared" ref="D1535:D1598" si="23">IF(ISBLANK(B1535),"OK",IF(A1535-B1535=0,"OK","Error?"))</f>
        <v>Error?</v>
      </c>
    </row>
    <row r="1536" spans="1:4" x14ac:dyDescent="0.2">
      <c r="A1536" s="5">
        <v>1475</v>
      </c>
      <c r="B1536" s="1832">
        <f>'Expenditures 15-22'!E312</f>
        <v>62840</v>
      </c>
      <c r="C1536" s="2" t="s">
        <v>569</v>
      </c>
      <c r="D1536" s="2" t="str">
        <f t="shared" si="23"/>
        <v>Error?</v>
      </c>
    </row>
    <row r="1537" spans="1:4" x14ac:dyDescent="0.2">
      <c r="A1537" s="5">
        <v>1476</v>
      </c>
      <c r="B1537" s="1832">
        <f>'Expenditures 15-22'!F301</f>
        <v>4748</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4748</v>
      </c>
      <c r="C1541" s="2" t="s">
        <v>569</v>
      </c>
      <c r="D1541" s="2" t="str">
        <f t="shared" si="23"/>
        <v>Error?</v>
      </c>
    </row>
    <row r="1542" spans="1:4" x14ac:dyDescent="0.2">
      <c r="A1542" s="5">
        <v>1481</v>
      </c>
      <c r="B1542" s="1832">
        <f>'Expenditures 15-22'!F312</f>
        <v>4748</v>
      </c>
      <c r="C1542" s="2" t="s">
        <v>569</v>
      </c>
      <c r="D1542" s="2" t="str">
        <f t="shared" si="23"/>
        <v>Error?</v>
      </c>
    </row>
    <row r="1543" spans="1:4" x14ac:dyDescent="0.2">
      <c r="A1543" s="5">
        <v>1482</v>
      </c>
      <c r="B1543" s="1832">
        <f>'Expenditures 15-22'!G301</f>
        <v>106667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106667</v>
      </c>
      <c r="C1547" s="2" t="s">
        <v>569</v>
      </c>
      <c r="D1547" s="2" t="str">
        <f t="shared" si="23"/>
        <v>Error?</v>
      </c>
    </row>
    <row r="1548" spans="1:4" x14ac:dyDescent="0.2">
      <c r="A1548" s="5">
        <v>1487</v>
      </c>
      <c r="B1548" s="1832">
        <f>'Expenditures 15-22'!G312</f>
        <v>106667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174255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174255</v>
      </c>
      <c r="C1559" s="2" t="s">
        <v>569</v>
      </c>
      <c r="D1559" s="2" t="str">
        <f t="shared" si="23"/>
        <v>Error?</v>
      </c>
    </row>
    <row r="1560" spans="1:4" x14ac:dyDescent="0.2">
      <c r="A1560" s="5">
        <v>1499</v>
      </c>
      <c r="B1560" s="1832">
        <f>'Expenditures 15-22'!K312</f>
        <v>174255</v>
      </c>
      <c r="C1560" s="2" t="s">
        <v>569</v>
      </c>
      <c r="D1560" s="2" t="str">
        <f t="shared" si="23"/>
        <v>Error?</v>
      </c>
    </row>
    <row r="1561" spans="1:4" x14ac:dyDescent="0.2">
      <c r="A1561" s="5">
        <v>1500</v>
      </c>
      <c r="B1561" s="1832">
        <f>'Expenditures 15-22'!K313</f>
        <v>227475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2038564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2495373</v>
      </c>
      <c r="C1630" s="2" t="s">
        <v>569</v>
      </c>
      <c r="D1630" s="2" t="str">
        <f t="shared" si="24"/>
        <v>Error?</v>
      </c>
    </row>
    <row r="1631" spans="1:4" x14ac:dyDescent="0.2">
      <c r="A1631" s="5">
        <v>1570</v>
      </c>
      <c r="B1631" s="1832">
        <f>'Acct Summary 7-8'!D79</f>
        <v>361173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460533</v>
      </c>
      <c r="C1644" s="2" t="s">
        <v>569</v>
      </c>
      <c r="D1644" s="2" t="str">
        <f t="shared" si="24"/>
        <v>Error?</v>
      </c>
    </row>
    <row r="1645" spans="1:4" x14ac:dyDescent="0.2">
      <c r="A1645" s="5">
        <v>1584</v>
      </c>
      <c r="B1645" s="1832">
        <f>'Acct Summary 7-8'!E79</f>
        <v>54456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645695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672013</v>
      </c>
      <c r="C1672" s="2" t="s">
        <v>569</v>
      </c>
      <c r="D1672" s="2" t="str">
        <f t="shared" si="25"/>
        <v>Error?</v>
      </c>
    </row>
    <row r="1673" spans="1:4" x14ac:dyDescent="0.2">
      <c r="A1673" s="5">
        <v>1612</v>
      </c>
      <c r="B1673" s="1832">
        <f>'Acct Summary 7-8'!G79</f>
        <v>275200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248904</v>
      </c>
      <c r="C1686" s="2" t="s">
        <v>569</v>
      </c>
      <c r="D1686" s="2" t="str">
        <f t="shared" si="25"/>
        <v>Error?</v>
      </c>
    </row>
    <row r="1687" spans="1:4" x14ac:dyDescent="0.2">
      <c r="A1687" s="5">
        <v>1626</v>
      </c>
      <c r="B1687" s="1832">
        <f>'Acct Summary 7-8'!H79</f>
        <v>236836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518767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1087689</v>
      </c>
      <c r="C1744" s="2" t="s">
        <v>569</v>
      </c>
      <c r="D1744" s="2" t="str">
        <f t="shared" si="26"/>
        <v>Error?</v>
      </c>
    </row>
    <row r="1745" spans="1:5" x14ac:dyDescent="0.2">
      <c r="A1745" s="5">
        <v>1684</v>
      </c>
      <c r="B1745" s="1832">
        <f>'Tax Sched 23'!B5</f>
        <v>289391</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115753</v>
      </c>
      <c r="C1747" s="2" t="s">
        <v>569</v>
      </c>
      <c r="D1747" s="2" t="str">
        <f t="shared" si="26"/>
        <v>Error?</v>
      </c>
    </row>
    <row r="1748" spans="1:5" x14ac:dyDescent="0.2">
      <c r="A1748" s="5">
        <v>1687</v>
      </c>
      <c r="B1748" s="1832">
        <f>'Tax Sched 23'!B8</f>
        <v>187429</v>
      </c>
      <c r="C1748" s="2" t="s">
        <v>569</v>
      </c>
      <c r="D1748" s="2" t="str">
        <f t="shared" si="26"/>
        <v>Error?</v>
      </c>
    </row>
    <row r="1749" spans="1:5" x14ac:dyDescent="0.2">
      <c r="A1749" s="5">
        <v>1688</v>
      </c>
      <c r="B1749" s="1832">
        <f>'Tax Sched 23'!B10</f>
        <v>28934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245882</v>
      </c>
      <c r="C1752" s="2" t="s">
        <v>569</v>
      </c>
      <c r="D1752" s="2" t="str">
        <f t="shared" si="26"/>
        <v>Error?</v>
      </c>
    </row>
    <row r="1753" spans="1:5" x14ac:dyDescent="0.2">
      <c r="A1753" s="5">
        <v>1692</v>
      </c>
      <c r="B1753" s="1832">
        <f>'Tax Sched 23'!B12</f>
        <v>28934</v>
      </c>
      <c r="C1753" s="2" t="s">
        <v>569</v>
      </c>
      <c r="D1753" s="2" t="str">
        <f t="shared" si="26"/>
        <v>Error?</v>
      </c>
    </row>
    <row r="1754" spans="1:5" x14ac:dyDescent="0.2">
      <c r="A1754" s="5">
        <v>1693</v>
      </c>
      <c r="B1754" s="1832">
        <f>'Tax Sched 23'!B14</f>
        <v>23148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2147437</v>
      </c>
      <c r="C1759" s="2" t="s">
        <v>569</v>
      </c>
      <c r="D1759" s="2" t="str">
        <f t="shared" si="26"/>
        <v>Error?</v>
      </c>
    </row>
    <row r="1760" spans="1:5" x14ac:dyDescent="0.2">
      <c r="A1760" s="5">
        <v>1699</v>
      </c>
      <c r="B1760" s="1832">
        <f>'Tax Sched 23'!D4</f>
        <v>1087689</v>
      </c>
      <c r="C1760" s="2" t="s">
        <v>569</v>
      </c>
      <c r="D1760" s="2" t="str">
        <f t="shared" si="26"/>
        <v>Error?</v>
      </c>
    </row>
    <row r="1761" spans="1:7" x14ac:dyDescent="0.2">
      <c r="A1761" s="5">
        <v>1700</v>
      </c>
      <c r="B1761" s="1832">
        <f>'Tax Sched 23'!D5</f>
        <v>289391</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115753</v>
      </c>
      <c r="C1763" s="2" t="s">
        <v>569</v>
      </c>
      <c r="D1763" s="2" t="str">
        <f t="shared" si="26"/>
        <v>Error?</v>
      </c>
    </row>
    <row r="1764" spans="1:7" x14ac:dyDescent="0.2">
      <c r="A1764" s="5">
        <v>1703</v>
      </c>
      <c r="B1764" s="1832">
        <f>'Tax Sched 23'!D8</f>
        <v>187429</v>
      </c>
      <c r="C1764" s="2" t="s">
        <v>569</v>
      </c>
      <c r="D1764" s="2" t="str">
        <f t="shared" si="26"/>
        <v>Error?</v>
      </c>
    </row>
    <row r="1765" spans="1:7" x14ac:dyDescent="0.2">
      <c r="A1765" s="5">
        <v>1704</v>
      </c>
      <c r="B1765" s="1832">
        <f>'Tax Sched 23'!D10</f>
        <v>28934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245882</v>
      </c>
      <c r="C1768" s="2" t="s">
        <v>569</v>
      </c>
      <c r="D1768" s="2" t="str">
        <f t="shared" si="26"/>
        <v>Error?</v>
      </c>
    </row>
    <row r="1769" spans="1:7" x14ac:dyDescent="0.2">
      <c r="A1769" s="5">
        <v>1708</v>
      </c>
      <c r="B1769" s="1832">
        <f>'Tax Sched 23'!D12</f>
        <v>28934</v>
      </c>
      <c r="C1769" s="2" t="s">
        <v>569</v>
      </c>
      <c r="D1769" s="2" t="str">
        <f t="shared" si="26"/>
        <v>Error?</v>
      </c>
    </row>
    <row r="1770" spans="1:7" x14ac:dyDescent="0.2">
      <c r="A1770" s="5">
        <v>1709</v>
      </c>
      <c r="B1770" s="1832">
        <f>'Tax Sched 23'!D14</f>
        <v>23148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2147437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1212027</v>
      </c>
      <c r="C1792" s="2" t="s">
        <v>569</v>
      </c>
      <c r="D1792" s="2" t="str">
        <f t="shared" si="27"/>
        <v>Error?</v>
      </c>
    </row>
    <row r="1793" spans="1:4" x14ac:dyDescent="0.2">
      <c r="A1793" s="5">
        <v>1732</v>
      </c>
      <c r="B1793" s="1832">
        <f>'Tax Sched 23'!F5</f>
        <v>322346</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128937</v>
      </c>
      <c r="C1795" s="2" t="s">
        <v>569</v>
      </c>
      <c r="D1795" s="2" t="str">
        <f t="shared" si="27"/>
        <v>Error?</v>
      </c>
    </row>
    <row r="1796" spans="1:4" x14ac:dyDescent="0.2">
      <c r="A1796" s="5">
        <v>1735</v>
      </c>
      <c r="B1796" s="1832">
        <f>'Tax Sched 23'!F8</f>
        <v>195230</v>
      </c>
      <c r="C1796" s="2" t="s">
        <v>569</v>
      </c>
      <c r="D1796" s="2" t="str">
        <f t="shared" si="27"/>
        <v>Error?</v>
      </c>
    </row>
    <row r="1797" spans="1:4" x14ac:dyDescent="0.2">
      <c r="A1797" s="5">
        <v>1736</v>
      </c>
      <c r="B1797" s="1832">
        <f>'Tax Sched 23'!F10</f>
        <v>32229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289944</v>
      </c>
      <c r="C1800" s="2" t="s">
        <v>569</v>
      </c>
      <c r="D1800" s="2" t="str">
        <f t="shared" si="27"/>
        <v>Error?</v>
      </c>
    </row>
    <row r="1801" spans="1:4" x14ac:dyDescent="0.2">
      <c r="A1801" s="5">
        <v>1740</v>
      </c>
      <c r="B1801" s="1832">
        <f>'Tax Sched 23'!F12</f>
        <v>32229</v>
      </c>
      <c r="C1801" s="2" t="s">
        <v>569</v>
      </c>
      <c r="D1801" s="2" t="str">
        <f t="shared" si="27"/>
        <v>Error?</v>
      </c>
    </row>
    <row r="1802" spans="1:4" x14ac:dyDescent="0.2">
      <c r="A1802" s="5">
        <v>1741</v>
      </c>
      <c r="B1802" s="1832">
        <f>'Tax Sched 23'!F14</f>
        <v>25783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2411088</v>
      </c>
      <c r="C1807" s="2" t="s">
        <v>569</v>
      </c>
      <c r="D1807" s="2" t="str">
        <f t="shared" si="27"/>
        <v>Error?</v>
      </c>
    </row>
    <row r="1808" spans="1:4" x14ac:dyDescent="0.2">
      <c r="A1808" s="5">
        <v>1747</v>
      </c>
      <c r="B1808" s="1832">
        <f>'Tax Sched 23'!E4</f>
        <v>1212027</v>
      </c>
      <c r="D1808" s="2" t="str">
        <f t="shared" si="27"/>
        <v>Error?</v>
      </c>
    </row>
    <row r="1809" spans="1:4" x14ac:dyDescent="0.2">
      <c r="A1809" s="5">
        <v>1748</v>
      </c>
      <c r="B1809" s="1832">
        <f>'Tax Sched 23'!E5</f>
        <v>322346</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128937</v>
      </c>
      <c r="D1811" s="2" t="str">
        <f t="shared" si="27"/>
        <v>Error?</v>
      </c>
    </row>
    <row r="1812" spans="1:4" x14ac:dyDescent="0.2">
      <c r="A1812" s="5">
        <v>1751</v>
      </c>
      <c r="B1812" s="1832">
        <f>'Tax Sched 23'!E8</f>
        <v>195230</v>
      </c>
      <c r="D1812" s="2" t="str">
        <f t="shared" si="27"/>
        <v>Error?</v>
      </c>
    </row>
    <row r="1813" spans="1:4" x14ac:dyDescent="0.2">
      <c r="A1813" s="5">
        <v>1752</v>
      </c>
      <c r="B1813" s="1832">
        <f>'Tax Sched 23'!E10</f>
        <v>32229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289944</v>
      </c>
      <c r="D1816" s="2" t="str">
        <f t="shared" si="27"/>
        <v>Error?</v>
      </c>
    </row>
    <row r="1817" spans="1:4" x14ac:dyDescent="0.2">
      <c r="A1817" s="5">
        <v>1756</v>
      </c>
      <c r="B1817" s="1832">
        <f>'Tax Sched 23'!E12</f>
        <v>32229</v>
      </c>
      <c r="D1817" s="2" t="str">
        <f t="shared" si="27"/>
        <v>Error?</v>
      </c>
    </row>
    <row r="1818" spans="1:4" x14ac:dyDescent="0.2">
      <c r="A1818" s="5">
        <v>1757</v>
      </c>
      <c r="B1818" s="1832">
        <f>'Tax Sched 23'!E14</f>
        <v>25783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2411088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50423</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23148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23148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23148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374272</v>
      </c>
      <c r="D2008" s="2" t="str">
        <f t="shared" si="30"/>
        <v>Error?</v>
      </c>
    </row>
    <row r="2009" spans="1:4" x14ac:dyDescent="0.2">
      <c r="A2009" s="5">
        <v>1948</v>
      </c>
      <c r="B2009" s="1832">
        <f>'Cap Outlay Deprec 26'!C8</f>
        <v>22219772</v>
      </c>
      <c r="D2009" s="2" t="str">
        <f t="shared" si="30"/>
        <v>Error?</v>
      </c>
    </row>
    <row r="2010" spans="1:4" x14ac:dyDescent="0.2">
      <c r="A2010" s="5">
        <v>1949</v>
      </c>
      <c r="B2010" s="1832">
        <f>'Cap Outlay Deprec 26'!C10</f>
        <v>1183016</v>
      </c>
      <c r="D2010" s="2" t="str">
        <f t="shared" si="30"/>
        <v>Error?</v>
      </c>
    </row>
    <row r="2011" spans="1:4" x14ac:dyDescent="0.2">
      <c r="A2011" s="5">
        <v>1950</v>
      </c>
      <c r="B2011" s="1832">
        <f>'Cap Outlay Deprec 26'!C12</f>
        <v>633490</v>
      </c>
      <c r="D2011" s="2" t="str">
        <f t="shared" si="30"/>
        <v>Error?</v>
      </c>
    </row>
    <row r="2012" spans="1:4" x14ac:dyDescent="0.2">
      <c r="A2012" s="5">
        <v>1951</v>
      </c>
      <c r="B2012" s="1832">
        <f>'Cap Outlay Deprec 26'!C13</f>
        <v>286673</v>
      </c>
      <c r="D2012" s="2" t="str">
        <f t="shared" si="30"/>
        <v>Error?</v>
      </c>
    </row>
    <row r="2013" spans="1:4" x14ac:dyDescent="0.2">
      <c r="A2013" s="5">
        <v>1952</v>
      </c>
      <c r="B2013" s="1832">
        <f>'Cap Outlay Deprec 26'!C16</f>
        <v>24721019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43549</v>
      </c>
      <c r="D2015" s="2" t="str">
        <f t="shared" si="30"/>
        <v>Error?</v>
      </c>
    </row>
    <row r="2016" spans="1:4" x14ac:dyDescent="0.2">
      <c r="A2016" s="5">
        <v>1955</v>
      </c>
      <c r="B2016" s="1832">
        <f>'Cap Outlay Deprec 26'!D10</f>
        <v>13712</v>
      </c>
      <c r="D2016" s="2" t="str">
        <f t="shared" si="30"/>
        <v>Error?</v>
      </c>
    </row>
    <row r="2017" spans="1:4" x14ac:dyDescent="0.2">
      <c r="A2017" s="5">
        <v>1956</v>
      </c>
      <c r="B2017" s="1832">
        <f>'Cap Outlay Deprec 26'!D12</f>
        <v>81226</v>
      </c>
      <c r="D2017" s="2" t="str">
        <f t="shared" si="30"/>
        <v>Error?</v>
      </c>
    </row>
    <row r="2018" spans="1:4" x14ac:dyDescent="0.2">
      <c r="A2018" s="5">
        <v>1957</v>
      </c>
      <c r="B2018" s="1832">
        <f>'Cap Outlay Deprec 26'!D13</f>
        <v>286422</v>
      </c>
      <c r="D2018" s="2" t="str">
        <f t="shared" si="30"/>
        <v>Error?</v>
      </c>
    </row>
    <row r="2019" spans="1:4" x14ac:dyDescent="0.2">
      <c r="A2019" s="5">
        <v>1958</v>
      </c>
      <c r="B2019" s="1832">
        <f>'Cap Outlay Deprec 26'!D16</f>
        <v>479457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3357</v>
      </c>
      <c r="D2023" s="2" t="str">
        <f t="shared" si="30"/>
        <v>Error?</v>
      </c>
    </row>
    <row r="2024" spans="1:4" x14ac:dyDescent="0.2">
      <c r="A2024" s="5">
        <v>1963</v>
      </c>
      <c r="B2024" s="1832">
        <f>'Cap Outlay Deprec 26'!E13</f>
        <v>55599</v>
      </c>
      <c r="D2024" s="2" t="str">
        <f t="shared" si="30"/>
        <v>Error?</v>
      </c>
    </row>
    <row r="2025" spans="1:4" x14ac:dyDescent="0.2">
      <c r="A2025" s="5">
        <v>1964</v>
      </c>
      <c r="B2025" s="1832">
        <f>'Cap Outlay Deprec 26'!E16</f>
        <v>66477</v>
      </c>
      <c r="C2025" s="2" t="s">
        <v>569</v>
      </c>
      <c r="D2025" s="2" t="str">
        <f t="shared" si="30"/>
        <v>Error?</v>
      </c>
    </row>
    <row r="2026" spans="1:4" x14ac:dyDescent="0.2">
      <c r="A2026" s="5">
        <v>1965</v>
      </c>
      <c r="B2026" s="1832">
        <f>'Cap Outlay Deprec 26'!F5</f>
        <v>374272</v>
      </c>
      <c r="C2026" s="2" t="s">
        <v>569</v>
      </c>
      <c r="D2026" s="2" t="str">
        <f t="shared" si="30"/>
        <v>Error?</v>
      </c>
    </row>
    <row r="2027" spans="1:4" x14ac:dyDescent="0.2">
      <c r="A2027" s="5">
        <v>1966</v>
      </c>
      <c r="B2027" s="1832">
        <f>'Cap Outlay Deprec 26'!F8</f>
        <v>22263321</v>
      </c>
      <c r="C2027" s="2" t="s">
        <v>569</v>
      </c>
      <c r="D2027" s="2" t="str">
        <f t="shared" si="30"/>
        <v>Error?</v>
      </c>
    </row>
    <row r="2028" spans="1:4" x14ac:dyDescent="0.2">
      <c r="A2028" s="5">
        <v>1967</v>
      </c>
      <c r="B2028" s="1832">
        <f>'Cap Outlay Deprec 26'!F10</f>
        <v>1196728</v>
      </c>
      <c r="C2028" s="2" t="s">
        <v>569</v>
      </c>
      <c r="D2028" s="2" t="str">
        <f t="shared" si="30"/>
        <v>Error?</v>
      </c>
    </row>
    <row r="2029" spans="1:4" x14ac:dyDescent="0.2">
      <c r="A2029" s="5">
        <v>1968</v>
      </c>
      <c r="B2029" s="1832">
        <f>'Cap Outlay Deprec 26'!F12</f>
        <v>711359</v>
      </c>
      <c r="C2029" s="2" t="s">
        <v>569</v>
      </c>
      <c r="D2029" s="2" t="str">
        <f t="shared" si="30"/>
        <v>Error?</v>
      </c>
    </row>
    <row r="2030" spans="1:4" x14ac:dyDescent="0.2">
      <c r="A2030" s="5">
        <v>1969</v>
      </c>
      <c r="B2030" s="1832">
        <f>'Cap Outlay Deprec 26'!F13</f>
        <v>517496</v>
      </c>
      <c r="C2030" s="2" t="s">
        <v>569</v>
      </c>
      <c r="D2030" s="2" t="str">
        <f t="shared" si="30"/>
        <v>Error?</v>
      </c>
    </row>
    <row r="2031" spans="1:4" x14ac:dyDescent="0.2">
      <c r="A2031" s="5">
        <v>1970</v>
      </c>
      <c r="B2031" s="1832">
        <f>'Cap Outlay Deprec 26'!F16</f>
        <v>25133999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8829514</v>
      </c>
      <c r="D2033" s="2" t="str">
        <f t="shared" si="30"/>
        <v>Error?</v>
      </c>
    </row>
    <row r="2034" spans="1:4" x14ac:dyDescent="0.2">
      <c r="A2034" s="5">
        <v>1973</v>
      </c>
      <c r="B2034" s="1832">
        <f>'Cap Outlay Deprec 26'!H10</f>
        <v>963071</v>
      </c>
      <c r="D2034" s="2" t="str">
        <f t="shared" si="30"/>
        <v>Error?</v>
      </c>
    </row>
    <row r="2035" spans="1:4" x14ac:dyDescent="0.2">
      <c r="A2035" s="5">
        <v>1974</v>
      </c>
      <c r="B2035" s="1832">
        <f>'Cap Outlay Deprec 26'!H12</f>
        <v>183897</v>
      </c>
      <c r="D2035" s="2" t="str">
        <f t="shared" si="30"/>
        <v>Error?</v>
      </c>
    </row>
    <row r="2036" spans="1:4" x14ac:dyDescent="0.2">
      <c r="A2036" s="5">
        <v>1975</v>
      </c>
      <c r="B2036" s="1832">
        <f>'Cap Outlay Deprec 26'!H13</f>
        <v>126155</v>
      </c>
      <c r="D2036" s="2" t="str">
        <f t="shared" si="30"/>
        <v>Error?</v>
      </c>
    </row>
    <row r="2037" spans="1:4" x14ac:dyDescent="0.2">
      <c r="A2037" s="5">
        <v>1976</v>
      </c>
      <c r="B2037" s="1832">
        <f>'Cap Outlay Deprec 26'!H16</f>
        <v>10110384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445022</v>
      </c>
      <c r="D2039" s="2" t="str">
        <f t="shared" si="30"/>
        <v>Error?</v>
      </c>
    </row>
    <row r="2040" spans="1:4" x14ac:dyDescent="0.2">
      <c r="A2040" s="5">
        <v>1979</v>
      </c>
      <c r="B2040" s="1832">
        <f>'Cap Outlay Deprec 26'!I10</f>
        <v>59751</v>
      </c>
      <c r="D2040" s="2" t="str">
        <f t="shared" si="30"/>
        <v>Error?</v>
      </c>
    </row>
    <row r="2041" spans="1:4" x14ac:dyDescent="0.2">
      <c r="A2041" s="5">
        <v>1980</v>
      </c>
      <c r="B2041" s="1832">
        <f>'Cap Outlay Deprec 26'!I12</f>
        <v>66736</v>
      </c>
      <c r="D2041" s="2" t="str">
        <f t="shared" si="30"/>
        <v>Error?</v>
      </c>
    </row>
    <row r="2042" spans="1:4" x14ac:dyDescent="0.2">
      <c r="A2042" s="5">
        <v>1981</v>
      </c>
      <c r="B2042" s="1832">
        <f>'Cap Outlay Deprec 26'!I13</f>
        <v>68835</v>
      </c>
      <c r="D2042" s="2" t="str">
        <f t="shared" si="30"/>
        <v>Error?</v>
      </c>
    </row>
    <row r="2043" spans="1:4" x14ac:dyDescent="0.2">
      <c r="A2043" s="5">
        <v>1982</v>
      </c>
      <c r="B2043" s="1832">
        <f>'Cap Outlay Deprec 26'!I16</f>
        <v>653083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3357</v>
      </c>
      <c r="D2047" s="2" t="str">
        <f t="shared" ref="D2047:D2110" si="31">IF(ISBLANK(B2047),"OK",IF(A2047-B2047=0,"OK","Error?"))</f>
        <v>Error?</v>
      </c>
    </row>
    <row r="2048" spans="1:4" x14ac:dyDescent="0.2">
      <c r="A2048" s="5">
        <v>1987</v>
      </c>
      <c r="B2048" s="1832">
        <f>'Cap Outlay Deprec 26'!J13</f>
        <v>55599</v>
      </c>
      <c r="D2048" s="2" t="str">
        <f t="shared" si="31"/>
        <v>Error?</v>
      </c>
    </row>
    <row r="2049" spans="1:4" x14ac:dyDescent="0.2">
      <c r="A2049" s="5">
        <v>1988</v>
      </c>
      <c r="B2049" s="1832">
        <f>'Cap Outlay Deprec 26'!J16</f>
        <v>66477</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9274536</v>
      </c>
      <c r="C2051" s="2" t="s">
        <v>569</v>
      </c>
      <c r="D2051" s="2" t="str">
        <f t="shared" si="31"/>
        <v>Error?</v>
      </c>
    </row>
    <row r="2052" spans="1:4" x14ac:dyDescent="0.2">
      <c r="A2052" s="5">
        <v>1991</v>
      </c>
      <c r="B2052" s="1832">
        <f>'Cap Outlay Deprec 26'!K10</f>
        <v>1022822</v>
      </c>
      <c r="C2052" s="2" t="s">
        <v>569</v>
      </c>
      <c r="D2052" s="2" t="str">
        <f t="shared" si="31"/>
        <v>Error?</v>
      </c>
    </row>
    <row r="2053" spans="1:4" x14ac:dyDescent="0.2">
      <c r="A2053" s="5">
        <v>1992</v>
      </c>
      <c r="B2053" s="1832">
        <f>'Cap Outlay Deprec 26'!K12</f>
        <v>247276</v>
      </c>
      <c r="C2053" s="2" t="s">
        <v>569</v>
      </c>
      <c r="D2053" s="2" t="str">
        <f t="shared" si="31"/>
        <v>Error?</v>
      </c>
    </row>
    <row r="2054" spans="1:4" x14ac:dyDescent="0.2">
      <c r="A2054" s="5">
        <v>1993</v>
      </c>
      <c r="B2054" s="1832">
        <f>'Cap Outlay Deprec 26'!K13</f>
        <v>139391</v>
      </c>
      <c r="C2054" s="2" t="s">
        <v>569</v>
      </c>
      <c r="D2054" s="2" t="str">
        <f t="shared" si="31"/>
        <v>Error?</v>
      </c>
    </row>
    <row r="2055" spans="1:4" x14ac:dyDescent="0.2">
      <c r="A2055" s="5">
        <v>1994</v>
      </c>
      <c r="B2055" s="1832">
        <f>'Cap Outlay Deprec 26'!K16</f>
        <v>10696990</v>
      </c>
      <c r="C2055" s="2" t="s">
        <v>569</v>
      </c>
      <c r="D2055" s="2" t="str">
        <f t="shared" si="31"/>
        <v>Error?</v>
      </c>
    </row>
    <row r="2056" spans="1:4" x14ac:dyDescent="0.2">
      <c r="A2056" s="5">
        <v>1995</v>
      </c>
      <c r="B2056" s="1832">
        <f>'Cap Outlay Deprec 26'!L5</f>
        <v>374272</v>
      </c>
      <c r="C2056" s="2" t="s">
        <v>569</v>
      </c>
      <c r="D2056" s="2" t="str">
        <f t="shared" si="31"/>
        <v>Error?</v>
      </c>
    </row>
    <row r="2057" spans="1:4" x14ac:dyDescent="0.2">
      <c r="A2057" s="5">
        <v>1996</v>
      </c>
      <c r="B2057" s="1832">
        <f>'Cap Outlay Deprec 26'!L8</f>
        <v>12988785</v>
      </c>
      <c r="C2057" s="2" t="s">
        <v>569</v>
      </c>
      <c r="D2057" s="2" t="str">
        <f t="shared" si="31"/>
        <v>Error?</v>
      </c>
    </row>
    <row r="2058" spans="1:4" x14ac:dyDescent="0.2">
      <c r="A2058" s="5">
        <v>1997</v>
      </c>
      <c r="B2058" s="1832">
        <f>'Cap Outlay Deprec 26'!L10</f>
        <v>173906</v>
      </c>
      <c r="C2058" s="2" t="s">
        <v>569</v>
      </c>
      <c r="D2058" s="2" t="str">
        <f t="shared" si="31"/>
        <v>Error?</v>
      </c>
    </row>
    <row r="2059" spans="1:4" x14ac:dyDescent="0.2">
      <c r="A2059" s="5">
        <v>1998</v>
      </c>
      <c r="B2059" s="1832">
        <f>'Cap Outlay Deprec 26'!L12</f>
        <v>464083</v>
      </c>
      <c r="C2059" s="2" t="s">
        <v>569</v>
      </c>
      <c r="D2059" s="2" t="str">
        <f t="shared" si="31"/>
        <v>Error?</v>
      </c>
    </row>
    <row r="2060" spans="1:4" x14ac:dyDescent="0.2">
      <c r="A2060" s="5">
        <v>1999</v>
      </c>
      <c r="B2060" s="1832">
        <f>'Cap Outlay Deprec 26'!L13</f>
        <v>378105</v>
      </c>
      <c r="C2060" s="2" t="s">
        <v>569</v>
      </c>
      <c r="D2060" s="2" t="str">
        <f t="shared" si="31"/>
        <v>Error?</v>
      </c>
    </row>
    <row r="2061" spans="1:4" x14ac:dyDescent="0.2">
      <c r="A2061" s="5">
        <v>2000</v>
      </c>
      <c r="B2061" s="1832">
        <f>'Cap Outlay Deprec 26'!L16</f>
        <v>14437009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384274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649645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24052</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274120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176315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1372303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4905425</v>
      </c>
      <c r="C2553" s="2" t="s">
        <v>569</v>
      </c>
      <c r="D2553" s="2" t="str">
        <f t="shared" si="38"/>
        <v>Error?</v>
      </c>
    </row>
    <row r="2554" spans="1:4" x14ac:dyDescent="0.2">
      <c r="A2554" s="5">
        <v>2493</v>
      </c>
      <c r="B2554" s="1832">
        <f>'Acct Summary 7-8'!C7</f>
        <v>974855</v>
      </c>
      <c r="C2554" s="2" t="s">
        <v>569</v>
      </c>
      <c r="D2554" s="2" t="str">
        <f t="shared" si="38"/>
        <v>Error?</v>
      </c>
    </row>
    <row r="2555" spans="1:4" x14ac:dyDescent="0.2">
      <c r="A2555" s="5">
        <v>2494</v>
      </c>
      <c r="B2555" s="1832">
        <f>'Acct Summary 7-8'!C8</f>
        <v>7252583</v>
      </c>
      <c r="C2555" s="2" t="s">
        <v>569</v>
      </c>
      <c r="D2555" s="2" t="str">
        <f t="shared" si="38"/>
        <v>Error?</v>
      </c>
    </row>
    <row r="2556" spans="1:4" x14ac:dyDescent="0.2">
      <c r="A2556" s="5">
        <v>2495</v>
      </c>
      <c r="B2556" s="1832">
        <f>'Acct Summary 7-8'!C12</f>
        <v>4191628</v>
      </c>
      <c r="C2556" s="2" t="s">
        <v>569</v>
      </c>
      <c r="D2556" s="2" t="str">
        <f t="shared" si="38"/>
        <v>Error?</v>
      </c>
    </row>
    <row r="2557" spans="1:4" x14ac:dyDescent="0.2">
      <c r="A2557" s="5">
        <v>2496</v>
      </c>
      <c r="B2557" s="1832">
        <f>'Acct Summary 7-8'!C13</f>
        <v>1936785</v>
      </c>
      <c r="C2557" s="2" t="s">
        <v>569</v>
      </c>
      <c r="D2557" s="2" t="str">
        <f t="shared" si="38"/>
        <v>Error?</v>
      </c>
    </row>
    <row r="2558" spans="1:4" x14ac:dyDescent="0.2">
      <c r="A2558" s="5">
        <v>2497</v>
      </c>
      <c r="B2558" s="1832">
        <f>'Acct Summary 7-8'!C14</f>
        <v>17716</v>
      </c>
      <c r="C2558" s="2" t="s">
        <v>569</v>
      </c>
      <c r="D2558" s="2" t="str">
        <f t="shared" si="38"/>
        <v>Error?</v>
      </c>
    </row>
    <row r="2559" spans="1:4" x14ac:dyDescent="0.2">
      <c r="A2559" s="5">
        <v>2498</v>
      </c>
      <c r="B2559" s="1832">
        <f>'Acct Summary 7-8'!C15</f>
        <v>649645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6795774</v>
      </c>
      <c r="C2561" s="2" t="s">
        <v>569</v>
      </c>
      <c r="D2561" s="2" t="str">
        <f t="shared" si="39"/>
        <v>Error?</v>
      </c>
    </row>
    <row r="2562" spans="1:4" x14ac:dyDescent="0.2">
      <c r="A2562" s="5">
        <v>2501</v>
      </c>
      <c r="B2562" s="1832">
        <f>'Acct Summary 7-8'!C20</f>
        <v>456809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364544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864544</v>
      </c>
      <c r="C2568" s="2" t="s">
        <v>569</v>
      </c>
      <c r="D2568" s="2" t="str">
        <f t="shared" si="39"/>
        <v>Error?</v>
      </c>
    </row>
    <row r="2569" spans="1:4" x14ac:dyDescent="0.2">
      <c r="A2569" s="5">
        <v>2508</v>
      </c>
      <c r="B2569" s="1832">
        <f>'Acct Summary 7-8'!D13</f>
        <v>765184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765184</v>
      </c>
      <c r="C2573" s="2" t="s">
        <v>569</v>
      </c>
      <c r="D2573" s="2" t="str">
        <f t="shared" si="39"/>
        <v>Error?</v>
      </c>
    </row>
    <row r="2574" spans="1:4" x14ac:dyDescent="0.2">
      <c r="A2574" s="5">
        <v>2513</v>
      </c>
      <c r="B2574" s="1832">
        <f>'Acct Summary 7-8'!D20</f>
        <v>99360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135305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650608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785913</v>
      </c>
      <c r="C2595" s="2" t="s">
        <v>569</v>
      </c>
      <c r="D2595" s="2" t="str">
        <f t="shared" si="39"/>
        <v>Error?</v>
      </c>
    </row>
    <row r="2596" spans="1:4" x14ac:dyDescent="0.2">
      <c r="A2596" s="5">
        <v>2535</v>
      </c>
      <c r="B2596" s="1832">
        <f>'Acct Summary 7-8'!F13</f>
        <v>767095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767095</v>
      </c>
      <c r="C2600" s="2" t="s">
        <v>569</v>
      </c>
      <c r="D2600" s="2" t="str">
        <f t="shared" si="39"/>
        <v>Error?</v>
      </c>
    </row>
    <row r="2601" spans="1:4" x14ac:dyDescent="0.2">
      <c r="A2601" s="5">
        <v>2540</v>
      </c>
      <c r="B2601" s="1832">
        <f>'Acct Summary 7-8'!F20</f>
        <v>18818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315677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315677</v>
      </c>
      <c r="C2606" s="2" t="s">
        <v>569</v>
      </c>
      <c r="D2606" s="2" t="str">
        <f t="shared" si="39"/>
        <v>Error?</v>
      </c>
    </row>
    <row r="2607" spans="1:4" x14ac:dyDescent="0.2">
      <c r="A2607" s="5">
        <v>2546</v>
      </c>
      <c r="B2607" s="1832">
        <f>'Acct Summary 7-8'!G12</f>
        <v>107522</v>
      </c>
      <c r="C2607" s="2" t="s">
        <v>569</v>
      </c>
      <c r="D2607" s="2" t="str">
        <f t="shared" si="39"/>
        <v>Error?</v>
      </c>
    </row>
    <row r="2608" spans="1:4" x14ac:dyDescent="0.2">
      <c r="A2608" s="5">
        <v>2547</v>
      </c>
      <c r="B2608" s="1832">
        <f>'Acct Summary 7-8'!G13</f>
        <v>233439</v>
      </c>
      <c r="C2608" s="2" t="s">
        <v>569</v>
      </c>
      <c r="D2608" s="2" t="str">
        <f t="shared" si="39"/>
        <v>Error?</v>
      </c>
    </row>
    <row r="2609" spans="1:4" x14ac:dyDescent="0.2">
      <c r="A2609" s="5">
        <v>2548</v>
      </c>
      <c r="B2609" s="1832">
        <f>'Acct Summary 7-8'!G14</f>
        <v>1012</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341973</v>
      </c>
      <c r="C2612" s="2" t="s">
        <v>569</v>
      </c>
      <c r="D2612" s="2" t="str">
        <f t="shared" si="39"/>
        <v>Error?</v>
      </c>
    </row>
    <row r="2613" spans="1:4" x14ac:dyDescent="0.2">
      <c r="A2613" s="5">
        <v>2552</v>
      </c>
      <c r="B2613" s="1832">
        <f>'Acct Summary 7-8'!G20</f>
        <v>-26296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401730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401730</v>
      </c>
      <c r="C2658" s="2" t="s">
        <v>569</v>
      </c>
      <c r="D2658" s="2" t="str">
        <f t="shared" si="40"/>
        <v>Error?</v>
      </c>
    </row>
    <row r="2659" spans="1:4" x14ac:dyDescent="0.2">
      <c r="A2659" s="5">
        <v>2598</v>
      </c>
      <c r="B2659" s="1832">
        <f>'Acct Summary 7-8'!H13</f>
        <v>174255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174255</v>
      </c>
      <c r="C2661" s="2" t="s">
        <v>569</v>
      </c>
      <c r="D2661" s="2" t="str">
        <f t="shared" si="40"/>
        <v>Error?</v>
      </c>
    </row>
    <row r="2662" spans="1:4" x14ac:dyDescent="0.2">
      <c r="A2662" s="5">
        <v>2601</v>
      </c>
      <c r="B2662" s="1832">
        <f>'Acct Summary 7-8'!H20</f>
        <v>227475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54456</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265371</v>
      </c>
      <c r="C2789" s="2" t="s">
        <v>569</v>
      </c>
      <c r="D2789" s="2" t="str">
        <f t="shared" si="42"/>
        <v>Error?</v>
      </c>
    </row>
    <row r="2790" spans="1:4" x14ac:dyDescent="0.2">
      <c r="A2790" s="5">
        <v>2729</v>
      </c>
      <c r="B2790" s="1832">
        <f>'Expenditures 15-22'!E102</f>
        <v>265371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54456</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6675</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200983</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313618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15938</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210621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313618</v>
      </c>
      <c r="D2912" s="2" t="str">
        <f t="shared" si="44"/>
        <v>Error?</v>
      </c>
    </row>
    <row r="2913" spans="1:4" x14ac:dyDescent="0.2">
      <c r="A2913" s="5">
        <v>2852</v>
      </c>
      <c r="B2913" s="1832">
        <f>'Assets-Liab 5-6'!I41</f>
        <v>313618</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210621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243964</v>
      </c>
      <c r="D2950" s="2" t="str">
        <f t="shared" si="45"/>
        <v>Error?</v>
      </c>
    </row>
    <row r="2951" spans="1:4" x14ac:dyDescent="0.2">
      <c r="A2951" s="5">
        <v>2890</v>
      </c>
      <c r="B2951" s="1832">
        <f>'Expenditures 15-22'!E80</f>
        <v>20879</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528</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384274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628238</v>
      </c>
      <c r="C2974" s="2" t="s">
        <v>569</v>
      </c>
      <c r="D2974" s="2" t="str">
        <f t="shared" si="45"/>
        <v>Error?</v>
      </c>
    </row>
    <row r="2975" spans="1:4" x14ac:dyDescent="0.2">
      <c r="A2975" s="5">
        <v>2914</v>
      </c>
      <c r="B2975" s="1832">
        <f>'Expenditures 15-22'!K80</f>
        <v>20879</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528</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116976</v>
      </c>
      <c r="D3055" s="2" t="str">
        <f t="shared" si="46"/>
        <v>Error?</v>
      </c>
    </row>
    <row r="3056" spans="1:4" x14ac:dyDescent="0.2">
      <c r="A3056" s="5">
        <v>2995</v>
      </c>
      <c r="B3056" s="1832">
        <f>'Expenditures 15-22'!D10</f>
        <v>19240</v>
      </c>
      <c r="D3056" s="2" t="str">
        <f t="shared" si="46"/>
        <v>Error?</v>
      </c>
    </row>
    <row r="3057" spans="1:4" x14ac:dyDescent="0.2">
      <c r="A3057" s="5">
        <v>2996</v>
      </c>
      <c r="B3057" s="1832">
        <f>'Expenditures 15-22'!E10</f>
        <v>3152</v>
      </c>
      <c r="D3057" s="2" t="str">
        <f t="shared" si="46"/>
        <v>Error?</v>
      </c>
    </row>
    <row r="3058" spans="1:4" x14ac:dyDescent="0.2">
      <c r="A3058" s="5">
        <v>2997</v>
      </c>
      <c r="B3058" s="1832">
        <f>'Expenditures 15-22'!F10</f>
        <v>28107</v>
      </c>
      <c r="D3058" s="2" t="str">
        <f t="shared" si="46"/>
        <v>Error?</v>
      </c>
    </row>
    <row r="3059" spans="1:4" x14ac:dyDescent="0.2">
      <c r="A3059" s="5">
        <v>2998</v>
      </c>
      <c r="B3059" s="1832">
        <f>'Expenditures 15-22'!G10</f>
        <v>4353</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171828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20692</v>
      </c>
      <c r="D3064" s="2" t="str">
        <f t="shared" si="46"/>
        <v>Error?</v>
      </c>
    </row>
    <row r="3065" spans="1:4" x14ac:dyDescent="0.2">
      <c r="A3065" s="5">
        <v>3004</v>
      </c>
      <c r="B3065" s="1832">
        <f>'Expenditures 15-22'!K219</f>
        <v>20692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210621</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33389</v>
      </c>
      <c r="C3225" s="2" t="s">
        <v>569</v>
      </c>
      <c r="D3225" s="2" t="str">
        <f t="shared" si="49"/>
        <v>Error?</v>
      </c>
    </row>
    <row r="3226" spans="1:4" x14ac:dyDescent="0.2">
      <c r="A3226" s="5">
        <v>3165</v>
      </c>
      <c r="B3226" s="1832">
        <f>'Acct Summary 7-8'!I8</f>
        <v>33389</v>
      </c>
      <c r="C3226" s="2" t="s">
        <v>569</v>
      </c>
      <c r="D3226" s="2" t="str">
        <f t="shared" si="49"/>
        <v>Error?</v>
      </c>
    </row>
    <row r="3227" spans="1:4" x14ac:dyDescent="0.2">
      <c r="A3227" s="5">
        <v>3166</v>
      </c>
      <c r="B3227" s="1832">
        <f>'Acct Summary 7-8'!I20</f>
        <v>33389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456809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99360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7500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7500</v>
      </c>
      <c r="C3255" s="2" t="s">
        <v>569</v>
      </c>
      <c r="D3255" s="2" t="str">
        <f t="shared" si="49"/>
        <v>Error?</v>
      </c>
    </row>
    <row r="3256" spans="1:4" x14ac:dyDescent="0.2">
      <c r="A3256" s="5">
        <v>3195</v>
      </c>
      <c r="B3256" s="1832">
        <f>'Acct Summary 7-8'!F78</f>
        <v>26318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-26296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54456</v>
      </c>
      <c r="C3276" s="2" t="s">
        <v>569</v>
      </c>
      <c r="D3276" s="2" t="str">
        <f t="shared" si="50"/>
        <v>Error?</v>
      </c>
    </row>
    <row r="3277" spans="1:4" x14ac:dyDescent="0.2">
      <c r="A3277" s="5">
        <v>3216</v>
      </c>
      <c r="B3277" s="1832">
        <f>'Acct Summary 7-8'!E77</f>
        <v>-54456</v>
      </c>
      <c r="C3277" s="2" t="s">
        <v>569</v>
      </c>
      <c r="D3277" s="2" t="str">
        <f t="shared" si="50"/>
        <v>Error?</v>
      </c>
    </row>
    <row r="3278" spans="1:4" x14ac:dyDescent="0.2">
      <c r="A3278" s="5">
        <v>3217</v>
      </c>
      <c r="B3278" s="1832">
        <f>'Acct Summary 7-8'!E78</f>
        <v>-54456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54456</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54456</v>
      </c>
      <c r="C3299" s="2" t="s">
        <v>569</v>
      </c>
      <c r="D3299" s="2" t="str">
        <f t="shared" si="50"/>
        <v>Error?</v>
      </c>
    </row>
    <row r="3300" spans="1:4" x14ac:dyDescent="0.2">
      <c r="A3300" s="5">
        <v>3239</v>
      </c>
      <c r="B3300" s="1832">
        <f>'Acct Summary 7-8'!H78</f>
        <v>281931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33389</v>
      </c>
      <c r="C3320" s="2" t="s">
        <v>569</v>
      </c>
      <c r="D3320" s="2" t="str">
        <f t="shared" si="50"/>
        <v>Error?</v>
      </c>
    </row>
    <row r="3321" spans="1:4" x14ac:dyDescent="0.2">
      <c r="A3321" s="5">
        <v>3260</v>
      </c>
      <c r="B3321" s="1832">
        <f>'Acct Summary 7-8'!I79</f>
        <v>280229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313618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536967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106461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479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4742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648649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45500</v>
      </c>
      <c r="D3387" s="2" t="str">
        <f t="shared" si="51"/>
        <v>Error?</v>
      </c>
    </row>
    <row r="3388" spans="1:4" x14ac:dyDescent="0.2">
      <c r="A3388" s="5">
        <v>3327</v>
      </c>
      <c r="B3388" s="1832">
        <f>'Expenditures 15-22'!D217</f>
        <v>27495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45500</v>
      </c>
      <c r="C3390" s="2" t="s">
        <v>569</v>
      </c>
      <c r="D3390" s="2" t="str">
        <f t="shared" si="51"/>
        <v>Error?</v>
      </c>
    </row>
    <row r="3391" spans="1:4" x14ac:dyDescent="0.2">
      <c r="A3391" s="5">
        <v>3330</v>
      </c>
      <c r="B3391" s="1832">
        <f>'Expenditures 15-22'!K217</f>
        <v>27495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2439929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460533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672013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248904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518767</v>
      </c>
      <c r="D3425" s="2" t="str">
        <f t="shared" si="52"/>
        <v>Error?</v>
      </c>
    </row>
    <row r="3426" spans="1:4" x14ac:dyDescent="0.2">
      <c r="A3426" s="10">
        <v>3365</v>
      </c>
      <c r="B3426" s="1832"/>
      <c r="D3426" s="2" t="str">
        <f t="shared" si="52"/>
        <v>OK</v>
      </c>
    </row>
    <row r="3427" spans="1:4" x14ac:dyDescent="0.2">
      <c r="A3427" s="5">
        <v>3366</v>
      </c>
      <c r="B3427" s="1832">
        <f>'Assets-Liab 5-6'!I4</f>
        <v>112635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194683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111343</v>
      </c>
      <c r="C3446" s="2" t="s">
        <v>569</v>
      </c>
      <c r="D3446" s="2" t="str">
        <f t="shared" si="52"/>
        <v>Error?</v>
      </c>
    </row>
    <row r="3447" spans="1:4" x14ac:dyDescent="0.2">
      <c r="A3447" s="5">
        <v>3386</v>
      </c>
      <c r="B3447" s="1832">
        <f>'Tax Sched 23'!D16</f>
        <v>111343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149803</v>
      </c>
      <c r="C3449" s="2" t="s">
        <v>569</v>
      </c>
      <c r="D3449" s="2" t="str">
        <f t="shared" si="52"/>
        <v>Error?</v>
      </c>
    </row>
    <row r="3450" spans="1:4" x14ac:dyDescent="0.2">
      <c r="A3450" s="5">
        <v>3389</v>
      </c>
      <c r="B3450" s="1832">
        <f>'Tax Sched 23'!E16</f>
        <v>149803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6675</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6675</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6675</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7500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106664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112720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219384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219384</v>
      </c>
      <c r="D3567" s="2" t="str">
        <f t="shared" si="54"/>
        <v>Error?</v>
      </c>
    </row>
    <row r="3568" spans="1:4" x14ac:dyDescent="0.2">
      <c r="A3568" s="5">
        <v>3507</v>
      </c>
      <c r="B3568" s="1832">
        <f>'Assets-Liab 5-6'!K41</f>
        <v>219384</v>
      </c>
      <c r="C3568" s="2" t="s">
        <v>569</v>
      </c>
      <c r="D3568" s="2" t="str">
        <f t="shared" si="54"/>
        <v>Error?</v>
      </c>
    </row>
    <row r="3569" spans="1:4" x14ac:dyDescent="0.2">
      <c r="A3569" s="5">
        <v>3508</v>
      </c>
      <c r="B3569" s="1832">
        <f>'Acct Summary 7-8'!K4</f>
        <v>32009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32009</v>
      </c>
      <c r="C3571" s="2" t="s">
        <v>569</v>
      </c>
      <c r="D3571" s="2" t="str">
        <f t="shared" si="54"/>
        <v>Error?</v>
      </c>
    </row>
    <row r="3572" spans="1:4" x14ac:dyDescent="0.2">
      <c r="A3572" s="5">
        <v>3511</v>
      </c>
      <c r="B3572" s="1832">
        <f>'Acct Summary 7-8'!K13</f>
        <v>2235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2235</v>
      </c>
      <c r="C3575" s="2" t="s">
        <v>569</v>
      </c>
      <c r="D3575" s="2" t="str">
        <f t="shared" si="54"/>
        <v>Error?</v>
      </c>
    </row>
    <row r="3576" spans="1:4" x14ac:dyDescent="0.2">
      <c r="A3576" s="5">
        <v>3515</v>
      </c>
      <c r="B3576" s="1832">
        <f>'Acct Summary 7-8'!K20</f>
        <v>29774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29774</v>
      </c>
      <c r="C3588" s="2" t="s">
        <v>569</v>
      </c>
      <c r="D3588" s="2" t="str">
        <f t="shared" si="55"/>
        <v>Error?</v>
      </c>
    </row>
    <row r="3589" spans="1:4" x14ac:dyDescent="0.2">
      <c r="A3589" s="5">
        <v>3528</v>
      </c>
      <c r="B3589" s="1832">
        <f>'Acct Summary 7-8'!K79</f>
        <v>189610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219384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2235</v>
      </c>
      <c r="D3632" s="2" t="str">
        <f t="shared" si="55"/>
        <v>Error?</v>
      </c>
    </row>
    <row r="3633" spans="1:4" x14ac:dyDescent="0.2">
      <c r="A3633" s="5">
        <v>3572</v>
      </c>
      <c r="B3633" s="1832">
        <f>'Expenditures 15-22'!E350</f>
        <v>2235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2235</v>
      </c>
      <c r="C3635" s="2" t="s">
        <v>569</v>
      </c>
      <c r="D3635" s="2" t="str">
        <f t="shared" si="55"/>
        <v>Error?</v>
      </c>
    </row>
    <row r="3636" spans="1:4" x14ac:dyDescent="0.2">
      <c r="A3636" s="5">
        <v>3575</v>
      </c>
      <c r="B3636" s="1832">
        <f>'Expenditures 15-22'!E367</f>
        <v>2235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2235</v>
      </c>
      <c r="C3669" s="2" t="s">
        <v>569</v>
      </c>
      <c r="D3669" s="2" t="str">
        <f t="shared" si="56"/>
        <v>Error?</v>
      </c>
    </row>
    <row r="3670" spans="1:4" x14ac:dyDescent="0.2">
      <c r="A3670" s="5">
        <v>3609</v>
      </c>
      <c r="B3670" s="1832">
        <f>'Expenditures 15-22'!K350</f>
        <v>2235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2235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2235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29774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28934</v>
      </c>
      <c r="C3725" s="2" t="s">
        <v>569</v>
      </c>
      <c r="D3725" s="2" t="str">
        <f t="shared" si="57"/>
        <v>Error?</v>
      </c>
    </row>
    <row r="3726" spans="1:4" x14ac:dyDescent="0.2">
      <c r="A3726" s="5">
        <v>3665</v>
      </c>
      <c r="B3726" s="1832">
        <f>'Tax Sched 23'!D13</f>
        <v>28934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22560</v>
      </c>
      <c r="C3728" s="2" t="s">
        <v>569</v>
      </c>
      <c r="D3728" s="2" t="str">
        <f t="shared" si="57"/>
        <v>Error?</v>
      </c>
    </row>
    <row r="3729" spans="1:4" x14ac:dyDescent="0.2">
      <c r="A3729" s="5">
        <v>3668</v>
      </c>
      <c r="B3729" s="1832">
        <f>'Tax Sched 23'!E13</f>
        <v>22560</v>
      </c>
      <c r="D3729" s="2" t="str">
        <f t="shared" si="57"/>
        <v>Error?</v>
      </c>
    </row>
    <row r="3730" spans="1:4" x14ac:dyDescent="0.2">
      <c r="A3730" s="5">
        <v>3669</v>
      </c>
      <c r="B3730" s="1832">
        <f>'ICR Computation 30'!E10</f>
        <v>203068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2874535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10127118</v>
      </c>
      <c r="C4122" s="2" t="s">
        <v>569</v>
      </c>
      <c r="D4122" s="2" t="str">
        <f t="shared" si="63"/>
        <v>Error?</v>
      </c>
    </row>
    <row r="4123" spans="1:4" x14ac:dyDescent="0.2">
      <c r="A4123" s="5">
        <v>4062</v>
      </c>
      <c r="B4123" s="1832">
        <f>'Acct Summary 7-8'!D10</f>
        <v>864544</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785913</v>
      </c>
      <c r="C4125" s="2" t="s">
        <v>569</v>
      </c>
      <c r="D4125" s="2" t="str">
        <f t="shared" si="63"/>
        <v>Error?</v>
      </c>
    </row>
    <row r="4126" spans="1:4" x14ac:dyDescent="0.2">
      <c r="A4126" s="5">
        <v>4065</v>
      </c>
      <c r="B4126" s="1832">
        <f>'Acct Summary 7-8'!G10</f>
        <v>315677</v>
      </c>
      <c r="C4126" s="2" t="s">
        <v>569</v>
      </c>
      <c r="D4126" s="2" t="str">
        <f t="shared" si="63"/>
        <v>Error?</v>
      </c>
    </row>
    <row r="4127" spans="1:4" x14ac:dyDescent="0.2">
      <c r="A4127" s="5">
        <v>4066</v>
      </c>
      <c r="B4127" s="1832">
        <f>'Acct Summary 7-8'!H10</f>
        <v>401730</v>
      </c>
      <c r="C4127" s="2" t="s">
        <v>569</v>
      </c>
      <c r="D4127" s="2" t="str">
        <f t="shared" si="63"/>
        <v>Error?</v>
      </c>
    </row>
    <row r="4128" spans="1:4" x14ac:dyDescent="0.2">
      <c r="A4128" s="5">
        <v>4067</v>
      </c>
      <c r="B4128" s="1832">
        <f>'Acct Summary 7-8'!I10</f>
        <v>33389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32009</v>
      </c>
      <c r="C4130" s="2" t="s">
        <v>569</v>
      </c>
      <c r="D4130" s="2" t="str">
        <f t="shared" si="63"/>
        <v>Error?</v>
      </c>
    </row>
    <row r="4131" spans="1:4" x14ac:dyDescent="0.2">
      <c r="A4131" s="5">
        <v>4070</v>
      </c>
      <c r="B4131" s="1832">
        <f>'Acct Summary 7-8'!C18</f>
        <v>2874535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9670309</v>
      </c>
      <c r="C4136" s="2" t="s">
        <v>569</v>
      </c>
      <c r="D4136" s="2" t="str">
        <f t="shared" si="63"/>
        <v>Error?</v>
      </c>
    </row>
    <row r="4137" spans="1:4" x14ac:dyDescent="0.2">
      <c r="A4137" s="5">
        <v>4076</v>
      </c>
      <c r="B4137" s="1832">
        <f>'Acct Summary 7-8'!D19</f>
        <v>765184</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767095</v>
      </c>
      <c r="C4139" s="2" t="s">
        <v>569</v>
      </c>
      <c r="D4139" s="2" t="str">
        <f t="shared" si="63"/>
        <v>Error?</v>
      </c>
    </row>
    <row r="4140" spans="1:4" x14ac:dyDescent="0.2">
      <c r="A4140" s="5">
        <v>4079</v>
      </c>
      <c r="B4140" s="1832">
        <f>'Acct Summary 7-8'!G19</f>
        <v>341973</v>
      </c>
      <c r="C4140" s="2" t="s">
        <v>569</v>
      </c>
      <c r="D4140" s="2" t="str">
        <f t="shared" si="63"/>
        <v>Error?</v>
      </c>
    </row>
    <row r="4141" spans="1:4" x14ac:dyDescent="0.2">
      <c r="A4141" s="5">
        <v>4080</v>
      </c>
      <c r="B4141" s="1832">
        <f>'Acct Summary 7-8'!H19</f>
        <v>174255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2235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50423</v>
      </c>
      <c r="C4171" s="2" t="s">
        <v>569</v>
      </c>
      <c r="D4171" s="2" t="str">
        <f t="shared" si="64"/>
        <v>Error?</v>
      </c>
    </row>
    <row r="4172" spans="1:4" x14ac:dyDescent="0.2">
      <c r="A4172" s="5">
        <v>4111</v>
      </c>
      <c r="B4172" s="1832">
        <f>'Short-Term Long-Term Debt 24'!J49</f>
        <v>50423</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1823.91</v>
      </c>
      <c r="C4265" s="2" t="s">
        <v>569</v>
      </c>
      <c r="D4265" s="2" t="str">
        <f t="shared" si="65"/>
        <v>Error?</v>
      </c>
      <c r="E4265" s="125"/>
    </row>
    <row r="4266" spans="1:5" x14ac:dyDescent="0.2">
      <c r="A4266" s="12">
        <v>4205</v>
      </c>
      <c r="B4266" s="1832">
        <f>('FP Info 3'!F10)*100000</f>
        <v>485.08</v>
      </c>
      <c r="C4266" s="2" t="s">
        <v>569</v>
      </c>
      <c r="D4266" s="2" t="str">
        <f t="shared" si="65"/>
        <v>Error?</v>
      </c>
      <c r="E4266" s="125"/>
    </row>
    <row r="4267" spans="1:5" x14ac:dyDescent="0.2">
      <c r="A4267" s="12">
        <v>4206</v>
      </c>
      <c r="B4267" s="1832">
        <f>('FP Info 3'!H10)*100000</f>
        <v>194.03</v>
      </c>
      <c r="C4267" s="2" t="s">
        <v>569</v>
      </c>
      <c r="D4267" s="2" t="str">
        <f t="shared" si="65"/>
        <v>Error?</v>
      </c>
      <c r="E4267" s="125"/>
    </row>
    <row r="4268" spans="1:5" x14ac:dyDescent="0.2">
      <c r="A4268" s="12">
        <v>4207</v>
      </c>
      <c r="B4268" s="1832">
        <f>('FP Info 3'!J10)*100000</f>
        <v>2503</v>
      </c>
      <c r="C4268" s="2" t="s">
        <v>569</v>
      </c>
      <c r="D4268" s="2" t="str">
        <f t="shared" si="65"/>
        <v>Error?</v>
      </c>
    </row>
    <row r="4269" spans="1:5" x14ac:dyDescent="0.2">
      <c r="A4269" s="12">
        <v>4208</v>
      </c>
      <c r="B4269" s="1832">
        <f>'FP Info 3'!J16</f>
        <v>3941537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16523</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17939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30322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9367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31909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48.5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40275</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66452115</v>
      </c>
      <c r="D4995" s="2" t="str">
        <f t="shared" si="77"/>
        <v>Error?</v>
      </c>
    </row>
    <row r="4996" spans="1:4" x14ac:dyDescent="0.2">
      <c r="A4996" s="12">
        <v>4935</v>
      </c>
      <c r="B4996" s="1832">
        <f>'FP Info 3'!H31</f>
        <v>9170391.870000001</v>
      </c>
      <c r="D4996" s="2" t="str">
        <f t="shared" si="77"/>
        <v>Error?</v>
      </c>
    </row>
    <row r="4997" spans="1:4" x14ac:dyDescent="0.2">
      <c r="A4997" s="12">
        <v>4936</v>
      </c>
      <c r="B4997" s="1832">
        <f>'FP Info 3'!H37</f>
        <v>50423</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28934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1087689</v>
      </c>
      <c r="D5061" s="2" t="str">
        <f t="shared" si="78"/>
        <v>Error?</v>
      </c>
    </row>
    <row r="5062" spans="1:4" x14ac:dyDescent="0.2">
      <c r="A5062" s="10">
        <v>5001</v>
      </c>
      <c r="B5062" s="1832"/>
      <c r="D5062" s="2" t="str">
        <f t="shared" si="78"/>
        <v>OK</v>
      </c>
    </row>
    <row r="5063" spans="1:4" x14ac:dyDescent="0.2">
      <c r="A5063" s="5">
        <v>5002</v>
      </c>
      <c r="B5063" s="1832">
        <f>'Revenues 9-14'!C7</f>
        <v>23148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1139771</v>
      </c>
      <c r="C5066" s="2" t="s">
        <v>569</v>
      </c>
      <c r="D5066" s="2" t="str">
        <f t="shared" si="78"/>
        <v>Error?</v>
      </c>
    </row>
    <row r="5067" spans="1:4" x14ac:dyDescent="0.2">
      <c r="A5067" s="5">
        <v>5006</v>
      </c>
      <c r="B5067" s="1832">
        <f>'Revenues 9-14'!C14</f>
        <v>8590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261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8851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7856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7856</v>
      </c>
      <c r="C5090" s="2" t="s">
        <v>569</v>
      </c>
      <c r="D5090" s="2" t="str">
        <f t="shared" si="78"/>
        <v>Error?</v>
      </c>
    </row>
    <row r="5091" spans="1:4" x14ac:dyDescent="0.2">
      <c r="A5091" s="5">
        <v>5030</v>
      </c>
      <c r="B5091" s="1832">
        <f>'Revenues 9-14'!C70</f>
        <v>5693</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409</v>
      </c>
      <c r="D5093" s="2" t="str">
        <f t="shared" si="78"/>
        <v>Error?</v>
      </c>
    </row>
    <row r="5094" spans="1:4" x14ac:dyDescent="0.2">
      <c r="A5094" s="5">
        <v>5033</v>
      </c>
      <c r="B5094" s="1832">
        <f>'Revenues 9-14'!C73</f>
        <v>4052</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74531</v>
      </c>
      <c r="C5096" s="2" t="s">
        <v>569</v>
      </c>
      <c r="D5096" s="2" t="str">
        <f t="shared" si="78"/>
        <v>Error?</v>
      </c>
    </row>
    <row r="5097" spans="1:4" x14ac:dyDescent="0.2">
      <c r="A5097" s="5">
        <v>5036</v>
      </c>
      <c r="B5097" s="1832">
        <f>'Revenues 9-14'!C77</f>
        <v>36809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22875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35</v>
      </c>
      <c r="D5101" s="2" t="str">
        <f t="shared" si="78"/>
        <v>Error?</v>
      </c>
    </row>
    <row r="5102" spans="1:4" x14ac:dyDescent="0.2">
      <c r="A5102" s="5">
        <v>5041</v>
      </c>
      <c r="B5102" s="1832">
        <f>'Revenues 9-14'!C82</f>
        <v>59719</v>
      </c>
      <c r="C5102" s="2" t="s">
        <v>569</v>
      </c>
      <c r="D5102" s="2" t="str">
        <f t="shared" si="78"/>
        <v>Error?</v>
      </c>
    </row>
    <row r="5103" spans="1:4" x14ac:dyDescent="0.2">
      <c r="A5103" s="5">
        <v>5042</v>
      </c>
      <c r="B5103" s="1832">
        <f>'Revenues 9-14'!C84</f>
        <v>29146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29146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6675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14605</v>
      </c>
      <c r="D5118" s="2" t="str">
        <f t="shared" si="78"/>
        <v>Error?</v>
      </c>
    </row>
    <row r="5119" spans="1:4" x14ac:dyDescent="0.2">
      <c r="A5119" s="5">
        <v>5058</v>
      </c>
      <c r="B5119" s="1832">
        <f>'Revenues 9-14'!C107</f>
        <v>28324</v>
      </c>
      <c r="D5119" s="2" t="str">
        <f t="shared" ref="D5119:D5182" si="79">IF(ISBLANK(B5119),"OK",IF(A5119-B5119=0,"OK","Error?"))</f>
        <v>Error?</v>
      </c>
    </row>
    <row r="5120" spans="1:4" x14ac:dyDescent="0.2">
      <c r="A5120" s="5">
        <v>5059</v>
      </c>
      <c r="B5120" s="1832">
        <f>'Revenues 9-14'!C108</f>
        <v>52429</v>
      </c>
      <c r="C5120" s="2" t="s">
        <v>569</v>
      </c>
      <c r="D5120" s="2" t="str">
        <f t="shared" si="79"/>
        <v>Error?</v>
      </c>
    </row>
    <row r="5121" spans="1:4" x14ac:dyDescent="0.2">
      <c r="A5121" s="5">
        <v>5060</v>
      </c>
      <c r="B5121" s="1832">
        <f>'Revenues 9-14'!C109</f>
        <v>1372303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4534038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4534038</v>
      </c>
      <c r="C5132" s="2" t="s">
        <v>569</v>
      </c>
      <c r="D5132" s="2" t="str">
        <f t="shared" si="79"/>
        <v>Error?</v>
      </c>
    </row>
    <row r="5133" spans="1:4" x14ac:dyDescent="0.2">
      <c r="A5133" s="5">
        <v>5072</v>
      </c>
      <c r="B5133" s="1832">
        <f>'Revenues 9-14'!C125</f>
        <v>11315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356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11671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47804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71408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3008</v>
      </c>
      <c r="D5167" s="2" t="str">
        <f t="shared" si="79"/>
        <v>Error?</v>
      </c>
    </row>
    <row r="5168" spans="1:4" x14ac:dyDescent="0.2">
      <c r="A5168" s="5">
        <v>5107</v>
      </c>
      <c r="B5168" s="1832">
        <f>'Revenues 9-14'!C148</f>
        <v>9163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235862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371387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4905425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176499</v>
      </c>
      <c r="D5239" s="2" t="str">
        <f t="shared" si="80"/>
        <v>Error?</v>
      </c>
    </row>
    <row r="5240" spans="1:4" x14ac:dyDescent="0.2">
      <c r="A5240" s="5">
        <v>5179</v>
      </c>
      <c r="B5240" s="1832">
        <f>'Revenues 9-14'!C192</f>
        <v>2024</v>
      </c>
      <c r="D5240" s="2" t="str">
        <f t="shared" si="80"/>
        <v>Error?</v>
      </c>
    </row>
    <row r="5241" spans="1:4" x14ac:dyDescent="0.2">
      <c r="A5241" s="5">
        <v>5180</v>
      </c>
      <c r="B5241" s="1832">
        <f>'Revenues 9-14'!C193</f>
        <v>41743</v>
      </c>
      <c r="D5241" s="2" t="str">
        <f t="shared" si="80"/>
        <v>Error?</v>
      </c>
    </row>
    <row r="5242" spans="1:4" x14ac:dyDescent="0.2">
      <c r="A5242" s="5">
        <v>5181</v>
      </c>
      <c r="B5242" s="1832">
        <f>'Revenues 9-14'!C194</f>
        <v>23665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243931</v>
      </c>
      <c r="C5246" s="2" t="s">
        <v>569</v>
      </c>
      <c r="D5246" s="2" t="str">
        <f t="shared" si="80"/>
        <v>Error?</v>
      </c>
    </row>
    <row r="5247" spans="1:4" x14ac:dyDescent="0.2">
      <c r="A5247" s="5">
        <v>5186</v>
      </c>
      <c r="B5247" s="1832">
        <f>'Revenues 9-14'!C200</f>
        <v>288420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9367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288420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7059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236905</v>
      </c>
      <c r="D5278" s="2" t="str">
        <f t="shared" si="81"/>
        <v>Error?</v>
      </c>
    </row>
    <row r="5279" spans="1:4" x14ac:dyDescent="0.2">
      <c r="A5279" s="5">
        <v>5218</v>
      </c>
      <c r="B5279" s="1832">
        <f>'Revenues 9-14'!C214</f>
        <v>92480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336444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16523</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974855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974855</v>
      </c>
      <c r="C5326" s="2" t="s">
        <v>569</v>
      </c>
      <c r="D5326" s="2" t="str">
        <f t="shared" si="82"/>
        <v>Error?</v>
      </c>
    </row>
    <row r="5327" spans="1:5" x14ac:dyDescent="0.2">
      <c r="A5327" s="5">
        <v>5266</v>
      </c>
      <c r="B5327" s="1832">
        <f>'Revenues 9-14'!C268</f>
        <v>7252583</v>
      </c>
      <c r="C5327" s="2" t="s">
        <v>569</v>
      </c>
      <c r="D5327" s="2" t="str">
        <f t="shared" si="82"/>
        <v>Error?</v>
      </c>
    </row>
    <row r="5328" spans="1:5" x14ac:dyDescent="0.2">
      <c r="A5328" s="5">
        <v>5267</v>
      </c>
      <c r="B5328" s="1832">
        <f>'Revenues 9-14'!D5</f>
        <v>289391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289391</v>
      </c>
      <c r="C5334" s="2" t="s">
        <v>569</v>
      </c>
      <c r="D5334" s="2" t="str">
        <f t="shared" si="82"/>
        <v>Error?</v>
      </c>
    </row>
    <row r="5335" spans="1:4" x14ac:dyDescent="0.2">
      <c r="A5335" s="5">
        <v>5274</v>
      </c>
      <c r="B5335" s="1832">
        <f>'Revenues 9-14'!D14</f>
        <v>2180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66012</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68192</v>
      </c>
      <c r="C5339" s="2" t="s">
        <v>569</v>
      </c>
      <c r="D5339" s="2" t="str">
        <f t="shared" si="82"/>
        <v>Error?</v>
      </c>
    </row>
    <row r="5340" spans="1:4" x14ac:dyDescent="0.2">
      <c r="A5340" s="5">
        <v>5279</v>
      </c>
      <c r="B5340" s="1832">
        <f>'Revenues 9-14'!D65</f>
        <v>1466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1466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5495</v>
      </c>
      <c r="D5354" s="2" t="str">
        <f t="shared" si="82"/>
        <v>Error?</v>
      </c>
    </row>
    <row r="5355" spans="1:4" x14ac:dyDescent="0.2">
      <c r="A5355" s="5">
        <v>5294</v>
      </c>
      <c r="B5355" s="1832">
        <f>'Revenues 9-14'!D108</f>
        <v>5495</v>
      </c>
      <c r="C5355" s="2" t="s">
        <v>569</v>
      </c>
      <c r="D5355" s="2" t="str">
        <f t="shared" si="82"/>
        <v>Error?</v>
      </c>
    </row>
    <row r="5356" spans="1:4" x14ac:dyDescent="0.2">
      <c r="A5356" s="5">
        <v>5295</v>
      </c>
      <c r="B5356" s="1832">
        <f>'Revenues 9-14'!D109</f>
        <v>364544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500000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500000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864544</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115753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115753</v>
      </c>
      <c r="C5557" s="2" t="s">
        <v>569</v>
      </c>
      <c r="D5557" s="2" t="str">
        <f t="shared" si="85"/>
        <v>Error?</v>
      </c>
    </row>
    <row r="5558" spans="1:4" x14ac:dyDescent="0.2">
      <c r="A5558" s="5">
        <v>5497</v>
      </c>
      <c r="B5558" s="1832">
        <f>'Revenues 9-14'!F14</f>
        <v>872</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15919</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16791</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2315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2315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446</v>
      </c>
      <c r="D5586" s="2" t="str">
        <f t="shared" si="86"/>
        <v>Error?</v>
      </c>
    </row>
    <row r="5587" spans="1:4" x14ac:dyDescent="0.2">
      <c r="A5587" s="5">
        <v>5526</v>
      </c>
      <c r="B5587" s="1832">
        <f>'Revenues 9-14'!F108</f>
        <v>446</v>
      </c>
      <c r="C5587" s="2" t="s">
        <v>569</v>
      </c>
      <c r="D5587" s="2" t="str">
        <f t="shared" si="86"/>
        <v>Error?</v>
      </c>
    </row>
    <row r="5588" spans="1:4" x14ac:dyDescent="0.2">
      <c r="A5588" s="5">
        <v>5527</v>
      </c>
      <c r="B5588" s="1832">
        <f>'Revenues 9-14'!F109</f>
        <v>135305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250000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250000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291290</v>
      </c>
      <c r="D5615" s="2" t="str">
        <f t="shared" si="86"/>
        <v>Error?</v>
      </c>
    </row>
    <row r="5616" spans="1:4" x14ac:dyDescent="0.2">
      <c r="A5616" s="10">
        <v>5555</v>
      </c>
      <c r="B5616" s="1832"/>
      <c r="D5616" s="2" t="str">
        <f t="shared" si="86"/>
        <v>OK</v>
      </c>
    </row>
    <row r="5617" spans="1:5" x14ac:dyDescent="0.2">
      <c r="A5617" s="5">
        <v>5556</v>
      </c>
      <c r="B5617" s="1832">
        <f>'Revenues 9-14'!F153</f>
        <v>81318</v>
      </c>
      <c r="D5617" s="2" t="str">
        <f t="shared" si="86"/>
        <v>Error?</v>
      </c>
    </row>
    <row r="5618" spans="1:5" x14ac:dyDescent="0.2">
      <c r="A5618" s="5">
        <v>5557</v>
      </c>
      <c r="B5618" s="1832">
        <f>'Revenues 9-14'!F155</f>
        <v>372608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28000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400608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650608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785913</v>
      </c>
      <c r="C5720" s="2" t="s">
        <v>569</v>
      </c>
      <c r="D5720" s="2" t="str">
        <f t="shared" si="88"/>
        <v>Error?</v>
      </c>
    </row>
    <row r="5721" spans="1:4" x14ac:dyDescent="0.2">
      <c r="A5721" s="5">
        <v>5660</v>
      </c>
      <c r="B5721" s="1832">
        <f>'Revenues 9-14'!G5</f>
        <v>187429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111343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298772</v>
      </c>
      <c r="C5725" s="2" t="s">
        <v>569</v>
      </c>
      <c r="D5725" s="2" t="str">
        <f t="shared" si="88"/>
        <v>Error?</v>
      </c>
    </row>
    <row r="5726" spans="1:4" x14ac:dyDescent="0.2">
      <c r="A5726" s="5">
        <v>5665</v>
      </c>
      <c r="B5726" s="1832">
        <f>'Revenues 9-14'!G14</f>
        <v>2247</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13589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15836</v>
      </c>
      <c r="C5730" s="2" t="s">
        <v>569</v>
      </c>
      <c r="D5730" s="2" t="str">
        <f t="shared" si="88"/>
        <v>Error?</v>
      </c>
    </row>
    <row r="5731" spans="1:4" x14ac:dyDescent="0.2">
      <c r="A5731" s="5">
        <v>5670</v>
      </c>
      <c r="B5731" s="1832">
        <f>'Revenues 9-14'!G65</f>
        <v>1069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1069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315677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1161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1161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50000</v>
      </c>
      <c r="D5885" s="2" t="str">
        <f t="shared" si="90"/>
        <v>Error?</v>
      </c>
    </row>
    <row r="5886" spans="1:4" x14ac:dyDescent="0.2">
      <c r="A5886" s="5">
        <v>5825</v>
      </c>
      <c r="B5886" s="1832">
        <f>'Revenues 9-14'!H108</f>
        <v>400569</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401730</v>
      </c>
      <c r="C5915" s="2" t="s">
        <v>569</v>
      </c>
      <c r="D5915" s="2" t="str">
        <f t="shared" si="91"/>
        <v>Error?</v>
      </c>
    </row>
    <row r="5916" spans="1:4" x14ac:dyDescent="0.2">
      <c r="A5916" s="5">
        <v>5855</v>
      </c>
      <c r="B5916" s="1832">
        <f>'Revenues 9-14'!I5</f>
        <v>28934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28934</v>
      </c>
      <c r="C5918" s="2" t="s">
        <v>569</v>
      </c>
      <c r="D5918" s="2" t="str">
        <f t="shared" si="91"/>
        <v>Error?</v>
      </c>
    </row>
    <row r="5919" spans="1:4" x14ac:dyDescent="0.2">
      <c r="A5919" s="5">
        <v>5858</v>
      </c>
      <c r="B5919" s="1832">
        <f>'Revenues 9-14'!I14</f>
        <v>218</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218</v>
      </c>
      <c r="C5923" s="2" t="s">
        <v>569</v>
      </c>
      <c r="D5923" s="2" t="str">
        <f t="shared" si="91"/>
        <v>Error?</v>
      </c>
    </row>
    <row r="5924" spans="1:4" x14ac:dyDescent="0.2">
      <c r="A5924" s="5">
        <v>5863</v>
      </c>
      <c r="B5924" s="1832">
        <f>'Revenues 9-14'!I65</f>
        <v>4237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4237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33389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28934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28934</v>
      </c>
      <c r="C5987" s="2" t="s">
        <v>569</v>
      </c>
      <c r="D5987" s="2" t="str">
        <f t="shared" si="92"/>
        <v>Error?</v>
      </c>
    </row>
    <row r="5988" spans="1:4" x14ac:dyDescent="0.2">
      <c r="A5988" s="5">
        <v>5927</v>
      </c>
      <c r="B5988" s="1832">
        <f>'Revenues 9-14'!K14</f>
        <v>218</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218</v>
      </c>
      <c r="C5992" s="2" t="s">
        <v>569</v>
      </c>
      <c r="D5992" s="2" t="str">
        <f t="shared" si="92"/>
        <v>Error?</v>
      </c>
    </row>
    <row r="5993" spans="1:4" x14ac:dyDescent="0.2">
      <c r="A5993" s="5">
        <v>5932</v>
      </c>
      <c r="B5993" s="1832">
        <f>'Revenues 9-14'!K65</f>
        <v>2857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2857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32009</v>
      </c>
      <c r="C6023" s="2" t="s">
        <v>569</v>
      </c>
      <c r="D6023" s="2" t="str">
        <f t="shared" si="93"/>
        <v>Error?</v>
      </c>
    </row>
    <row r="6024" spans="1:5" x14ac:dyDescent="0.2">
      <c r="A6024" s="5">
        <v>5963</v>
      </c>
      <c r="B6024" s="1832">
        <f>'Revenues 9-14'!G109</f>
        <v>315677</v>
      </c>
      <c r="C6024" s="2" t="s">
        <v>569</v>
      </c>
      <c r="D6024" s="2" t="str">
        <f t="shared" si="93"/>
        <v>Error?</v>
      </c>
    </row>
    <row r="6025" spans="1:5" x14ac:dyDescent="0.2">
      <c r="A6025" s="5">
        <v>5964</v>
      </c>
      <c r="B6025" s="1832">
        <f>'Revenues 9-14'!H109</f>
        <v>401730</v>
      </c>
      <c r="C6025" s="2" t="s">
        <v>569</v>
      </c>
      <c r="D6025" s="2" t="str">
        <f t="shared" si="93"/>
        <v>Error?</v>
      </c>
    </row>
    <row r="6026" spans="1:5" x14ac:dyDescent="0.2">
      <c r="A6026" s="5">
        <v>5965</v>
      </c>
      <c r="B6026" s="1832">
        <f>'Revenues 9-14'!I109</f>
        <v>33389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32009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64377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44058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844.3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375369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375369</v>
      </c>
      <c r="D6215" s="2" t="str">
        <f t="shared" si="96"/>
        <v>Error?</v>
      </c>
      <c r="E6215" s="2" t="s">
        <v>189</v>
      </c>
    </row>
    <row r="6216" spans="1:5" x14ac:dyDescent="0.2">
      <c r="A6216">
        <v>6155</v>
      </c>
      <c r="B6216" s="1832">
        <f>'Assets-Liab 5-6'!J41</f>
        <v>375369</v>
      </c>
      <c r="D6216" s="2" t="str">
        <f t="shared" si="96"/>
        <v>Error?</v>
      </c>
      <c r="E6216" s="2" t="s">
        <v>189</v>
      </c>
    </row>
    <row r="6217" spans="1:5" x14ac:dyDescent="0.2">
      <c r="A6217">
        <v>6156</v>
      </c>
      <c r="B6217" s="1832">
        <f>'Assets-Liab 5-6'!J4</f>
        <v>103626</v>
      </c>
      <c r="D6217" s="2" t="str">
        <f t="shared" si="96"/>
        <v>Error?</v>
      </c>
      <c r="E6217" s="2" t="s">
        <v>189</v>
      </c>
    </row>
    <row r="6218" spans="1:5" x14ac:dyDescent="0.2">
      <c r="A6218">
        <v>6157</v>
      </c>
      <c r="B6218" s="1832">
        <f>'Assets-Liab 5-6'!J5</f>
        <v>271743</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255185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255185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255185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315867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315867</v>
      </c>
      <c r="D6229" s="2" t="str">
        <f t="shared" si="96"/>
        <v>Error?</v>
      </c>
      <c r="E6229" s="2" t="s">
        <v>189</v>
      </c>
    </row>
    <row r="6230" spans="1:5" x14ac:dyDescent="0.2">
      <c r="A6230">
        <v>6169</v>
      </c>
      <c r="B6230" s="1832">
        <f>'Acct Summary 7-8'!J20</f>
        <v>-60682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-60682</v>
      </c>
      <c r="D6263" s="2" t="str">
        <f t="shared" si="96"/>
        <v>Error?</v>
      </c>
      <c r="E6263" s="2" t="s">
        <v>189</v>
      </c>
    </row>
    <row r="6264" spans="1:5" x14ac:dyDescent="0.2">
      <c r="A6264">
        <v>6203</v>
      </c>
      <c r="B6264" s="1832">
        <f>'Acct Summary 7-8'!J79</f>
        <v>436051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375369</v>
      </c>
      <c r="D6266" s="2" t="str">
        <f t="shared" si="96"/>
        <v>Error?</v>
      </c>
      <c r="E6266" s="2" t="s">
        <v>189</v>
      </c>
    </row>
    <row r="6267" spans="1:5" x14ac:dyDescent="0.2">
      <c r="A6267">
        <v>6206</v>
      </c>
      <c r="B6267" s="1832">
        <f>'Acct Summary 7-8'!C82</f>
        <v>456809</v>
      </c>
      <c r="D6267" s="2" t="str">
        <f t="shared" si="96"/>
        <v>Error?</v>
      </c>
      <c r="E6267" s="2" t="s">
        <v>189</v>
      </c>
    </row>
    <row r="6268" spans="1:5" x14ac:dyDescent="0.2">
      <c r="A6268">
        <v>6207</v>
      </c>
      <c r="B6268" s="1832">
        <f>'Acct Summary 7-8'!D82</f>
        <v>99360</v>
      </c>
      <c r="D6268" s="2" t="str">
        <f t="shared" si="96"/>
        <v>Error?</v>
      </c>
      <c r="E6268" s="2" t="s">
        <v>189</v>
      </c>
    </row>
    <row r="6269" spans="1:5" x14ac:dyDescent="0.2">
      <c r="A6269">
        <v>6208</v>
      </c>
      <c r="B6269" s="1832">
        <f>'Acct Summary 7-8'!E82</f>
        <v>-54456</v>
      </c>
      <c r="D6269" s="2" t="str">
        <f t="shared" si="96"/>
        <v>Error?</v>
      </c>
      <c r="E6269" s="2" t="s">
        <v>189</v>
      </c>
    </row>
    <row r="6270" spans="1:5" x14ac:dyDescent="0.2">
      <c r="A6270">
        <v>6209</v>
      </c>
      <c r="B6270" s="1832">
        <f>'Acct Summary 7-8'!F82</f>
        <v>26318</v>
      </c>
      <c r="D6270" s="2" t="str">
        <f t="shared" si="96"/>
        <v>Error?</v>
      </c>
      <c r="E6270" s="2" t="s">
        <v>189</v>
      </c>
    </row>
    <row r="6271" spans="1:5" x14ac:dyDescent="0.2">
      <c r="A6271">
        <v>6210</v>
      </c>
      <c r="B6271" s="1832">
        <f>'Acct Summary 7-8'!G82</f>
        <v>-26296</v>
      </c>
      <c r="D6271" s="2" t="str">
        <f t="shared" ref="D6271:D6334" si="97">IF(ISBLANK(B6271),"OK",IF(A6271-B6271=0,"OK","Error?"))</f>
        <v>Error?</v>
      </c>
      <c r="E6271" s="2" t="s">
        <v>189</v>
      </c>
    </row>
    <row r="6272" spans="1:5" x14ac:dyDescent="0.2">
      <c r="A6272">
        <v>6211</v>
      </c>
      <c r="B6272" s="1832">
        <f>'Acct Summary 7-8'!H82</f>
        <v>281931</v>
      </c>
      <c r="D6272" s="2" t="str">
        <f t="shared" si="97"/>
        <v>Error?</v>
      </c>
      <c r="E6272" s="2" t="s">
        <v>189</v>
      </c>
    </row>
    <row r="6273" spans="1:5" x14ac:dyDescent="0.2">
      <c r="A6273">
        <v>6212</v>
      </c>
      <c r="B6273" s="1832">
        <f>'Acct Summary 7-8'!I82</f>
        <v>33389</v>
      </c>
      <c r="D6273" s="2" t="str">
        <f t="shared" si="97"/>
        <v>Error?</v>
      </c>
      <c r="E6273" s="2" t="s">
        <v>189</v>
      </c>
    </row>
    <row r="6274" spans="1:5" x14ac:dyDescent="0.2">
      <c r="A6274">
        <v>6213</v>
      </c>
      <c r="B6274" s="1832">
        <f>'Acct Summary 7-8'!J82</f>
        <v>-60682</v>
      </c>
      <c r="D6274" s="2" t="str">
        <f t="shared" si="97"/>
        <v>Error?</v>
      </c>
      <c r="E6274" s="2" t="s">
        <v>189</v>
      </c>
    </row>
    <row r="6275" spans="1:5" x14ac:dyDescent="0.2">
      <c r="A6275">
        <v>6214</v>
      </c>
      <c r="B6275" s="1832">
        <f>'Acct Summary 7-8'!K82</f>
        <v>29774</v>
      </c>
      <c r="D6275" s="2" t="str">
        <f t="shared" si="97"/>
        <v>Error?</v>
      </c>
      <c r="E6275" s="2" t="s">
        <v>189</v>
      </c>
    </row>
    <row r="6276" spans="1:5" x14ac:dyDescent="0.2">
      <c r="A6276">
        <v>6215</v>
      </c>
      <c r="B6276" s="1832">
        <f>'Acct Summary 7-8'!C83</f>
        <v>0.18306241191196668</v>
      </c>
      <c r="D6276" s="2" t="str">
        <f t="shared" si="97"/>
        <v>Error?</v>
      </c>
      <c r="E6276" s="2" t="s">
        <v>189</v>
      </c>
    </row>
    <row r="6277" spans="1:5" x14ac:dyDescent="0.2">
      <c r="A6277">
        <v>6216</v>
      </c>
      <c r="B6277" s="1832">
        <f>'Acct Summary 7-8'!D83</f>
        <v>0.21575001139983455</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3.9162932859929792E-2</v>
      </c>
      <c r="D6279" s="2" t="str">
        <f t="shared" si="97"/>
        <v>Error?</v>
      </c>
      <c r="E6279" s="2" t="s">
        <v>189</v>
      </c>
    </row>
    <row r="6280" spans="1:5" x14ac:dyDescent="0.2">
      <c r="A6280">
        <v>6219</v>
      </c>
      <c r="B6280" s="1832">
        <f>'Acct Summary 7-8'!G83</f>
        <v>-0.10564715713688812</v>
      </c>
      <c r="D6280" s="2" t="str">
        <f t="shared" si="97"/>
        <v>Error?</v>
      </c>
      <c r="E6280" s="2" t="s">
        <v>189</v>
      </c>
    </row>
    <row r="6281" spans="1:5" x14ac:dyDescent="0.2">
      <c r="A6281">
        <v>6220</v>
      </c>
      <c r="B6281" s="1832">
        <f>'Acct Summary 7-8'!H83</f>
        <v>0.54346363589048652</v>
      </c>
      <c r="D6281" s="2" t="str">
        <f t="shared" si="97"/>
        <v>Error?</v>
      </c>
      <c r="E6281" s="2" t="s">
        <v>189</v>
      </c>
    </row>
    <row r="6282" spans="1:5" x14ac:dyDescent="0.2">
      <c r="A6282">
        <v>6221</v>
      </c>
      <c r="B6282" s="1832">
        <f>'Acct Summary 7-8'!I83</f>
        <v>0.10646391469877367</v>
      </c>
      <c r="D6282" s="2" t="str">
        <f t="shared" si="97"/>
        <v>Error?</v>
      </c>
      <c r="E6282" s="2" t="s">
        <v>189</v>
      </c>
    </row>
    <row r="6283" spans="1:5" x14ac:dyDescent="0.2">
      <c r="A6283">
        <v>6222</v>
      </c>
      <c r="B6283" s="1832">
        <f>'Acct Summary 7-8'!J83</f>
        <v>-0.16165959362653815</v>
      </c>
      <c r="D6283" s="2" t="str">
        <f t="shared" si="97"/>
        <v>Error?</v>
      </c>
      <c r="E6283" s="2" t="s">
        <v>189</v>
      </c>
    </row>
    <row r="6284" spans="1:5" x14ac:dyDescent="0.2">
      <c r="A6284">
        <v>6223</v>
      </c>
      <c r="B6284" s="1832">
        <f>'Acct Summary 7-8'!K83</f>
        <v>0.13571636947088211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245882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245882</v>
      </c>
      <c r="D6301" s="2" t="str">
        <f t="shared" si="97"/>
        <v>Error?</v>
      </c>
      <c r="E6301" s="2" t="s">
        <v>189</v>
      </c>
    </row>
    <row r="6302" spans="1:5" x14ac:dyDescent="0.2">
      <c r="A6302">
        <v>6241</v>
      </c>
      <c r="B6302" s="1832">
        <f>'Revenues 9-14'!J14</f>
        <v>1849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1849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7454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7454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2825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255185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23604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145617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187112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67356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315867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255185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8601</v>
      </c>
      <c r="D7073" s="2" t="str">
        <f t="shared" si="109"/>
        <v>Error?</v>
      </c>
    </row>
    <row r="7074" spans="1:4" x14ac:dyDescent="0.2">
      <c r="A7074">
        <v>7013</v>
      </c>
      <c r="B7074" s="1832">
        <f>'Expenditures 15-22'!K216</f>
        <v>8601</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871</v>
      </c>
      <c r="D7079" s="2" t="str">
        <f t="shared" si="109"/>
        <v>Error?</v>
      </c>
    </row>
    <row r="7080" spans="1:4" x14ac:dyDescent="0.2">
      <c r="A7080">
        <v>7019</v>
      </c>
      <c r="B7080" s="1832">
        <f>'Expenditures 15-22'!K226</f>
        <v>871</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57271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57271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15977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15977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80188</v>
      </c>
      <c r="D7172" s="2" t="str">
        <f t="shared" si="111"/>
        <v>Error?</v>
      </c>
    </row>
    <row r="7173" spans="1:4" x14ac:dyDescent="0.2">
      <c r="A7173">
        <v>7112</v>
      </c>
      <c r="B7173" s="1832">
        <f>'Expenditures 15-22'!D325</f>
        <v>9574</v>
      </c>
      <c r="D7173" s="2" t="str">
        <f t="shared" si="111"/>
        <v>Error?</v>
      </c>
    </row>
    <row r="7174" spans="1:4" x14ac:dyDescent="0.2">
      <c r="A7174">
        <v>7113</v>
      </c>
      <c r="B7174" s="1832">
        <f>'Expenditures 15-22'!E325</f>
        <v>52558</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142320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9763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9763</v>
      </c>
      <c r="D7198" s="2" t="str">
        <f t="shared" si="111"/>
        <v>Error?</v>
      </c>
    </row>
    <row r="7199" spans="1:4" x14ac:dyDescent="0.2">
      <c r="A7199">
        <v>7138</v>
      </c>
      <c r="B7199" s="1832">
        <f>'Expenditures 15-22'!C330</f>
        <v>80188</v>
      </c>
      <c r="D7199" s="2" t="str">
        <f t="shared" si="111"/>
        <v>Error?</v>
      </c>
    </row>
    <row r="7200" spans="1:4" x14ac:dyDescent="0.2">
      <c r="A7200">
        <v>7139</v>
      </c>
      <c r="B7200" s="1832">
        <f>'Expenditures 15-22'!D330</f>
        <v>9574</v>
      </c>
      <c r="D7200" s="2" t="str">
        <f t="shared" si="111"/>
        <v>Error?</v>
      </c>
    </row>
    <row r="7201" spans="1:4" x14ac:dyDescent="0.2">
      <c r="A7201">
        <v>7140</v>
      </c>
      <c r="B7201" s="1832">
        <f>'Expenditures 15-22'!E330</f>
        <v>226105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315867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80188</v>
      </c>
      <c r="D7216" s="2" t="str">
        <f t="shared" si="111"/>
        <v>Error?</v>
      </c>
    </row>
    <row r="7217" spans="1:4" x14ac:dyDescent="0.2">
      <c r="A7217">
        <v>7156</v>
      </c>
      <c r="B7217" s="1832">
        <f>'Expenditures 15-22'!D342</f>
        <v>9574</v>
      </c>
      <c r="D7217" s="2" t="str">
        <f t="shared" si="111"/>
        <v>Error?</v>
      </c>
    </row>
    <row r="7218" spans="1:4" x14ac:dyDescent="0.2">
      <c r="A7218">
        <v>7157</v>
      </c>
      <c r="B7218" s="1832">
        <f>'Expenditures 15-22'!E342</f>
        <v>226105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315867</v>
      </c>
      <c r="D7224" s="2" t="str">
        <f t="shared" si="111"/>
        <v>Error?</v>
      </c>
    </row>
    <row r="7225" spans="1:4" x14ac:dyDescent="0.2">
      <c r="A7225">
        <v>7164</v>
      </c>
      <c r="B7225" s="1832">
        <f>'Expenditures 15-22'!K343</f>
        <v>-60682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19003</v>
      </c>
      <c r="D7246" s="2" t="str">
        <f t="shared" si="112"/>
        <v>Error?</v>
      </c>
    </row>
    <row r="7247" spans="1:4" x14ac:dyDescent="0.2">
      <c r="A7247">
        <f t="shared" si="113"/>
        <v>7186</v>
      </c>
      <c r="B7247" s="1832">
        <f>'Expenditures 15-22'!E7</f>
        <v>5456</v>
      </c>
      <c r="D7247" s="2" t="str">
        <f t="shared" si="112"/>
        <v>Error?</v>
      </c>
    </row>
    <row r="7248" spans="1:4" x14ac:dyDescent="0.2">
      <c r="A7248">
        <f t="shared" si="113"/>
        <v>7187</v>
      </c>
      <c r="B7248" s="1832">
        <f>'Expenditures 15-22'!F7</f>
        <v>14670</v>
      </c>
      <c r="D7248" s="2" t="str">
        <f t="shared" si="112"/>
        <v>Error?</v>
      </c>
    </row>
    <row r="7249" spans="1:4" x14ac:dyDescent="0.2">
      <c r="A7249">
        <f t="shared" si="113"/>
        <v>7188</v>
      </c>
      <c r="B7249" s="1832">
        <f>'Expenditures 15-22'!G7</f>
        <v>2366</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58130</v>
      </c>
      <c r="D7263" s="2" t="str">
        <f t="shared" si="112"/>
        <v>Error?</v>
      </c>
    </row>
    <row r="7264" spans="1:4" x14ac:dyDescent="0.2">
      <c r="A7264">
        <f t="shared" si="113"/>
        <v>7203</v>
      </c>
      <c r="B7264" s="1832">
        <f>'Expenditures 15-22'!D17</f>
        <v>9216</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10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23796</v>
      </c>
      <c r="D7615" s="2" t="str">
        <f t="shared" ref="D7615:D7678" si="124">IF(ISBLANK(B7615),"OK",IF(A7615-B7615=0,"OK","Error?"))</f>
        <v>Error?</v>
      </c>
      <c r="E7615" s="2" t="s">
        <v>19</v>
      </c>
    </row>
    <row r="7616" spans="1:5" x14ac:dyDescent="0.2">
      <c r="A7616">
        <f t="shared" si="123"/>
        <v>7555</v>
      </c>
      <c r="B7616" s="1832">
        <f>'Cap Outlay Deprec 26'!D14</f>
        <v>47873</v>
      </c>
      <c r="D7616" s="2" t="str">
        <f t="shared" si="124"/>
        <v>Error?</v>
      </c>
      <c r="E7616" s="2" t="s">
        <v>19</v>
      </c>
    </row>
    <row r="7617" spans="1:5" x14ac:dyDescent="0.2">
      <c r="A7617">
        <f t="shared" si="123"/>
        <v>7556</v>
      </c>
      <c r="B7617" s="1832">
        <f>'Cap Outlay Deprec 26'!E14</f>
        <v>7521</v>
      </c>
      <c r="D7617" s="2" t="str">
        <f t="shared" si="124"/>
        <v>Error?</v>
      </c>
      <c r="E7617" s="2" t="s">
        <v>19</v>
      </c>
    </row>
    <row r="7618" spans="1:5" x14ac:dyDescent="0.2">
      <c r="A7618">
        <f t="shared" si="123"/>
        <v>7557</v>
      </c>
      <c r="B7618" s="1832">
        <f>'Cap Outlay Deprec 26'!F14</f>
        <v>64148</v>
      </c>
      <c r="D7618" s="2" t="str">
        <f t="shared" si="124"/>
        <v>Error?</v>
      </c>
      <c r="E7618" s="2" t="s">
        <v>19</v>
      </c>
    </row>
    <row r="7619" spans="1:5" x14ac:dyDescent="0.2">
      <c r="A7619">
        <f t="shared" si="123"/>
        <v>7558</v>
      </c>
      <c r="B7619" s="1832">
        <f>'Cap Outlay Deprec 26'!H14</f>
        <v>7747</v>
      </c>
      <c r="D7619" s="2" t="str">
        <f t="shared" si="124"/>
        <v>Error?</v>
      </c>
      <c r="E7619" s="2" t="s">
        <v>19</v>
      </c>
    </row>
    <row r="7620" spans="1:5" x14ac:dyDescent="0.2">
      <c r="A7620">
        <f t="shared" si="123"/>
        <v>7559</v>
      </c>
      <c r="B7620" s="1832">
        <f>'Cap Outlay Deprec 26'!I14</f>
        <v>12739</v>
      </c>
      <c r="D7620" s="2" t="str">
        <f t="shared" si="124"/>
        <v>Error?</v>
      </c>
      <c r="E7620" s="2" t="s">
        <v>19</v>
      </c>
    </row>
    <row r="7621" spans="1:5" x14ac:dyDescent="0.2">
      <c r="A7621">
        <f t="shared" si="123"/>
        <v>7560</v>
      </c>
      <c r="B7621" s="1832">
        <f>'Cap Outlay Deprec 26'!J14</f>
        <v>7521</v>
      </c>
      <c r="D7621" s="2" t="str">
        <f t="shared" si="124"/>
        <v>Error?</v>
      </c>
      <c r="E7621" s="2" t="s">
        <v>19</v>
      </c>
    </row>
    <row r="7622" spans="1:5" x14ac:dyDescent="0.2">
      <c r="A7622">
        <f t="shared" si="123"/>
        <v>7561</v>
      </c>
      <c r="B7622" s="1832">
        <f>'Cap Outlay Deprec 26'!K14</f>
        <v>12965</v>
      </c>
      <c r="D7622" s="2" t="str">
        <f t="shared" si="124"/>
        <v>Error?</v>
      </c>
      <c r="E7622" s="2" t="s">
        <v>19</v>
      </c>
    </row>
    <row r="7623" spans="1:5" x14ac:dyDescent="0.2">
      <c r="A7623">
        <f t="shared" si="123"/>
        <v>7562</v>
      </c>
      <c r="B7623" s="1832">
        <f>'Cap Outlay Deprec 26'!L14</f>
        <v>51183</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653083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90536</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90536</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287154</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1161</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2825</v>
      </c>
      <c r="D7712" s="2" t="str">
        <f t="shared" si="126"/>
        <v>Error?</v>
      </c>
      <c r="E7712" s="2" t="s">
        <v>822</v>
      </c>
    </row>
    <row r="7713" spans="1:6" x14ac:dyDescent="0.2">
      <c r="A7713">
        <v>7652</v>
      </c>
      <c r="B7713" s="1832">
        <f>'Rest Tax Levies-Tort Im 25'!J8</f>
        <v>350569</v>
      </c>
      <c r="D7713" s="2" t="str">
        <f t="shared" si="126"/>
        <v>Error?</v>
      </c>
      <c r="E7713" s="2" t="s">
        <v>822</v>
      </c>
    </row>
    <row r="7714" spans="1:6" x14ac:dyDescent="0.2">
      <c r="A7714">
        <v>7653</v>
      </c>
      <c r="B7714" s="1832">
        <f>'Rest Tax Levies-Tort Im 25'!K9</f>
        <v>9163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351730</v>
      </c>
      <c r="D7718" s="2" t="str">
        <f t="shared" si="126"/>
        <v>Error?</v>
      </c>
      <c r="E7718" s="2" t="s">
        <v>822</v>
      </c>
    </row>
    <row r="7719" spans="1:6" x14ac:dyDescent="0.2">
      <c r="A7719">
        <v>7658</v>
      </c>
      <c r="B7719" s="1832">
        <f>'Rest Tax Levies-Tort Im 25'!K12</f>
        <v>11988</v>
      </c>
      <c r="D7719" s="2" t="str">
        <f t="shared" si="126"/>
        <v>Error?</v>
      </c>
      <c r="E7719" s="2" t="s">
        <v>822</v>
      </c>
    </row>
    <row r="7720" spans="1:6" x14ac:dyDescent="0.2">
      <c r="A7720">
        <v>7659</v>
      </c>
      <c r="B7720" s="1832">
        <f>'Rest Tax Levies-Tort Im 25'!H14</f>
        <v>23148</v>
      </c>
      <c r="D7720" s="2" t="str">
        <f t="shared" si="126"/>
        <v>Error?</v>
      </c>
      <c r="E7720" s="2" t="s">
        <v>822</v>
      </c>
    </row>
    <row r="7721" spans="1:6" x14ac:dyDescent="0.2">
      <c r="A7721">
        <v>7660</v>
      </c>
      <c r="B7721" s="1832">
        <f>'Rest Tax Levies-Tort Im 25'!K14</f>
        <v>11988</v>
      </c>
      <c r="D7721" s="2" t="str">
        <f t="shared" si="126"/>
        <v>Error?</v>
      </c>
      <c r="E7721" s="2" t="s">
        <v>822</v>
      </c>
    </row>
    <row r="7722" spans="1:6" x14ac:dyDescent="0.2">
      <c r="A7722">
        <v>7661</v>
      </c>
      <c r="B7722" s="1832">
        <f>'Rest Tax Levies-Tort Im 25'!J15</f>
        <v>174255</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462569</v>
      </c>
      <c r="D7730" s="2" t="str">
        <f t="shared" si="126"/>
        <v>Error?</v>
      </c>
      <c r="E7730" s="2" t="s">
        <v>822</v>
      </c>
    </row>
    <row r="7731" spans="1:6" x14ac:dyDescent="0.2">
      <c r="A7731">
        <v>7670</v>
      </c>
      <c r="B7731" s="1832">
        <f>'Revenues 9-14'!H103</f>
        <v>350569</v>
      </c>
      <c r="D7731" s="2" t="str">
        <f t="shared" si="126"/>
        <v>Error?</v>
      </c>
      <c r="E7731" s="2" t="s">
        <v>822</v>
      </c>
    </row>
    <row r="7732" spans="1:6" x14ac:dyDescent="0.2">
      <c r="A7732">
        <v>7671</v>
      </c>
      <c r="B7732" s="1832">
        <f>'Rest Tax Levies-Tort Im 25'!J24</f>
        <v>176315</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176315</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288314</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11988</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76000</v>
      </c>
      <c r="D7817" s="2" t="str">
        <f t="shared" si="128"/>
        <v>Error?</v>
      </c>
      <c r="E7817" s="4" t="s">
        <v>1963</v>
      </c>
    </row>
    <row r="7818" spans="1:5" x14ac:dyDescent="0.2">
      <c r="A7818">
        <v>7757</v>
      </c>
      <c r="B7818" s="1832">
        <f>'PCTC-OEPP 27-28'!F172</f>
        <v>315140.23</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8985893</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184746</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17716</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1241482</v>
      </c>
      <c r="D7834" s="2" t="str">
        <f t="shared" si="129"/>
        <v>Error?</v>
      </c>
      <c r="E7834" s="4" t="s">
        <v>1995</v>
      </c>
    </row>
    <row r="7835" spans="1:5" x14ac:dyDescent="0.2">
      <c r="A7835">
        <v>7774</v>
      </c>
      <c r="B7835" s="1832">
        <f>'PCTC-OEPP 27-28'!F78</f>
        <v>7744411</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9172.5820206087883</v>
      </c>
      <c r="D7837" s="2" t="str">
        <f t="shared" si="129"/>
        <v>Error?</v>
      </c>
      <c r="E7837" s="4" t="s">
        <v>1995</v>
      </c>
    </row>
    <row r="7838" spans="1:5" x14ac:dyDescent="0.2">
      <c r="A7838">
        <v>7777</v>
      </c>
      <c r="B7838" s="1832">
        <f>'PCTC-OEPP 27-28'!F96</f>
        <v>59719</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11671</v>
      </c>
      <c r="D7842" s="2" t="str">
        <f t="shared" si="129"/>
        <v>Error?</v>
      </c>
      <c r="E7842" s="4" t="s">
        <v>1995</v>
      </c>
    </row>
    <row r="7843" spans="1:5" x14ac:dyDescent="0.2">
      <c r="A7843">
        <v>7782</v>
      </c>
      <c r="B7843" s="1832">
        <f>'PCTC-OEPP 27-28'!F107</f>
        <v>71408</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9163</v>
      </c>
      <c r="D7846" s="2" t="str">
        <f t="shared" si="129"/>
        <v>Error?</v>
      </c>
      <c r="E7846" s="4" t="s">
        <v>1995</v>
      </c>
    </row>
    <row r="7847" spans="1:5" x14ac:dyDescent="0.2">
      <c r="A7847">
        <v>7786</v>
      </c>
      <c r="B7847" s="1832">
        <f>'PCTC-OEPP 27-28'!F112</f>
        <v>372608</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40275</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243931</v>
      </c>
      <c r="D7858" s="2" t="str">
        <f t="shared" si="129"/>
        <v>Error?</v>
      </c>
      <c r="E7858" s="4" t="s">
        <v>1995</v>
      </c>
    </row>
    <row r="7859" spans="1:5" x14ac:dyDescent="0.2">
      <c r="A7859">
        <v>7798</v>
      </c>
      <c r="B7859" s="1832">
        <f>'PCTC-OEPP 27-28'!F127</f>
        <v>288420</v>
      </c>
      <c r="D7859" s="2" t="str">
        <f t="shared" si="129"/>
        <v>Error?</v>
      </c>
      <c r="E7859" s="4" t="s">
        <v>1995</v>
      </c>
    </row>
    <row r="7860" spans="1:5" x14ac:dyDescent="0.2">
      <c r="A7860">
        <v>7799</v>
      </c>
      <c r="B7860" s="1832">
        <f>'PCTC-OEPP 27-28'!F128</f>
        <v>9367</v>
      </c>
      <c r="D7860" s="2" t="str">
        <f t="shared" si="129"/>
        <v>Error?</v>
      </c>
      <c r="E7860" s="4" t="s">
        <v>1995</v>
      </c>
    </row>
    <row r="7861" spans="1:5" x14ac:dyDescent="0.2">
      <c r="A7861">
        <v>7800</v>
      </c>
      <c r="B7861" s="1832">
        <f>'PCTC-OEPP 27-28'!F129</f>
        <v>236905</v>
      </c>
      <c r="D7861" s="2" t="str">
        <f t="shared" si="129"/>
        <v>Error?</v>
      </c>
      <c r="E7861" s="4" t="s">
        <v>1995</v>
      </c>
    </row>
    <row r="7862" spans="1:5" x14ac:dyDescent="0.2">
      <c r="A7862">
        <v>7801</v>
      </c>
      <c r="B7862" s="1832">
        <f>'PCTC-OEPP 27-28'!F130</f>
        <v>92480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16523</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31909</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17939</v>
      </c>
      <c r="D7874" s="2" t="str">
        <f t="shared" si="129"/>
        <v>Error?</v>
      </c>
      <c r="E7874" s="4" t="s">
        <v>1995</v>
      </c>
    </row>
    <row r="7875" spans="1:5" x14ac:dyDescent="0.2">
      <c r="A7875">
        <v>7814</v>
      </c>
      <c r="B7875" s="1832">
        <f>'PCTC-OEPP 27-28'!F170</f>
        <v>30322</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1969070.23</v>
      </c>
      <c r="D7877" s="2" t="str">
        <f t="shared" si="129"/>
        <v>Error?</v>
      </c>
      <c r="E7877" s="4" t="s">
        <v>1995</v>
      </c>
    </row>
    <row r="7878" spans="1:5" x14ac:dyDescent="0.2">
      <c r="A7878">
        <v>7817</v>
      </c>
      <c r="B7878" s="1832">
        <f>'PCTC-OEPP 27-28'!F176</f>
        <v>5775340.7699999996</v>
      </c>
      <c r="D7878" s="2" t="str">
        <f t="shared" si="129"/>
        <v>Error?</v>
      </c>
      <c r="E7878" s="4" t="s">
        <v>1995</v>
      </c>
    </row>
    <row r="7879" spans="1:5" x14ac:dyDescent="0.2">
      <c r="A7879">
        <v>7818</v>
      </c>
      <c r="B7879" s="1832">
        <f>'PCTC-OEPP 27-28'!F178</f>
        <v>6428423.7699999996</v>
      </c>
      <c r="D7879" s="2" t="str">
        <f t="shared" si="129"/>
        <v>Error?</v>
      </c>
      <c r="E7879" s="4" t="s">
        <v>1995</v>
      </c>
    </row>
    <row r="7880" spans="1:5" x14ac:dyDescent="0.2">
      <c r="A7880">
        <v>7819</v>
      </c>
      <c r="B7880" s="1832">
        <f>'PCTC-OEPP 27-28'!F180</f>
        <v>7613.9094753049867</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G11" sqref="G11:L1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3" t="s">
        <v>1181</v>
      </c>
      <c r="B2" s="2543"/>
      <c r="C2" s="2543"/>
      <c r="D2" s="2543"/>
      <c r="E2" s="2543"/>
      <c r="F2" s="2543"/>
      <c r="G2" s="2543"/>
      <c r="H2" s="2543"/>
      <c r="I2" s="2543"/>
      <c r="J2" s="2543"/>
      <c r="K2" s="2543"/>
      <c r="L2" s="2543"/>
    </row>
    <row r="3" spans="1:29" ht="13.5" customHeight="1" x14ac:dyDescent="0.2">
      <c r="A3" s="2529" t="s">
        <v>1180</v>
      </c>
      <c r="B3" s="2529"/>
      <c r="C3" s="2529"/>
      <c r="D3" s="2529"/>
      <c r="E3" s="2529"/>
      <c r="F3" s="2529"/>
      <c r="G3" s="2529"/>
      <c r="H3" s="2529"/>
      <c r="I3" s="2529"/>
      <c r="J3" s="2529"/>
      <c r="K3" s="2529"/>
      <c r="L3" s="2529"/>
    </row>
    <row r="4" spans="1:29" ht="13.5" customHeight="1" x14ac:dyDescent="0.2">
      <c r="A4" s="2560" t="str">
        <f>"Year Ending June 30, "&amp;'AFR20'!E2</f>
        <v>Year Ending June 30, 2020</v>
      </c>
      <c r="B4" s="2561"/>
      <c r="C4" s="2561"/>
      <c r="D4" s="2561"/>
      <c r="E4" s="2561"/>
      <c r="F4" s="2561"/>
      <c r="G4" s="2561"/>
      <c r="H4" s="2561"/>
      <c r="I4" s="2561"/>
      <c r="J4" s="2561"/>
      <c r="K4" s="2561"/>
      <c r="L4" s="256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3" t="str">
        <f>COVER!A17</f>
        <v>Red Hill CUSD 10</v>
      </c>
      <c r="B7" s="2524"/>
      <c r="C7" s="2524"/>
      <c r="D7" s="2562"/>
      <c r="E7" s="2563">
        <f>COVER!A13</f>
        <v>12051010026</v>
      </c>
      <c r="F7" s="2564"/>
      <c r="G7" s="2530" t="str">
        <f>COVER!T23</f>
        <v>065-029936</v>
      </c>
      <c r="H7" s="2531"/>
      <c r="I7" s="2531"/>
      <c r="J7" s="2531"/>
      <c r="K7" s="2531"/>
      <c r="L7" s="2532"/>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3"/>
      <c r="B9" s="2534"/>
      <c r="C9" s="2534"/>
      <c r="D9" s="2534"/>
      <c r="E9" s="2534"/>
      <c r="F9" s="2535"/>
      <c r="G9" s="2536" t="str">
        <f>COVER!T13</f>
        <v>Kemper CPA Group LLP</v>
      </c>
      <c r="H9" s="2537"/>
      <c r="I9" s="2537"/>
      <c r="J9" s="2537"/>
      <c r="K9" s="2537"/>
      <c r="L9" s="2538"/>
    </row>
    <row r="10" spans="1:29" ht="13.5" customHeight="1" x14ac:dyDescent="0.2">
      <c r="A10" s="2520" t="str">
        <f>COVER!A38</f>
        <v>Jakie Walker</v>
      </c>
      <c r="B10" s="2521"/>
      <c r="C10" s="2521"/>
      <c r="D10" s="2521"/>
      <c r="E10" s="2521"/>
      <c r="F10" s="2522"/>
      <c r="G10" s="2536" t="str">
        <f>COVER!T17</f>
        <v>802 Old Wheatland Road</v>
      </c>
      <c r="H10" s="2549"/>
      <c r="I10" s="2549"/>
      <c r="J10" s="2549"/>
      <c r="K10" s="2549"/>
      <c r="L10" s="2550"/>
    </row>
    <row r="11" spans="1:29" ht="13.5" customHeight="1" x14ac:dyDescent="0.2">
      <c r="A11" s="963" t="s">
        <v>1502</v>
      </c>
      <c r="B11" s="964"/>
      <c r="C11" s="965"/>
      <c r="D11" s="970"/>
      <c r="E11" s="965"/>
      <c r="F11" s="969"/>
      <c r="G11" s="2536" t="str">
        <f>COVER!T19</f>
        <v>Vincennes</v>
      </c>
      <c r="H11" s="2549"/>
      <c r="I11" s="2549"/>
      <c r="J11" s="2549"/>
      <c r="K11" s="2549"/>
      <c r="L11" s="2550"/>
    </row>
    <row r="12" spans="1:29" ht="13.5" customHeight="1" x14ac:dyDescent="0.2">
      <c r="A12" s="2554" t="s">
        <v>1501</v>
      </c>
      <c r="B12" s="2555"/>
      <c r="C12" s="2555"/>
      <c r="D12" s="2555"/>
      <c r="E12" s="2555"/>
      <c r="F12" s="2556"/>
      <c r="G12" s="2551"/>
      <c r="H12" s="2552"/>
      <c r="I12" s="2552"/>
      <c r="J12" s="2552"/>
      <c r="K12" s="2552"/>
      <c r="L12" s="2553"/>
    </row>
    <row r="13" spans="1:29" ht="13.5" customHeight="1" x14ac:dyDescent="0.2">
      <c r="A13" s="2536"/>
      <c r="B13" s="2549"/>
      <c r="C13" s="2549"/>
      <c r="D13" s="2549"/>
      <c r="E13" s="2549"/>
      <c r="F13" s="2550"/>
      <c r="G13" s="2544" t="s">
        <v>1503</v>
      </c>
      <c r="H13" s="2545"/>
      <c r="I13" s="2557" t="str">
        <f>COVER!T25</f>
        <v>cbenson@kempercpa.com</v>
      </c>
      <c r="J13" s="2558"/>
      <c r="K13" s="2558"/>
      <c r="L13" s="2559"/>
    </row>
    <row r="14" spans="1:29" ht="13.5" customHeight="1" x14ac:dyDescent="0.2">
      <c r="A14" s="2536" t="str">
        <f>COVER!A19</f>
        <v>1250 JUDY AVE</v>
      </c>
      <c r="B14" s="2549"/>
      <c r="C14" s="2549"/>
      <c r="D14" s="2549"/>
      <c r="E14" s="2549"/>
      <c r="F14" s="2550"/>
      <c r="G14" s="974" t="s">
        <v>1175</v>
      </c>
      <c r="H14" s="972"/>
      <c r="I14" s="972"/>
      <c r="J14" s="972"/>
      <c r="K14" s="972"/>
      <c r="L14" s="973"/>
    </row>
    <row r="15" spans="1:29" ht="13.5" customHeight="1" x14ac:dyDescent="0.2">
      <c r="A15" s="2536" t="str">
        <f>COVER!A21</f>
        <v>BRIDGEPORT</v>
      </c>
      <c r="B15" s="2549"/>
      <c r="C15" s="2549"/>
      <c r="D15" s="2549"/>
      <c r="E15" s="2549"/>
      <c r="F15" s="2550"/>
      <c r="G15" s="2546" t="str">
        <f>COVER!T15</f>
        <v>Curt Benson</v>
      </c>
      <c r="H15" s="2547"/>
      <c r="I15" s="2547"/>
      <c r="J15" s="2547"/>
      <c r="K15" s="2547"/>
      <c r="L15" s="2548"/>
    </row>
    <row r="16" spans="1:29" ht="12.2" customHeight="1" x14ac:dyDescent="0.2">
      <c r="A16" s="2526">
        <f>COVER!A25</f>
        <v>62417</v>
      </c>
      <c r="B16" s="2527"/>
      <c r="C16" s="2527"/>
      <c r="D16" s="2527"/>
      <c r="E16" s="2527"/>
      <c r="F16" s="2528"/>
      <c r="G16" s="2539"/>
      <c r="H16" s="2540"/>
      <c r="I16" s="2540"/>
      <c r="J16" s="2540"/>
      <c r="K16" s="2540"/>
      <c r="L16" s="2541"/>
    </row>
    <row r="17" spans="1:13" ht="12.2" customHeight="1" x14ac:dyDescent="0.2">
      <c r="A17" s="2542"/>
      <c r="B17" s="2527"/>
      <c r="C17" s="2527"/>
      <c r="D17" s="2527"/>
      <c r="E17" s="2527"/>
      <c r="F17" s="2528"/>
      <c r="G17" s="974" t="s">
        <v>1174</v>
      </c>
      <c r="H17" s="972"/>
      <c r="I17" s="972"/>
      <c r="J17" s="972"/>
      <c r="K17" s="976" t="s">
        <v>1173</v>
      </c>
      <c r="L17" s="969"/>
      <c r="M17" s="962"/>
    </row>
    <row r="18" spans="1:13" ht="12.2" customHeight="1" x14ac:dyDescent="0.2">
      <c r="A18" s="2520"/>
      <c r="B18" s="2521"/>
      <c r="C18" s="2521"/>
      <c r="D18" s="2521"/>
      <c r="E18" s="2521"/>
      <c r="F18" s="2522"/>
      <c r="G18" s="2523" t="str">
        <f>COVER!T21</f>
        <v>812-882-7730</v>
      </c>
      <c r="H18" s="2524"/>
      <c r="I18" s="2524"/>
      <c r="J18" s="2524"/>
      <c r="K18" s="2523" t="str">
        <f>COVER!X21</f>
        <v>812-882-7778</v>
      </c>
      <c r="L18" s="252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2048</v>
      </c>
      <c r="C46" s="988" t="s">
        <v>1551</v>
      </c>
      <c r="D46" s="975"/>
      <c r="E46" s="975"/>
      <c r="F46" s="975"/>
      <c r="G46" s="975"/>
      <c r="H46" s="975"/>
    </row>
    <row r="47" spans="1:8" ht="9" customHeight="1" x14ac:dyDescent="0.2"/>
    <row r="48" spans="1:8" ht="12.2" customHeight="1" x14ac:dyDescent="0.2">
      <c r="B48" s="1541" t="s">
        <v>2048</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5" t="str">
        <f>'Single Audit Cover'!A7</f>
        <v>Red Hill CUSD 10</v>
      </c>
      <c r="B1" s="2566"/>
      <c r="C1" s="2566"/>
      <c r="D1" s="2566"/>
    </row>
    <row r="2" spans="1:11" s="991" customFormat="1" ht="12.75" x14ac:dyDescent="0.2">
      <c r="A2" s="2567">
        <f>'Single Audit Cover'!E7</f>
        <v>12051010026</v>
      </c>
      <c r="B2" s="2568"/>
      <c r="C2" s="2568"/>
      <c r="D2" s="2568"/>
    </row>
    <row r="3" spans="1:11" s="991" customFormat="1" ht="12.75" x14ac:dyDescent="0.2">
      <c r="A3" s="2565" t="s">
        <v>1496</v>
      </c>
      <c r="B3" s="2566"/>
      <c r="C3" s="2566"/>
      <c r="D3" s="256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F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0" t="str">
        <f>'Single Audit Cover'!A7</f>
        <v>Red Hill CUSD 10</v>
      </c>
      <c r="B1" s="2570"/>
      <c r="C1" s="2570"/>
      <c r="D1" s="2570"/>
      <c r="E1" s="2570"/>
    </row>
    <row r="2" spans="1:5" x14ac:dyDescent="0.2">
      <c r="A2" s="2571">
        <f>'Single Audit Cover'!E7</f>
        <v>12051010026</v>
      </c>
      <c r="B2" s="2571"/>
      <c r="C2" s="2571"/>
      <c r="D2" s="2571"/>
      <c r="E2" s="2571"/>
    </row>
    <row r="3" spans="1:5" ht="4.5" customHeight="1" x14ac:dyDescent="0.2"/>
    <row r="4" spans="1:5" x14ac:dyDescent="0.2">
      <c r="A4" s="2570" t="s">
        <v>1234</v>
      </c>
      <c r="B4" s="2570"/>
      <c r="C4" s="2570"/>
      <c r="D4" s="2570"/>
      <c r="E4" s="2570"/>
    </row>
    <row r="5" spans="1:5" x14ac:dyDescent="0.2">
      <c r="A5" s="2573" t="str">
        <f>'Single Audit Cover'!A4</f>
        <v>Year Ending June 30, 2020</v>
      </c>
      <c r="B5" s="2573"/>
      <c r="C5" s="2573"/>
      <c r="D5" s="2573"/>
      <c r="E5" s="2573"/>
    </row>
    <row r="6" spans="1:5" x14ac:dyDescent="0.2">
      <c r="A6" s="2570" t="s">
        <v>1233</v>
      </c>
      <c r="B6" s="2570"/>
      <c r="C6" s="2570"/>
      <c r="D6" s="2570"/>
      <c r="E6" s="2570"/>
    </row>
    <row r="8" spans="1:5" x14ac:dyDescent="0.2">
      <c r="A8" s="1036" t="s">
        <v>1232</v>
      </c>
    </row>
    <row r="10" spans="1:5" x14ac:dyDescent="0.2">
      <c r="A10" s="1037" t="s">
        <v>1231</v>
      </c>
      <c r="B10" s="1038" t="s">
        <v>1230</v>
      </c>
      <c r="C10" s="1038"/>
      <c r="D10" s="1039">
        <f>SUM('Acct Summary 7-8'!C7:K7)</f>
        <v>974855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44058</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-30322</v>
      </c>
    </row>
    <row r="19" spans="1:4" ht="13.5" thickBot="1" x14ac:dyDescent="0.25">
      <c r="A19" s="1041" t="s">
        <v>1224</v>
      </c>
      <c r="D19" s="1042">
        <f>SUM(D10:D17)</f>
        <v>988591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2"/>
      <c r="B24" s="2572"/>
      <c r="D24" s="1044"/>
    </row>
    <row r="25" spans="1:4" x14ac:dyDescent="0.2">
      <c r="A25" s="2569"/>
      <c r="B25" s="2569"/>
      <c r="D25" s="1044"/>
    </row>
    <row r="26" spans="1:4" x14ac:dyDescent="0.2">
      <c r="A26" s="2569"/>
      <c r="B26" s="2569"/>
      <c r="D26" s="1044"/>
    </row>
    <row r="27" spans="1:4" x14ac:dyDescent="0.2">
      <c r="A27" s="2569"/>
      <c r="B27" s="2569"/>
      <c r="D27" s="1044"/>
    </row>
    <row r="28" spans="1:4" x14ac:dyDescent="0.2">
      <c r="A28" s="2569"/>
      <c r="B28" s="2569"/>
      <c r="D28" s="1044"/>
    </row>
    <row r="29" spans="1:4" x14ac:dyDescent="0.2">
      <c r="A29" s="2569"/>
      <c r="B29" s="2569"/>
      <c r="D29" s="1044"/>
    </row>
    <row r="30" spans="1:4" x14ac:dyDescent="0.2">
      <c r="A30" s="2569"/>
      <c r="B30" s="2569"/>
      <c r="D30" s="1044"/>
    </row>
    <row r="32" spans="1:4" x14ac:dyDescent="0.2">
      <c r="A32" s="1036" t="s">
        <v>1222</v>
      </c>
      <c r="D32" s="1039">
        <f>SUM(D19:D30)</f>
        <v>988591</v>
      </c>
    </row>
    <row r="33" spans="1:4" x14ac:dyDescent="0.2">
      <c r="D33" s="1045"/>
    </row>
    <row r="34" spans="1:4" x14ac:dyDescent="0.2">
      <c r="A34" s="295" t="s">
        <v>1221</v>
      </c>
    </row>
    <row r="35" spans="1:4" x14ac:dyDescent="0.2">
      <c r="A35" s="295" t="s">
        <v>1220</v>
      </c>
      <c r="B35" s="1034" t="s">
        <v>1219</v>
      </c>
      <c r="D35" s="1046">
        <f>+' SEFA (3)'!F26</f>
        <v>988591</v>
      </c>
    </row>
    <row r="37" spans="1:4" x14ac:dyDescent="0.2">
      <c r="A37" s="1036" t="s">
        <v>1218</v>
      </c>
    </row>
    <row r="39" spans="1:4" ht="13.35" customHeight="1" x14ac:dyDescent="0.2">
      <c r="A39" s="1043" t="s">
        <v>1217</v>
      </c>
    </row>
    <row r="40" spans="1:4" x14ac:dyDescent="0.2">
      <c r="A40" s="2569"/>
      <c r="B40" s="2569"/>
      <c r="D40" s="1044"/>
    </row>
    <row r="41" spans="1:4" x14ac:dyDescent="0.2">
      <c r="A41" s="2569"/>
      <c r="B41" s="2569"/>
      <c r="D41" s="1047"/>
    </row>
    <row r="42" spans="1:4" x14ac:dyDescent="0.2">
      <c r="A42" s="2569"/>
      <c r="B42" s="2569"/>
      <c r="D42" s="1047"/>
    </row>
    <row r="43" spans="1:4" x14ac:dyDescent="0.2">
      <c r="A43" s="2569"/>
      <c r="B43" s="2569"/>
      <c r="D43" s="1047"/>
    </row>
    <row r="44" spans="1:4" x14ac:dyDescent="0.2">
      <c r="A44" s="2569"/>
      <c r="B44" s="2569"/>
      <c r="D44" s="1047"/>
    </row>
    <row r="45" spans="1:4" x14ac:dyDescent="0.2">
      <c r="A45" s="2569"/>
      <c r="B45" s="2569"/>
      <c r="D45" s="1047"/>
    </row>
    <row r="47" spans="1:4" x14ac:dyDescent="0.2">
      <c r="B47" s="1048" t="s">
        <v>1216</v>
      </c>
      <c r="C47" s="1048"/>
      <c r="D47" s="1049">
        <f>SUM(D35:D45)</f>
        <v>988591</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1"/>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Red Hill CUSD 10</v>
      </c>
      <c r="C1" s="2574"/>
      <c r="D1" s="2574"/>
      <c r="E1" s="2574"/>
      <c r="F1" s="2574"/>
      <c r="G1" s="2574"/>
      <c r="H1" s="2574"/>
      <c r="I1" s="2574"/>
      <c r="J1" s="2574"/>
      <c r="K1" s="2574"/>
      <c r="L1" s="2574"/>
      <c r="M1" s="2574"/>
    </row>
    <row r="2" spans="2:14" ht="15" x14ac:dyDescent="0.2">
      <c r="B2" s="2575">
        <f>'Single Audit Cover'!E7</f>
        <v>12051010026</v>
      </c>
      <c r="C2" s="2575"/>
      <c r="D2" s="2575"/>
      <c r="E2" s="2575"/>
      <c r="F2" s="2575"/>
      <c r="G2" s="2575"/>
      <c r="H2" s="2575"/>
      <c r="I2" s="2575"/>
      <c r="J2" s="2575"/>
      <c r="K2" s="2575"/>
      <c r="L2" s="2575"/>
      <c r="M2" s="2575"/>
      <c r="N2" s="1078"/>
    </row>
    <row r="3" spans="2:14" ht="15" x14ac:dyDescent="0.2">
      <c r="B3" s="2576" t="s">
        <v>1208</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2.5" customHeight="1" x14ac:dyDescent="0.2">
      <c r="B11" s="2037" t="s">
        <v>2078</v>
      </c>
      <c r="C11" s="1821"/>
      <c r="D11" s="1822"/>
      <c r="E11" s="1823"/>
      <c r="F11" s="1823"/>
      <c r="G11" s="1823"/>
      <c r="H11" s="1823"/>
      <c r="I11" s="1823"/>
      <c r="J11" s="1823"/>
      <c r="K11" s="1823"/>
      <c r="L11" s="1823"/>
      <c r="M11" s="1823"/>
    </row>
    <row r="12" spans="2:14" ht="20.100000000000001" customHeight="1" x14ac:dyDescent="0.2">
      <c r="B12" s="2037" t="s">
        <v>2079</v>
      </c>
      <c r="C12" s="1824"/>
      <c r="D12" s="1825"/>
      <c r="E12" s="1826"/>
      <c r="F12" s="1826"/>
      <c r="G12" s="1826"/>
      <c r="H12" s="1826"/>
      <c r="I12" s="1826"/>
      <c r="J12" s="1826"/>
      <c r="K12" s="1826"/>
      <c r="L12" s="1823"/>
      <c r="M12" s="1826"/>
    </row>
    <row r="13" spans="2:14" ht="20.100000000000001" customHeight="1" x14ac:dyDescent="0.2">
      <c r="B13" s="1113" t="s">
        <v>2137</v>
      </c>
      <c r="C13" s="1824">
        <v>10.555</v>
      </c>
      <c r="D13" s="1825" t="s">
        <v>2082</v>
      </c>
      <c r="E13" s="1826">
        <v>0</v>
      </c>
      <c r="F13" s="1826">
        <v>137109</v>
      </c>
      <c r="G13" s="1826">
        <v>0</v>
      </c>
      <c r="H13" s="1826">
        <v>0</v>
      </c>
      <c r="I13" s="1826">
        <v>137109</v>
      </c>
      <c r="J13" s="1826">
        <v>0</v>
      </c>
      <c r="K13" s="1826">
        <v>0</v>
      </c>
      <c r="L13" s="1823">
        <f t="shared" ref="L13:L23" si="0">+G13+I13+K13</f>
        <v>137109</v>
      </c>
      <c r="M13" s="1826">
        <v>0</v>
      </c>
    </row>
    <row r="14" spans="2:14" ht="20.100000000000001" customHeight="1" x14ac:dyDescent="0.2">
      <c r="B14" s="1113" t="s">
        <v>2137</v>
      </c>
      <c r="C14" s="1824">
        <v>10.555</v>
      </c>
      <c r="D14" s="1825" t="s">
        <v>2083</v>
      </c>
      <c r="E14" s="1826">
        <v>198239</v>
      </c>
      <c r="F14" s="1826">
        <v>39390</v>
      </c>
      <c r="G14" s="1826">
        <v>198239</v>
      </c>
      <c r="H14" s="1826">
        <v>0</v>
      </c>
      <c r="I14" s="1826">
        <v>39390</v>
      </c>
      <c r="J14" s="1826">
        <v>0</v>
      </c>
      <c r="K14" s="1826">
        <v>0</v>
      </c>
      <c r="L14" s="1823">
        <f t="shared" si="0"/>
        <v>237629</v>
      </c>
      <c r="M14" s="1826">
        <v>0</v>
      </c>
    </row>
    <row r="15" spans="2:14" ht="20.100000000000001" customHeight="1" x14ac:dyDescent="0.2">
      <c r="B15" s="1113" t="s">
        <v>2138</v>
      </c>
      <c r="C15" s="1824">
        <v>10.555999999999999</v>
      </c>
      <c r="D15" s="1825" t="s">
        <v>2084</v>
      </c>
      <c r="E15" s="1826">
        <v>0</v>
      </c>
      <c r="F15" s="1826">
        <v>1514</v>
      </c>
      <c r="G15" s="1826">
        <v>0</v>
      </c>
      <c r="H15" s="1826">
        <v>0</v>
      </c>
      <c r="I15" s="1826">
        <v>1514</v>
      </c>
      <c r="J15" s="1826">
        <v>0</v>
      </c>
      <c r="K15" s="1826">
        <v>0</v>
      </c>
      <c r="L15" s="1823">
        <f t="shared" si="0"/>
        <v>1514</v>
      </c>
      <c r="M15" s="1826">
        <v>0</v>
      </c>
    </row>
    <row r="16" spans="2:14" ht="20.100000000000001" customHeight="1" x14ac:dyDescent="0.2">
      <c r="B16" s="1113" t="s">
        <v>2139</v>
      </c>
      <c r="C16" s="1824">
        <v>10.555999999999999</v>
      </c>
      <c r="D16" s="1825" t="s">
        <v>2085</v>
      </c>
      <c r="E16" s="1826">
        <v>2274</v>
      </c>
      <c r="F16" s="1826">
        <v>510</v>
      </c>
      <c r="G16" s="1826">
        <v>2274</v>
      </c>
      <c r="H16" s="1826">
        <v>0</v>
      </c>
      <c r="I16" s="1826">
        <v>510</v>
      </c>
      <c r="J16" s="1826">
        <v>0</v>
      </c>
      <c r="K16" s="1826">
        <v>0</v>
      </c>
      <c r="L16" s="1823">
        <f t="shared" si="0"/>
        <v>2784</v>
      </c>
      <c r="M16" s="1826">
        <v>0</v>
      </c>
    </row>
    <row r="17" spans="2:14" ht="20.100000000000001" customHeight="1" x14ac:dyDescent="0.2">
      <c r="B17" s="1113" t="s">
        <v>2140</v>
      </c>
      <c r="C17" s="1824">
        <v>10.553000000000001</v>
      </c>
      <c r="D17" s="1825" t="s">
        <v>2086</v>
      </c>
      <c r="E17" s="1826">
        <v>0</v>
      </c>
      <c r="F17" s="1826">
        <v>32251</v>
      </c>
      <c r="G17" s="1826">
        <v>0</v>
      </c>
      <c r="H17" s="1826">
        <v>0</v>
      </c>
      <c r="I17" s="1826">
        <v>32251</v>
      </c>
      <c r="J17" s="1826">
        <v>0</v>
      </c>
      <c r="K17" s="1826">
        <v>0</v>
      </c>
      <c r="L17" s="1823">
        <f t="shared" si="0"/>
        <v>32251</v>
      </c>
      <c r="M17" s="1826">
        <v>0</v>
      </c>
    </row>
    <row r="18" spans="2:14" ht="20.100000000000001" customHeight="1" x14ac:dyDescent="0.2">
      <c r="B18" s="1113" t="s">
        <v>2140</v>
      </c>
      <c r="C18" s="1824">
        <v>10.553000000000001</v>
      </c>
      <c r="D18" s="1825" t="s">
        <v>2087</v>
      </c>
      <c r="E18" s="1826">
        <v>51200</v>
      </c>
      <c r="F18" s="1826">
        <v>9492</v>
      </c>
      <c r="G18" s="1826">
        <v>51200</v>
      </c>
      <c r="H18" s="1826">
        <v>0</v>
      </c>
      <c r="I18" s="1826">
        <v>9492</v>
      </c>
      <c r="J18" s="1826">
        <v>0</v>
      </c>
      <c r="K18" s="1826">
        <v>0</v>
      </c>
      <c r="L18" s="1823">
        <f t="shared" si="0"/>
        <v>60692</v>
      </c>
      <c r="M18" s="1826">
        <v>0</v>
      </c>
    </row>
    <row r="19" spans="2:14" ht="20.100000000000001" customHeight="1" x14ac:dyDescent="0.2">
      <c r="B19" s="1113" t="s">
        <v>2141</v>
      </c>
      <c r="C19" s="1824">
        <v>10.558999999999999</v>
      </c>
      <c r="D19" s="1825" t="s">
        <v>2089</v>
      </c>
      <c r="E19" s="1826">
        <v>0</v>
      </c>
      <c r="F19" s="1826">
        <v>23665</v>
      </c>
      <c r="G19" s="1826">
        <v>0</v>
      </c>
      <c r="H19" s="1826">
        <v>0</v>
      </c>
      <c r="I19" s="1826">
        <v>23665</v>
      </c>
      <c r="J19" s="1826">
        <v>0</v>
      </c>
      <c r="K19" s="1826">
        <v>0</v>
      </c>
      <c r="L19" s="1823">
        <f t="shared" si="0"/>
        <v>23665</v>
      </c>
      <c r="M19" s="1826">
        <v>0</v>
      </c>
    </row>
    <row r="20" spans="2:14" ht="20.100000000000001" customHeight="1" x14ac:dyDescent="0.2">
      <c r="B20" s="1113" t="s">
        <v>2142</v>
      </c>
      <c r="C20" s="1824">
        <v>10.555</v>
      </c>
      <c r="D20" s="1825" t="s">
        <v>2088</v>
      </c>
      <c r="E20" s="1826">
        <v>0</v>
      </c>
      <c r="F20" s="1826">
        <v>36527</v>
      </c>
      <c r="G20" s="1826">
        <v>0</v>
      </c>
      <c r="H20" s="1826">
        <v>0</v>
      </c>
      <c r="I20" s="1826">
        <v>36527</v>
      </c>
      <c r="J20" s="1826">
        <v>0</v>
      </c>
      <c r="K20" s="1826">
        <v>0</v>
      </c>
      <c r="L20" s="1823">
        <f t="shared" si="0"/>
        <v>36527</v>
      </c>
      <c r="M20" s="1826">
        <v>0</v>
      </c>
    </row>
    <row r="21" spans="2:14" ht="20.100000000000001" customHeight="1" x14ac:dyDescent="0.2">
      <c r="B21" s="1113" t="s">
        <v>2143</v>
      </c>
      <c r="C21" s="1824">
        <v>10.555</v>
      </c>
      <c r="D21" s="1825" t="s">
        <v>2088</v>
      </c>
      <c r="E21" s="2038">
        <v>0</v>
      </c>
      <c r="F21" s="2038">
        <v>7531</v>
      </c>
      <c r="G21" s="2038">
        <v>0</v>
      </c>
      <c r="H21" s="2038">
        <v>0</v>
      </c>
      <c r="I21" s="2038">
        <v>7531</v>
      </c>
      <c r="J21" s="2038">
        <v>0</v>
      </c>
      <c r="K21" s="2038">
        <v>0</v>
      </c>
      <c r="L21" s="2038">
        <f t="shared" si="0"/>
        <v>7531</v>
      </c>
      <c r="M21" s="2038">
        <v>0</v>
      </c>
    </row>
    <row r="22" spans="2:14" ht="20.100000000000001" customHeight="1" x14ac:dyDescent="0.2">
      <c r="B22" s="2037" t="s">
        <v>2080</v>
      </c>
      <c r="C22" s="1824"/>
      <c r="D22" s="1825"/>
      <c r="E22" s="2038">
        <f t="shared" ref="E22:K22" si="1">SUM(E13:E21)</f>
        <v>251713</v>
      </c>
      <c r="F22" s="2038">
        <f t="shared" si="1"/>
        <v>287989</v>
      </c>
      <c r="G22" s="2038">
        <f t="shared" si="1"/>
        <v>251713</v>
      </c>
      <c r="H22" s="2038">
        <f t="shared" si="1"/>
        <v>0</v>
      </c>
      <c r="I22" s="2038">
        <f t="shared" si="1"/>
        <v>287989</v>
      </c>
      <c r="J22" s="2038">
        <f t="shared" si="1"/>
        <v>0</v>
      </c>
      <c r="K22" s="2038">
        <f t="shared" si="1"/>
        <v>0</v>
      </c>
      <c r="L22" s="2038">
        <f t="shared" si="0"/>
        <v>539702</v>
      </c>
      <c r="M22" s="2038">
        <f>SUM(M13:M21)</f>
        <v>0</v>
      </c>
    </row>
    <row r="23" spans="2:14" ht="20.100000000000001" customHeight="1" x14ac:dyDescent="0.2">
      <c r="B23" s="2037" t="s">
        <v>2081</v>
      </c>
      <c r="C23" s="1824"/>
      <c r="D23" s="1825"/>
      <c r="E23" s="2038">
        <f t="shared" ref="E23:K23" si="2">+E22</f>
        <v>251713</v>
      </c>
      <c r="F23" s="2038">
        <f t="shared" si="2"/>
        <v>287989</v>
      </c>
      <c r="G23" s="2038">
        <f t="shared" si="2"/>
        <v>251713</v>
      </c>
      <c r="H23" s="2038">
        <f t="shared" si="2"/>
        <v>0</v>
      </c>
      <c r="I23" s="2038">
        <f t="shared" si="2"/>
        <v>287989</v>
      </c>
      <c r="J23" s="2038">
        <f t="shared" si="2"/>
        <v>0</v>
      </c>
      <c r="K23" s="2038">
        <f t="shared" si="2"/>
        <v>0</v>
      </c>
      <c r="L23" s="2038">
        <f t="shared" si="0"/>
        <v>539702</v>
      </c>
      <c r="M23" s="2038">
        <f>+M22</f>
        <v>0</v>
      </c>
    </row>
    <row r="24" spans="2:14" ht="20.100000000000001" customHeight="1" x14ac:dyDescent="0.2">
      <c r="B24" s="1113"/>
      <c r="C24" s="1824"/>
      <c r="D24" s="1825"/>
      <c r="E24" s="1823"/>
      <c r="F24" s="1823"/>
      <c r="G24" s="1823"/>
      <c r="H24" s="1823"/>
      <c r="I24" s="1823"/>
      <c r="J24" s="1823"/>
      <c r="K24" s="1823"/>
      <c r="L24" s="1823"/>
      <c r="M24" s="1823"/>
    </row>
    <row r="25" spans="2:14" ht="20.100000000000001" customHeight="1" x14ac:dyDescent="0.2">
      <c r="B25" s="2037"/>
      <c r="C25" s="1824"/>
      <c r="D25" s="1825"/>
      <c r="E25" s="1826"/>
      <c r="F25" s="1826"/>
      <c r="G25" s="1826"/>
      <c r="H25" s="1826"/>
      <c r="I25" s="1826"/>
      <c r="J25" s="1826"/>
      <c r="K25" s="1826"/>
      <c r="L25" s="1823"/>
      <c r="M25" s="1826"/>
    </row>
    <row r="26" spans="2:14" ht="20.100000000000001" customHeight="1" x14ac:dyDescent="0.2">
      <c r="B26" s="2037"/>
      <c r="C26" s="1824"/>
      <c r="D26" s="1825"/>
      <c r="E26" s="1826"/>
      <c r="F26" s="1826"/>
      <c r="G26" s="1826"/>
      <c r="H26" s="1826"/>
      <c r="I26" s="1826"/>
      <c r="J26" s="1826"/>
      <c r="K26" s="1826"/>
      <c r="L26" s="1823"/>
      <c r="M26" s="1826"/>
    </row>
    <row r="27" spans="2:14" ht="12.75" customHeight="1" x14ac:dyDescent="0.2">
      <c r="B27" s="1115"/>
      <c r="C27" s="1116"/>
      <c r="D27" s="1117"/>
      <c r="E27" s="1118"/>
      <c r="F27" s="1118"/>
      <c r="G27" s="1118"/>
      <c r="H27" s="1118"/>
      <c r="I27" s="1118"/>
      <c r="J27" s="1118"/>
      <c r="K27" s="1118"/>
      <c r="L27" s="1118"/>
      <c r="M27" s="1118"/>
      <c r="N27" s="1114"/>
    </row>
    <row r="28" spans="2:14" x14ac:dyDescent="0.2">
      <c r="B28" s="1033"/>
      <c r="C28" s="1119"/>
      <c r="D28" s="1120"/>
      <c r="E28" s="1033"/>
      <c r="F28" s="1033"/>
      <c r="G28" s="1026"/>
      <c r="H28" s="1026"/>
      <c r="I28" s="1026"/>
      <c r="J28" s="1026"/>
      <c r="K28" s="1026"/>
      <c r="L28" s="1026"/>
      <c r="M28" s="1033"/>
      <c r="N28" s="1114"/>
    </row>
    <row r="29" spans="2:14" ht="13.5" customHeight="1" x14ac:dyDescent="0.2">
      <c r="B29" s="1058" t="s">
        <v>1711</v>
      </c>
      <c r="C29" s="1119"/>
      <c r="D29" s="1120"/>
      <c r="E29" s="1033"/>
      <c r="F29" s="1033"/>
      <c r="G29" s="1026"/>
      <c r="H29" s="1026"/>
      <c r="I29" s="1026"/>
      <c r="J29" s="1026"/>
      <c r="K29" s="1026"/>
      <c r="L29" s="1026"/>
      <c r="M29" s="1033"/>
      <c r="N29" s="1114"/>
    </row>
    <row r="30" spans="2:14" ht="8.25" customHeight="1" x14ac:dyDescent="0.2">
      <c r="B30" s="1058"/>
      <c r="C30" s="1119"/>
      <c r="D30" s="1120"/>
      <c r="E30" s="1033"/>
      <c r="F30" s="1033"/>
      <c r="G30" s="1026"/>
      <c r="H30" s="1026"/>
      <c r="I30" s="1026"/>
      <c r="J30" s="1026"/>
      <c r="K30" s="1026"/>
      <c r="L30" s="1026"/>
      <c r="M30" s="1033"/>
      <c r="N30" s="1114"/>
    </row>
    <row r="31" spans="2:14" x14ac:dyDescent="0.2">
      <c r="B31" s="1121" t="s">
        <v>1809</v>
      </c>
      <c r="C31" s="1122"/>
      <c r="D31" s="1123"/>
      <c r="E31" s="1124"/>
      <c r="F31" s="1124"/>
      <c r="G31" s="1124"/>
      <c r="H31" s="1124"/>
      <c r="I31" s="295"/>
      <c r="J31" s="295"/>
    </row>
    <row r="32" spans="2:14" x14ac:dyDescent="0.2">
      <c r="B32" s="1053"/>
      <c r="C32" s="1125"/>
      <c r="D32" s="1126"/>
      <c r="E32" s="1054"/>
      <c r="F32" s="1054"/>
      <c r="G32" s="295"/>
      <c r="H32" s="295"/>
      <c r="I32" s="295"/>
      <c r="J32" s="295"/>
    </row>
    <row r="33" spans="2:13" ht="13.5" customHeight="1" x14ac:dyDescent="0.2">
      <c r="B33" s="1052" t="s">
        <v>1235</v>
      </c>
      <c r="G33" s="295"/>
      <c r="H33" s="295"/>
      <c r="I33" s="295"/>
      <c r="J33" s="295"/>
    </row>
    <row r="34" spans="2:13" ht="13.5" customHeight="1" x14ac:dyDescent="0.2">
      <c r="B34" s="1129"/>
      <c r="C34" s="1130"/>
      <c r="D34" s="1131"/>
      <c r="E34" s="1073"/>
      <c r="F34" s="1073"/>
      <c r="G34" s="1073"/>
      <c r="H34" s="1073"/>
      <c r="I34" s="1073"/>
      <c r="J34" s="1073"/>
      <c r="K34" s="1132"/>
      <c r="L34" s="1132"/>
      <c r="M34" s="1073"/>
    </row>
    <row r="35" spans="2:13" ht="9.6" customHeight="1" x14ac:dyDescent="0.2">
      <c r="B35" s="1133"/>
      <c r="G35" s="295"/>
      <c r="H35" s="295"/>
      <c r="I35" s="295"/>
      <c r="J35" s="295"/>
    </row>
    <row r="36" spans="2:13" ht="11.25" customHeight="1" x14ac:dyDescent="0.2">
      <c r="B36" s="1134" t="s">
        <v>1712</v>
      </c>
      <c r="C36" s="1135"/>
      <c r="D36" s="1135"/>
      <c r="E36" s="1135"/>
      <c r="F36" s="1135"/>
      <c r="G36" s="1135"/>
      <c r="H36" s="1135"/>
      <c r="I36" s="1136"/>
      <c r="J36" s="1136"/>
      <c r="K36" s="1136"/>
      <c r="L36" s="1136"/>
      <c r="M36" s="1136"/>
    </row>
    <row r="37" spans="2:13" ht="11.25" customHeight="1" x14ac:dyDescent="0.2">
      <c r="B37" s="1137" t="s">
        <v>1567</v>
      </c>
      <c r="C37" s="1136"/>
      <c r="D37" s="1136"/>
      <c r="E37" s="1136"/>
      <c r="F37" s="1136"/>
      <c r="G37" s="1136"/>
      <c r="H37" s="1136"/>
      <c r="I37" s="1136"/>
      <c r="J37" s="1136"/>
      <c r="K37" s="1136"/>
      <c r="L37" s="1136"/>
      <c r="M37" s="1136"/>
    </row>
    <row r="38" spans="2:13" ht="3.95" customHeight="1" x14ac:dyDescent="0.2">
      <c r="B38" s="1137"/>
      <c r="C38" s="1136"/>
      <c r="D38" s="1136"/>
      <c r="E38" s="1136"/>
      <c r="F38" s="1136"/>
      <c r="G38" s="1136"/>
      <c r="H38" s="1136"/>
      <c r="I38" s="1136"/>
      <c r="J38" s="1136"/>
      <c r="K38" s="1136"/>
      <c r="L38" s="1136"/>
      <c r="M38" s="1136"/>
    </row>
    <row r="39" spans="2:13" ht="11.25" customHeight="1" x14ac:dyDescent="0.2">
      <c r="B39" s="1134" t="s">
        <v>1713</v>
      </c>
      <c r="C39" s="1136"/>
      <c r="D39" s="1136"/>
      <c r="E39" s="1136"/>
      <c r="F39" s="1136"/>
      <c r="G39" s="1136"/>
      <c r="H39" s="1136"/>
      <c r="I39" s="1136"/>
      <c r="J39" s="1136"/>
      <c r="K39" s="1136"/>
      <c r="L39" s="1136"/>
      <c r="M39" s="1136"/>
    </row>
    <row r="40" spans="2:13" ht="11.25" customHeight="1" x14ac:dyDescent="0.2">
      <c r="B40" s="1076" t="s">
        <v>1568</v>
      </c>
      <c r="C40" s="1138"/>
      <c r="D40" s="1139"/>
      <c r="E40" s="1076"/>
      <c r="F40" s="1076"/>
      <c r="G40" s="1076"/>
      <c r="H40" s="1076"/>
      <c r="I40" s="1076"/>
      <c r="J40" s="1076"/>
      <c r="K40" s="1140"/>
      <c r="L40" s="1140"/>
      <c r="M40" s="1076"/>
    </row>
    <row r="41" spans="2:13" ht="3.95" customHeight="1" x14ac:dyDescent="0.2">
      <c r="B41" s="1076"/>
      <c r="C41" s="1138"/>
      <c r="D41" s="1139"/>
      <c r="E41" s="1076"/>
      <c r="F41" s="1076"/>
      <c r="G41" s="1076"/>
      <c r="H41" s="1076"/>
      <c r="I41" s="1076"/>
      <c r="J41" s="1076"/>
      <c r="K41" s="1140"/>
      <c r="L41" s="1140"/>
      <c r="M41" s="1076"/>
    </row>
    <row r="42" spans="2:13" ht="11.25" customHeight="1" x14ac:dyDescent="0.2">
      <c r="B42" s="1141" t="s">
        <v>1714</v>
      </c>
      <c r="C42" s="1138"/>
      <c r="D42" s="1139"/>
      <c r="E42" s="1076"/>
      <c r="F42" s="1076"/>
      <c r="G42" s="1076"/>
      <c r="H42" s="1076"/>
      <c r="I42" s="1076"/>
      <c r="J42" s="1076"/>
      <c r="K42" s="1140"/>
      <c r="L42" s="1140"/>
      <c r="M42" s="1076"/>
    </row>
    <row r="43" spans="2:13" ht="3.95" customHeight="1" x14ac:dyDescent="0.2">
      <c r="B43" s="1141"/>
      <c r="C43" s="1138"/>
      <c r="D43" s="1139"/>
      <c r="E43" s="1076"/>
      <c r="F43" s="1076"/>
      <c r="G43" s="1076"/>
      <c r="H43" s="1076"/>
      <c r="I43" s="1076"/>
      <c r="J43" s="1076"/>
      <c r="K43" s="1140"/>
      <c r="L43" s="1140"/>
      <c r="M43" s="1076"/>
    </row>
    <row r="44" spans="2:13" ht="11.25" customHeight="1" x14ac:dyDescent="0.2">
      <c r="B44" s="1142" t="s">
        <v>1715</v>
      </c>
      <c r="C44" s="1138"/>
      <c r="D44" s="1139"/>
      <c r="E44" s="1076"/>
      <c r="F44" s="1076"/>
      <c r="G44" s="1076"/>
      <c r="H44" s="1076"/>
      <c r="I44" s="1076"/>
      <c r="J44" s="1076"/>
      <c r="K44" s="1140"/>
      <c r="L44" s="1140"/>
      <c r="M44" s="1076"/>
    </row>
    <row r="45" spans="2:13" ht="11.25" customHeight="1" x14ac:dyDescent="0.2">
      <c r="B45" s="1076" t="s">
        <v>1569</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43"/>
    </row>
    <row r="49" spans="7:13" ht="13.5" customHeight="1" x14ac:dyDescent="0.2">
      <c r="M49" s="1143"/>
    </row>
    <row r="50" spans="7:13" ht="13.5" customHeight="1" x14ac:dyDescent="0.2">
      <c r="M50" s="114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0"/>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Red Hill CUSD 10</v>
      </c>
      <c r="C1" s="2574"/>
      <c r="D1" s="2574"/>
      <c r="E1" s="2574"/>
      <c r="F1" s="2574"/>
      <c r="G1" s="2574"/>
      <c r="H1" s="2574"/>
      <c r="I1" s="2574"/>
      <c r="J1" s="2574"/>
      <c r="K1" s="2574"/>
      <c r="L1" s="2574"/>
      <c r="M1" s="2574"/>
    </row>
    <row r="2" spans="2:14" ht="15" x14ac:dyDescent="0.2">
      <c r="B2" s="2575">
        <f>'Single Audit Cover'!E7</f>
        <v>12051010026</v>
      </c>
      <c r="C2" s="2575"/>
      <c r="D2" s="2575"/>
      <c r="E2" s="2575"/>
      <c r="F2" s="2575"/>
      <c r="G2" s="2575"/>
      <c r="H2" s="2575"/>
      <c r="I2" s="2575"/>
      <c r="J2" s="2575"/>
      <c r="K2" s="2575"/>
      <c r="L2" s="2575"/>
      <c r="M2" s="2575"/>
      <c r="N2" s="1078"/>
    </row>
    <row r="3" spans="2:14" ht="15" x14ac:dyDescent="0.2">
      <c r="B3" s="2576" t="s">
        <v>1208</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2.5" customHeight="1" x14ac:dyDescent="0.2">
      <c r="B11" s="2037" t="s">
        <v>2090</v>
      </c>
      <c r="C11" s="1821"/>
      <c r="D11" s="1822"/>
      <c r="E11" s="1823"/>
      <c r="F11" s="1823"/>
      <c r="G11" s="1823"/>
      <c r="H11" s="1823"/>
      <c r="I11" s="1823"/>
      <c r="J11" s="1823"/>
      <c r="K11" s="1823"/>
      <c r="L11" s="1823"/>
      <c r="M11" s="1823"/>
    </row>
    <row r="12" spans="2:14" ht="20.100000000000001" customHeight="1" x14ac:dyDescent="0.2">
      <c r="B12" s="2037" t="s">
        <v>2091</v>
      </c>
      <c r="C12" s="1824"/>
      <c r="D12" s="1825"/>
      <c r="E12" s="1826"/>
      <c r="F12" s="1826"/>
      <c r="G12" s="1826"/>
      <c r="H12" s="1826"/>
      <c r="I12" s="1826"/>
      <c r="J12" s="1826"/>
      <c r="K12" s="1826"/>
      <c r="L12" s="1823"/>
      <c r="M12" s="1826"/>
    </row>
    <row r="13" spans="2:14" ht="20.100000000000001" customHeight="1" x14ac:dyDescent="0.2">
      <c r="B13" s="1113" t="s">
        <v>2092</v>
      </c>
      <c r="C13" s="1824">
        <v>93.778000000000006</v>
      </c>
      <c r="D13" s="1825" t="s">
        <v>2095</v>
      </c>
      <c r="E13" s="1826">
        <v>0</v>
      </c>
      <c r="F13" s="1826">
        <v>17939</v>
      </c>
      <c r="G13" s="1826">
        <v>0</v>
      </c>
      <c r="H13" s="1826">
        <v>0</v>
      </c>
      <c r="I13" s="1826">
        <v>15712</v>
      </c>
      <c r="J13" s="1826">
        <v>0</v>
      </c>
      <c r="K13" s="1826">
        <v>0</v>
      </c>
      <c r="L13" s="1823">
        <f>+G13+I13+K13</f>
        <v>15712</v>
      </c>
      <c r="M13" s="1826">
        <v>0</v>
      </c>
    </row>
    <row r="14" spans="2:14" ht="20.100000000000001" customHeight="1" x14ac:dyDescent="0.2">
      <c r="B14" s="2037" t="s">
        <v>2093</v>
      </c>
      <c r="C14" s="1824"/>
      <c r="D14" s="1825"/>
      <c r="E14" s="2038">
        <f t="shared" ref="E14:L14" si="0">SUM(E13)</f>
        <v>0</v>
      </c>
      <c r="F14" s="2038">
        <f t="shared" si="0"/>
        <v>17939</v>
      </c>
      <c r="G14" s="2038">
        <f t="shared" si="0"/>
        <v>0</v>
      </c>
      <c r="H14" s="2038">
        <f t="shared" si="0"/>
        <v>0</v>
      </c>
      <c r="I14" s="2038">
        <f t="shared" si="0"/>
        <v>15712</v>
      </c>
      <c r="J14" s="2038">
        <f t="shared" si="0"/>
        <v>0</v>
      </c>
      <c r="K14" s="2038">
        <f t="shared" si="0"/>
        <v>0</v>
      </c>
      <c r="L14" s="2038">
        <f t="shared" si="0"/>
        <v>15712</v>
      </c>
      <c r="M14" s="2038">
        <f>+M13</f>
        <v>0</v>
      </c>
    </row>
    <row r="15" spans="2:14" ht="20.100000000000001" customHeight="1" x14ac:dyDescent="0.2">
      <c r="B15" s="2037" t="s">
        <v>2094</v>
      </c>
      <c r="C15" s="1824"/>
      <c r="D15" s="1825"/>
      <c r="E15" s="2038">
        <f>SUM(E14)</f>
        <v>0</v>
      </c>
      <c r="F15" s="2038">
        <f>SUM(F14)</f>
        <v>17939</v>
      </c>
      <c r="G15" s="2038">
        <f>SUM(G14)</f>
        <v>0</v>
      </c>
      <c r="H15" s="2038">
        <f>SUM(H14)</f>
        <v>0</v>
      </c>
      <c r="I15" s="2038">
        <f>+I14</f>
        <v>15712</v>
      </c>
      <c r="J15" s="2038">
        <f>+J14</f>
        <v>0</v>
      </c>
      <c r="K15" s="2038">
        <f>+K14</f>
        <v>0</v>
      </c>
      <c r="L15" s="2038">
        <f>+L14</f>
        <v>15712</v>
      </c>
      <c r="M15" s="2038">
        <f>+M14</f>
        <v>0</v>
      </c>
    </row>
    <row r="16" spans="2:14" ht="20.100000000000001" customHeight="1" x14ac:dyDescent="0.2">
      <c r="B16" s="1113"/>
      <c r="C16" s="1824"/>
      <c r="D16" s="1825"/>
      <c r="E16" s="1823"/>
      <c r="F16" s="1823"/>
      <c r="G16" s="1823"/>
      <c r="H16" s="1823"/>
      <c r="I16" s="1823"/>
      <c r="J16" s="1823"/>
      <c r="K16" s="1823"/>
      <c r="L16" s="1823"/>
      <c r="M16" s="1823"/>
    </row>
    <row r="17" spans="2:14" ht="20.100000000000001" customHeight="1" x14ac:dyDescent="0.2">
      <c r="B17" s="1113" t="s">
        <v>2096</v>
      </c>
      <c r="C17" s="1824"/>
      <c r="D17" s="1825"/>
      <c r="E17" s="1826"/>
      <c r="F17" s="1826"/>
      <c r="G17" s="1826"/>
      <c r="H17" s="1826"/>
      <c r="I17" s="1826"/>
      <c r="J17" s="1826"/>
      <c r="K17" s="1826"/>
      <c r="L17" s="1823"/>
      <c r="M17" s="1826"/>
    </row>
    <row r="18" spans="2:14" ht="20.100000000000001" customHeight="1" x14ac:dyDescent="0.2">
      <c r="B18" s="1113" t="s">
        <v>2097</v>
      </c>
      <c r="C18" s="1824"/>
      <c r="D18" s="1825"/>
      <c r="E18" s="1826"/>
      <c r="F18" s="1826"/>
      <c r="G18" s="1826"/>
      <c r="H18" s="1826"/>
      <c r="I18" s="1826"/>
      <c r="J18" s="1826"/>
      <c r="K18" s="1826"/>
      <c r="L18" s="1823"/>
      <c r="M18" s="1826"/>
    </row>
    <row r="19" spans="2:14" ht="20.100000000000001" customHeight="1" x14ac:dyDescent="0.2">
      <c r="B19" s="1113" t="s">
        <v>2098</v>
      </c>
      <c r="C19" s="1824" t="s">
        <v>2102</v>
      </c>
      <c r="D19" s="1825" t="s">
        <v>2103</v>
      </c>
      <c r="E19" s="1826">
        <v>0</v>
      </c>
      <c r="F19" s="1826">
        <v>85320</v>
      </c>
      <c r="G19" s="1826">
        <v>0</v>
      </c>
      <c r="H19" s="1826">
        <v>0</v>
      </c>
      <c r="I19" s="1826">
        <v>0</v>
      </c>
      <c r="J19" s="1826">
        <v>0</v>
      </c>
      <c r="K19" s="1826">
        <v>0</v>
      </c>
      <c r="L19" s="1823">
        <f>+G19+I19+K19</f>
        <v>0</v>
      </c>
      <c r="M19" s="1826">
        <v>0</v>
      </c>
    </row>
    <row r="20" spans="2:14" ht="20.100000000000001" customHeight="1" x14ac:dyDescent="0.2">
      <c r="B20" s="1113" t="s">
        <v>2098</v>
      </c>
      <c r="C20" s="1824" t="s">
        <v>2102</v>
      </c>
      <c r="D20" s="1825" t="s">
        <v>2104</v>
      </c>
      <c r="E20" s="2039">
        <v>32741</v>
      </c>
      <c r="F20" s="2039">
        <v>7160</v>
      </c>
      <c r="G20" s="2039">
        <v>32741</v>
      </c>
      <c r="H20" s="2039">
        <v>0</v>
      </c>
      <c r="I20" s="2039">
        <v>0</v>
      </c>
      <c r="J20" s="2039">
        <v>0</v>
      </c>
      <c r="K20" s="2039">
        <v>0</v>
      </c>
      <c r="L20" s="1823">
        <f>+G20+I20+K20</f>
        <v>32741</v>
      </c>
      <c r="M20" s="1826">
        <v>0</v>
      </c>
    </row>
    <row r="21" spans="2:14" ht="20.100000000000001" customHeight="1" x14ac:dyDescent="0.2">
      <c r="B21" s="1113" t="s">
        <v>2108</v>
      </c>
      <c r="C21" s="1824" t="s">
        <v>2105</v>
      </c>
      <c r="D21" s="1825" t="s">
        <v>2106</v>
      </c>
      <c r="E21" s="2039">
        <v>0</v>
      </c>
      <c r="F21" s="2039">
        <v>7059</v>
      </c>
      <c r="G21" s="2039">
        <v>0</v>
      </c>
      <c r="H21" s="2039">
        <v>0</v>
      </c>
      <c r="I21" s="2039">
        <v>7059</v>
      </c>
      <c r="J21" s="2039">
        <v>0</v>
      </c>
      <c r="K21" s="2039">
        <v>0</v>
      </c>
      <c r="L21" s="1823">
        <f>+G21+I21+K21</f>
        <v>7059</v>
      </c>
      <c r="M21" s="1826">
        <v>7059</v>
      </c>
    </row>
    <row r="22" spans="2:14" ht="20.100000000000001" customHeight="1" x14ac:dyDescent="0.2">
      <c r="B22" s="1113" t="s">
        <v>2101</v>
      </c>
      <c r="C22" s="1824" t="s">
        <v>2102</v>
      </c>
      <c r="D22" s="1825" t="s">
        <v>2107</v>
      </c>
      <c r="E22" s="2038">
        <v>0</v>
      </c>
      <c r="F22" s="2038">
        <v>236905</v>
      </c>
      <c r="G22" s="2038">
        <v>0</v>
      </c>
      <c r="H22" s="2038">
        <v>0</v>
      </c>
      <c r="I22" s="2038">
        <v>237751</v>
      </c>
      <c r="J22" s="2038">
        <v>0</v>
      </c>
      <c r="K22" s="2038">
        <v>1128</v>
      </c>
      <c r="L22" s="2038">
        <f>+G22+I22+K22</f>
        <v>238879</v>
      </c>
      <c r="M22" s="2038">
        <v>238879</v>
      </c>
    </row>
    <row r="23" spans="2:14" ht="20.100000000000001" customHeight="1" x14ac:dyDescent="0.2">
      <c r="B23" s="2037" t="s">
        <v>2100</v>
      </c>
      <c r="C23" s="1824"/>
      <c r="D23" s="1825"/>
      <c r="E23" s="2038">
        <f t="shared" ref="E23:M23" si="1">SUM(E19:E22)</f>
        <v>32741</v>
      </c>
      <c r="F23" s="2038">
        <f t="shared" si="1"/>
        <v>336444</v>
      </c>
      <c r="G23" s="2038">
        <f t="shared" si="1"/>
        <v>32741</v>
      </c>
      <c r="H23" s="2038">
        <f t="shared" si="1"/>
        <v>0</v>
      </c>
      <c r="I23" s="2038">
        <f t="shared" si="1"/>
        <v>244810</v>
      </c>
      <c r="J23" s="2038">
        <f t="shared" si="1"/>
        <v>0</v>
      </c>
      <c r="K23" s="2038">
        <f t="shared" si="1"/>
        <v>1128</v>
      </c>
      <c r="L23" s="2038">
        <f t="shared" si="1"/>
        <v>278679</v>
      </c>
      <c r="M23" s="2038">
        <f t="shared" si="1"/>
        <v>245938</v>
      </c>
    </row>
    <row r="24" spans="2:14" ht="20.100000000000001" customHeight="1" x14ac:dyDescent="0.2">
      <c r="B24" s="2037"/>
      <c r="C24" s="1824"/>
      <c r="D24" s="1825"/>
      <c r="E24" s="1823"/>
      <c r="F24" s="1823"/>
      <c r="G24" s="1823"/>
      <c r="H24" s="1823"/>
      <c r="I24" s="1823"/>
      <c r="J24" s="1823"/>
      <c r="K24" s="1823"/>
      <c r="L24" s="1823"/>
      <c r="M24" s="1823"/>
    </row>
    <row r="25" spans="2:14" ht="20.100000000000001" customHeight="1" x14ac:dyDescent="0.2">
      <c r="B25" s="2037"/>
      <c r="C25" s="1824"/>
      <c r="D25" s="1825"/>
      <c r="E25" s="1826"/>
      <c r="F25" s="1826"/>
      <c r="G25" s="1826"/>
      <c r="H25" s="1826"/>
      <c r="I25" s="1826"/>
      <c r="J25" s="1826"/>
      <c r="K25" s="1826"/>
      <c r="L25" s="1823"/>
      <c r="M25" s="1826"/>
    </row>
    <row r="26" spans="2:14" ht="12.75" customHeight="1" x14ac:dyDescent="0.2">
      <c r="B26" s="1115"/>
      <c r="C26" s="1116"/>
      <c r="D26" s="1117"/>
      <c r="E26" s="1118"/>
      <c r="F26" s="1118"/>
      <c r="G26" s="1118"/>
      <c r="H26" s="1118"/>
      <c r="I26" s="1118"/>
      <c r="J26" s="1118"/>
      <c r="K26" s="1118"/>
      <c r="L26" s="1118"/>
      <c r="M26" s="1118"/>
      <c r="N26" s="1114"/>
    </row>
    <row r="27" spans="2:14" x14ac:dyDescent="0.2">
      <c r="B27" s="1033"/>
      <c r="C27" s="1119"/>
      <c r="D27" s="1120"/>
      <c r="E27" s="1033"/>
      <c r="F27" s="1033"/>
      <c r="G27" s="1026"/>
      <c r="H27" s="1026"/>
      <c r="I27" s="1026"/>
      <c r="J27" s="1026"/>
      <c r="K27" s="1026"/>
      <c r="L27" s="1026"/>
      <c r="M27" s="1033"/>
      <c r="N27" s="1114"/>
    </row>
    <row r="28" spans="2:14" ht="13.5" customHeight="1" x14ac:dyDescent="0.2">
      <c r="B28" s="1058" t="s">
        <v>1711</v>
      </c>
      <c r="C28" s="1119"/>
      <c r="D28" s="1120"/>
      <c r="E28" s="1033"/>
      <c r="F28" s="1033"/>
      <c r="G28" s="1026"/>
      <c r="H28" s="1026"/>
      <c r="I28" s="1026"/>
      <c r="J28" s="1026"/>
      <c r="K28" s="1026"/>
      <c r="L28" s="1026"/>
      <c r="M28" s="1033"/>
      <c r="N28" s="1114"/>
    </row>
    <row r="29" spans="2:14" ht="8.25" customHeight="1" x14ac:dyDescent="0.2">
      <c r="B29" s="1058"/>
      <c r="C29" s="1119"/>
      <c r="D29" s="1120"/>
      <c r="E29" s="1033"/>
      <c r="F29" s="1033"/>
      <c r="G29" s="1026"/>
      <c r="H29" s="1026"/>
      <c r="I29" s="1026"/>
      <c r="J29" s="1026"/>
      <c r="K29" s="1026"/>
      <c r="L29" s="1026"/>
      <c r="M29" s="1033"/>
      <c r="N29" s="1114"/>
    </row>
    <row r="30" spans="2:14" x14ac:dyDescent="0.2">
      <c r="B30" s="1121" t="s">
        <v>1809</v>
      </c>
      <c r="C30" s="1122"/>
      <c r="D30" s="1123"/>
      <c r="E30" s="1124"/>
      <c r="F30" s="1124"/>
      <c r="G30" s="1124"/>
      <c r="H30" s="1124"/>
      <c r="I30" s="295"/>
      <c r="J30" s="295"/>
    </row>
    <row r="31" spans="2:14" x14ac:dyDescent="0.2">
      <c r="B31" s="1053"/>
      <c r="C31" s="1125"/>
      <c r="D31" s="1126"/>
      <c r="E31" s="1054"/>
      <c r="F31" s="1054"/>
      <c r="G31" s="295"/>
      <c r="H31" s="295"/>
      <c r="I31" s="295"/>
      <c r="J31" s="295"/>
    </row>
    <row r="32" spans="2:14" ht="13.5" customHeight="1" x14ac:dyDescent="0.2">
      <c r="B32" s="1052" t="s">
        <v>1235</v>
      </c>
      <c r="G32" s="295"/>
      <c r="H32" s="295"/>
      <c r="I32" s="295"/>
      <c r="J32" s="295"/>
    </row>
    <row r="33" spans="2:13" ht="13.5" customHeight="1" x14ac:dyDescent="0.2">
      <c r="B33" s="1129"/>
      <c r="C33" s="1130"/>
      <c r="D33" s="1131"/>
      <c r="E33" s="1073"/>
      <c r="F33" s="1073"/>
      <c r="G33" s="1073"/>
      <c r="H33" s="1073"/>
      <c r="I33" s="1073"/>
      <c r="J33" s="1073"/>
      <c r="K33" s="1132"/>
      <c r="L33" s="1132"/>
      <c r="M33" s="1073"/>
    </row>
    <row r="34" spans="2:13" ht="9.6" customHeight="1" x14ac:dyDescent="0.2">
      <c r="B34" s="1133"/>
      <c r="G34" s="295"/>
      <c r="H34" s="295"/>
      <c r="I34" s="295"/>
      <c r="J34" s="295"/>
    </row>
    <row r="35" spans="2:13" ht="11.25" customHeight="1" x14ac:dyDescent="0.2">
      <c r="B35" s="1134" t="s">
        <v>1712</v>
      </c>
      <c r="C35" s="1135"/>
      <c r="D35" s="1135"/>
      <c r="E35" s="1135"/>
      <c r="F35" s="1135"/>
      <c r="G35" s="1135"/>
      <c r="H35" s="1135"/>
      <c r="I35" s="1136"/>
      <c r="J35" s="1136"/>
      <c r="K35" s="1136"/>
      <c r="L35" s="1136"/>
      <c r="M35" s="1136"/>
    </row>
    <row r="36" spans="2:13" ht="11.25" customHeight="1" x14ac:dyDescent="0.2">
      <c r="B36" s="1137" t="s">
        <v>1567</v>
      </c>
      <c r="C36" s="1136"/>
      <c r="D36" s="1136"/>
      <c r="E36" s="1136"/>
      <c r="F36" s="1136"/>
      <c r="G36" s="1136"/>
      <c r="H36" s="1136"/>
      <c r="I36" s="1136"/>
      <c r="J36" s="1136"/>
      <c r="K36" s="1136"/>
      <c r="L36" s="1136"/>
      <c r="M36" s="1136"/>
    </row>
    <row r="37" spans="2:13" ht="3.95" customHeight="1" x14ac:dyDescent="0.2">
      <c r="B37" s="1137"/>
      <c r="C37" s="1136"/>
      <c r="D37" s="1136"/>
      <c r="E37" s="1136"/>
      <c r="F37" s="1136"/>
      <c r="G37" s="1136"/>
      <c r="H37" s="1136"/>
      <c r="I37" s="1136"/>
      <c r="J37" s="1136"/>
      <c r="K37" s="1136"/>
      <c r="L37" s="1136"/>
      <c r="M37" s="1136"/>
    </row>
    <row r="38" spans="2:13" ht="11.25" customHeight="1" x14ac:dyDescent="0.2">
      <c r="B38" s="1134" t="s">
        <v>1713</v>
      </c>
      <c r="C38" s="1136"/>
      <c r="D38" s="1136"/>
      <c r="E38" s="1136"/>
      <c r="F38" s="1136"/>
      <c r="G38" s="1136"/>
      <c r="H38" s="1136"/>
      <c r="I38" s="1136"/>
      <c r="J38" s="1136"/>
      <c r="K38" s="1136"/>
      <c r="L38" s="1136"/>
      <c r="M38" s="1136"/>
    </row>
    <row r="39" spans="2:13" ht="11.25" customHeight="1" x14ac:dyDescent="0.2">
      <c r="B39" s="1076" t="s">
        <v>1568</v>
      </c>
      <c r="C39" s="1138"/>
      <c r="D39" s="1139"/>
      <c r="E39" s="1076"/>
      <c r="F39" s="1076"/>
      <c r="G39" s="1076"/>
      <c r="H39" s="1076"/>
      <c r="I39" s="1076"/>
      <c r="J39" s="1076"/>
      <c r="K39" s="1140"/>
      <c r="L39" s="1140"/>
      <c r="M39" s="1076"/>
    </row>
    <row r="40" spans="2:13" ht="3.95" customHeight="1" x14ac:dyDescent="0.2">
      <c r="B40" s="1076"/>
      <c r="C40" s="1138"/>
      <c r="D40" s="1139"/>
      <c r="E40" s="1076"/>
      <c r="F40" s="1076"/>
      <c r="G40" s="1076"/>
      <c r="H40" s="1076"/>
      <c r="I40" s="1076"/>
      <c r="J40" s="1076"/>
      <c r="K40" s="1140"/>
      <c r="L40" s="1140"/>
      <c r="M40" s="1076"/>
    </row>
    <row r="41" spans="2:13" ht="11.25" customHeight="1" x14ac:dyDescent="0.2">
      <c r="B41" s="1141" t="s">
        <v>1714</v>
      </c>
      <c r="C41" s="1138"/>
      <c r="D41" s="1139"/>
      <c r="E41" s="1076"/>
      <c r="F41" s="1076"/>
      <c r="G41" s="1076"/>
      <c r="H41" s="1076"/>
      <c r="I41" s="1076"/>
      <c r="J41" s="1076"/>
      <c r="K41" s="1140"/>
      <c r="L41" s="1140"/>
      <c r="M41" s="1076"/>
    </row>
    <row r="42" spans="2:13" ht="3.95" customHeight="1" x14ac:dyDescent="0.2">
      <c r="B42" s="1141"/>
      <c r="C42" s="1138"/>
      <c r="D42" s="1139"/>
      <c r="E42" s="1076"/>
      <c r="F42" s="1076"/>
      <c r="G42" s="1076"/>
      <c r="H42" s="1076"/>
      <c r="I42" s="1076"/>
      <c r="J42" s="1076"/>
      <c r="K42" s="1140"/>
      <c r="L42" s="1140"/>
      <c r="M42" s="1076"/>
    </row>
    <row r="43" spans="2:13" ht="11.25" customHeight="1" x14ac:dyDescent="0.2">
      <c r="B43" s="1142" t="s">
        <v>1715</v>
      </c>
      <c r="C43" s="1138"/>
      <c r="D43" s="1139"/>
      <c r="E43" s="1076"/>
      <c r="F43" s="1076"/>
      <c r="G43" s="1076"/>
      <c r="H43" s="1076"/>
      <c r="I43" s="1076"/>
      <c r="J43" s="1076"/>
      <c r="K43" s="1140"/>
      <c r="L43" s="1140"/>
      <c r="M43" s="1076"/>
    </row>
    <row r="44" spans="2:13" ht="11.25" customHeight="1" x14ac:dyDescent="0.2">
      <c r="B44" s="1076" t="s">
        <v>1569</v>
      </c>
      <c r="G44" s="295"/>
      <c r="H44" s="295"/>
      <c r="I44" s="295"/>
      <c r="J44" s="295"/>
    </row>
    <row r="45" spans="2:13" ht="11.1" customHeight="1" x14ac:dyDescent="0.2">
      <c r="B45" s="1076"/>
      <c r="G45" s="295"/>
      <c r="H45" s="295"/>
      <c r="I45" s="295"/>
      <c r="J45" s="295"/>
    </row>
    <row r="46" spans="2:13" ht="11.1" customHeight="1" x14ac:dyDescent="0.2">
      <c r="B46" s="1076"/>
      <c r="G46" s="295"/>
      <c r="H46" s="295"/>
      <c r="I46" s="295"/>
      <c r="J46" s="295"/>
    </row>
    <row r="47" spans="2:13" ht="13.5" customHeight="1" x14ac:dyDescent="0.2">
      <c r="M47" s="1143"/>
    </row>
    <row r="48" spans="2:13" ht="13.5" customHeight="1" x14ac:dyDescent="0.2">
      <c r="M48" s="1143"/>
    </row>
    <row r="49" spans="7:13" ht="13.5" customHeight="1" x14ac:dyDescent="0.2">
      <c r="M49" s="1143"/>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1158</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6" t="s">
        <v>1616</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2048</v>
      </c>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t="s">
        <v>2151</v>
      </c>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1312</v>
      </c>
      <c r="B70" s="2179"/>
      <c r="C70" s="2179"/>
      <c r="D70" s="2179"/>
      <c r="E70" s="2180"/>
      <c r="F70" s="2180"/>
      <c r="G70" s="2180"/>
      <c r="H70" s="2180"/>
      <c r="I70" s="218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1309</v>
      </c>
      <c r="B83" s="2181"/>
      <c r="C83" s="2181"/>
      <c r="D83" s="218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2" t="s">
        <v>1986</v>
      </c>
      <c r="B85" s="2192"/>
      <c r="C85" s="2192"/>
      <c r="D85" s="219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4" t="s">
        <v>1986</v>
      </c>
      <c r="B88" s="2195"/>
      <c r="C88" s="2195"/>
      <c r="D88" s="219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2053</v>
      </c>
      <c r="D114" s="217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1319</v>
      </c>
      <c r="D117" s="2174"/>
      <c r="E117" s="2175"/>
      <c r="F117" s="2175"/>
      <c r="G117" s="2175"/>
      <c r="H117" s="217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1"/>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Red Hill CUSD 10</v>
      </c>
      <c r="C1" s="2574"/>
      <c r="D1" s="2574"/>
      <c r="E1" s="2574"/>
      <c r="F1" s="2574"/>
      <c r="G1" s="2574"/>
      <c r="H1" s="2574"/>
      <c r="I1" s="2574"/>
      <c r="J1" s="2574"/>
      <c r="K1" s="2574"/>
      <c r="L1" s="2574"/>
      <c r="M1" s="2574"/>
    </row>
    <row r="2" spans="2:14" ht="15" x14ac:dyDescent="0.2">
      <c r="B2" s="2575">
        <f>'Single Audit Cover'!E7</f>
        <v>12051010026</v>
      </c>
      <c r="C2" s="2575"/>
      <c r="D2" s="2575"/>
      <c r="E2" s="2575"/>
      <c r="F2" s="2575"/>
      <c r="G2" s="2575"/>
      <c r="H2" s="2575"/>
      <c r="I2" s="2575"/>
      <c r="J2" s="2575"/>
      <c r="K2" s="2575"/>
      <c r="L2" s="2575"/>
      <c r="M2" s="2575"/>
      <c r="N2" s="1078"/>
    </row>
    <row r="3" spans="2:14" ht="15" x14ac:dyDescent="0.2">
      <c r="B3" s="2576" t="s">
        <v>1208</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2.5" customHeight="1" x14ac:dyDescent="0.2">
      <c r="B11" s="2037" t="s">
        <v>2109</v>
      </c>
      <c r="C11" s="1821"/>
      <c r="D11" s="1822"/>
      <c r="E11" s="1823"/>
      <c r="F11" s="1823"/>
      <c r="G11" s="1823"/>
      <c r="H11" s="1823"/>
      <c r="I11" s="1823"/>
      <c r="J11" s="1823"/>
      <c r="K11" s="1823"/>
      <c r="L11" s="1823"/>
      <c r="M11" s="1823"/>
    </row>
    <row r="12" spans="2:14" ht="20.100000000000001" customHeight="1" x14ac:dyDescent="0.2">
      <c r="B12" s="2037" t="s">
        <v>2097</v>
      </c>
      <c r="C12" s="1824"/>
      <c r="D12" s="1825"/>
      <c r="E12" s="1826"/>
      <c r="F12" s="1826"/>
      <c r="G12" s="1826"/>
      <c r="H12" s="1826"/>
      <c r="I12" s="1826"/>
      <c r="J12" s="1826"/>
      <c r="K12" s="1826"/>
      <c r="L12" s="1823"/>
      <c r="M12" s="1826"/>
    </row>
    <row r="13" spans="2:14" ht="20.100000000000001" customHeight="1" x14ac:dyDescent="0.2">
      <c r="B13" s="1113" t="s">
        <v>2136</v>
      </c>
      <c r="C13" s="1824">
        <v>84.01</v>
      </c>
      <c r="D13" s="1825" t="s">
        <v>2116</v>
      </c>
      <c r="E13" s="1826">
        <v>0</v>
      </c>
      <c r="F13" s="1826">
        <v>144853</v>
      </c>
      <c r="G13" s="1826">
        <v>0</v>
      </c>
      <c r="H13" s="1826">
        <v>0</v>
      </c>
      <c r="I13" s="1826">
        <v>213000</v>
      </c>
      <c r="J13" s="1826">
        <v>0</v>
      </c>
      <c r="K13" s="1826">
        <v>27652</v>
      </c>
      <c r="L13" s="1823">
        <f>+G13+I13+K13</f>
        <v>240652</v>
      </c>
      <c r="M13" s="1826">
        <v>318768</v>
      </c>
    </row>
    <row r="14" spans="2:14" ht="20.100000000000001" customHeight="1" x14ac:dyDescent="0.2">
      <c r="B14" s="1113" t="s">
        <v>2136</v>
      </c>
      <c r="C14" s="1824">
        <v>84.01</v>
      </c>
      <c r="D14" s="1825" t="s">
        <v>2117</v>
      </c>
      <c r="E14" s="1826">
        <v>165340</v>
      </c>
      <c r="F14" s="1826">
        <v>143567</v>
      </c>
      <c r="G14" s="1826">
        <v>281865</v>
      </c>
      <c r="H14" s="1826">
        <v>0</v>
      </c>
      <c r="I14" s="1826">
        <v>27042</v>
      </c>
      <c r="J14" s="1826">
        <v>0</v>
      </c>
      <c r="K14" s="1826">
        <v>0</v>
      </c>
      <c r="L14" s="1823">
        <f>+G14+I14+K14</f>
        <v>308907</v>
      </c>
      <c r="M14" s="1826">
        <v>356006</v>
      </c>
    </row>
    <row r="15" spans="2:14" ht="20.100000000000001" customHeight="1" x14ac:dyDescent="0.2">
      <c r="B15" s="1113" t="s">
        <v>2110</v>
      </c>
      <c r="C15" s="1824" t="s">
        <v>2115</v>
      </c>
      <c r="D15" s="1825" t="s">
        <v>2118</v>
      </c>
      <c r="E15" s="1826">
        <v>0</v>
      </c>
      <c r="F15" s="1826">
        <v>19905</v>
      </c>
      <c r="G15" s="1826">
        <v>0</v>
      </c>
      <c r="H15" s="1826">
        <v>0</v>
      </c>
      <c r="I15" s="1826">
        <v>25558</v>
      </c>
      <c r="J15" s="1826">
        <v>0</v>
      </c>
      <c r="K15" s="1826">
        <v>3501</v>
      </c>
      <c r="L15" s="1823">
        <f>+G15+I15+K15</f>
        <v>29059</v>
      </c>
      <c r="M15" s="1826">
        <v>51490</v>
      </c>
    </row>
    <row r="16" spans="2:14" ht="20.100000000000001" customHeight="1" x14ac:dyDescent="0.2">
      <c r="B16" s="1113" t="s">
        <v>2110</v>
      </c>
      <c r="C16" s="1824" t="s">
        <v>2115</v>
      </c>
      <c r="D16" s="1825" t="s">
        <v>2119</v>
      </c>
      <c r="E16" s="1826">
        <v>22561</v>
      </c>
      <c r="F16" s="1826">
        <v>12004</v>
      </c>
      <c r="G16" s="1826">
        <v>30901</v>
      </c>
      <c r="H16" s="1826">
        <v>0</v>
      </c>
      <c r="I16" s="1826">
        <v>3664</v>
      </c>
      <c r="J16" s="1826">
        <v>0</v>
      </c>
      <c r="K16" s="1826">
        <v>0</v>
      </c>
      <c r="L16" s="1823">
        <f>+G16+I16+K16</f>
        <v>34565</v>
      </c>
      <c r="M16" s="1826">
        <v>48334</v>
      </c>
    </row>
    <row r="17" spans="2:14" ht="20.100000000000001" customHeight="1" x14ac:dyDescent="0.2">
      <c r="B17" s="1113" t="s">
        <v>2134</v>
      </c>
      <c r="C17" s="1824">
        <v>84.424000000000007</v>
      </c>
      <c r="D17" s="1825" t="s">
        <v>2135</v>
      </c>
      <c r="E17" s="1826">
        <v>0</v>
      </c>
      <c r="F17" s="1826">
        <v>9367</v>
      </c>
      <c r="G17" s="1826">
        <v>0</v>
      </c>
      <c r="H17" s="1826">
        <v>0</v>
      </c>
      <c r="I17" s="1826">
        <v>9367</v>
      </c>
      <c r="J17" s="1826">
        <v>0</v>
      </c>
      <c r="K17" s="1826">
        <v>0</v>
      </c>
      <c r="L17" s="1823">
        <f>+G17+I17+K17</f>
        <v>9367</v>
      </c>
      <c r="M17" s="1826">
        <v>17482</v>
      </c>
    </row>
    <row r="18" spans="2:14" ht="20.100000000000001" customHeight="1" x14ac:dyDescent="0.2">
      <c r="B18" s="2037" t="s">
        <v>2111</v>
      </c>
      <c r="C18" s="1824"/>
      <c r="D18" s="1825"/>
      <c r="E18" s="1826"/>
      <c r="F18" s="1826"/>
      <c r="G18" s="1826"/>
      <c r="H18" s="1826"/>
      <c r="I18" s="1826"/>
      <c r="J18" s="1826"/>
      <c r="K18" s="1826"/>
      <c r="L18" s="1823"/>
      <c r="M18" s="1826"/>
    </row>
    <row r="19" spans="2:14" ht="20.100000000000001" customHeight="1" x14ac:dyDescent="0.2">
      <c r="B19" s="1113" t="s">
        <v>2112</v>
      </c>
      <c r="C19" s="1824">
        <v>84.048000000000002</v>
      </c>
      <c r="D19" s="1825" t="s">
        <v>2088</v>
      </c>
      <c r="E19" s="2038">
        <v>0</v>
      </c>
      <c r="F19" s="2038">
        <v>16523</v>
      </c>
      <c r="G19" s="2038">
        <v>0</v>
      </c>
      <c r="H19" s="2038">
        <v>0</v>
      </c>
      <c r="I19" s="2038">
        <v>16523</v>
      </c>
      <c r="J19" s="2038">
        <v>0</v>
      </c>
      <c r="K19" s="2038">
        <v>0</v>
      </c>
      <c r="L19" s="2038">
        <f>+G19+I19+K19</f>
        <v>16523</v>
      </c>
      <c r="M19" s="2038">
        <v>0</v>
      </c>
    </row>
    <row r="20" spans="2:14" ht="20.100000000000001" customHeight="1" x14ac:dyDescent="0.2">
      <c r="B20" s="2037" t="s">
        <v>2113</v>
      </c>
      <c r="C20" s="1824"/>
      <c r="D20" s="1825"/>
      <c r="E20" s="2038">
        <f t="shared" ref="E20:M20" si="0">SUM(E13:E19)</f>
        <v>187901</v>
      </c>
      <c r="F20" s="2038">
        <f t="shared" si="0"/>
        <v>346219</v>
      </c>
      <c r="G20" s="2038">
        <f t="shared" si="0"/>
        <v>312766</v>
      </c>
      <c r="H20" s="2038">
        <f t="shared" si="0"/>
        <v>0</v>
      </c>
      <c r="I20" s="2038">
        <f t="shared" si="0"/>
        <v>295154</v>
      </c>
      <c r="J20" s="2038">
        <f t="shared" si="0"/>
        <v>0</v>
      </c>
      <c r="K20" s="2038">
        <f t="shared" si="0"/>
        <v>31153</v>
      </c>
      <c r="L20" s="2038">
        <f t="shared" si="0"/>
        <v>639073</v>
      </c>
      <c r="M20" s="2038">
        <f t="shared" si="0"/>
        <v>792080</v>
      </c>
    </row>
    <row r="21" spans="2:14" ht="20.100000000000001" customHeight="1" x14ac:dyDescent="0.2">
      <c r="B21" s="2037" t="s">
        <v>2099</v>
      </c>
      <c r="C21" s="1824"/>
      <c r="D21" s="1825"/>
      <c r="E21" s="2038">
        <f>SUM(E20)+' SEFA (2)'!E23</f>
        <v>220642</v>
      </c>
      <c r="F21" s="2038">
        <f>SUM(F20)+' SEFA (2)'!F23</f>
        <v>682663</v>
      </c>
      <c r="G21" s="2038">
        <f>+G20+' SEFA (2)'!G23</f>
        <v>345507</v>
      </c>
      <c r="H21" s="2038">
        <f>+H20+' SEFA (2)'!H23</f>
        <v>0</v>
      </c>
      <c r="I21" s="2038">
        <f>+I20+' SEFA (2)'!I23</f>
        <v>539964</v>
      </c>
      <c r="J21" s="2038">
        <f>+J20+' SEFA (2)'!J23</f>
        <v>0</v>
      </c>
      <c r="K21" s="2038">
        <f>+K20+' SEFA (2)'!K23</f>
        <v>32281</v>
      </c>
      <c r="L21" s="2038">
        <f>+L20+' SEFA (2)'!L23</f>
        <v>917752</v>
      </c>
      <c r="M21" s="2038">
        <f>+M20+' SEFA (2)'!M23</f>
        <v>1038018</v>
      </c>
    </row>
    <row r="22" spans="2:14" ht="20.100000000000001" customHeight="1" x14ac:dyDescent="0.2">
      <c r="B22" s="1113"/>
      <c r="C22" s="1824"/>
      <c r="D22" s="1825"/>
      <c r="E22" s="1823"/>
      <c r="F22" s="1823"/>
      <c r="G22" s="1823"/>
      <c r="H22" s="1823"/>
      <c r="I22" s="1823"/>
      <c r="J22" s="1823"/>
      <c r="K22" s="1823"/>
      <c r="L22" s="1823"/>
      <c r="M22" s="1823"/>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2037"/>
      <c r="C24" s="1824"/>
      <c r="D24" s="1825"/>
      <c r="E24" s="1826"/>
      <c r="F24" s="1826"/>
      <c r="G24" s="1826"/>
      <c r="H24" s="1826"/>
      <c r="I24" s="1826"/>
      <c r="J24" s="1826"/>
      <c r="K24" s="1826"/>
      <c r="L24" s="1823"/>
      <c r="M24" s="1826"/>
    </row>
    <row r="25" spans="2:14" ht="20.100000000000001" customHeight="1" x14ac:dyDescent="0.2">
      <c r="B25" s="2037"/>
      <c r="C25" s="1824"/>
      <c r="D25" s="1825"/>
      <c r="E25" s="1826"/>
      <c r="F25" s="1826"/>
      <c r="G25" s="1826"/>
      <c r="H25" s="1826"/>
      <c r="I25" s="1826"/>
      <c r="J25" s="1826"/>
      <c r="K25" s="1826"/>
      <c r="L25" s="1823"/>
      <c r="M25" s="1826"/>
    </row>
    <row r="26" spans="2:14" ht="20.100000000000001" customHeight="1" thickBot="1" x14ac:dyDescent="0.25">
      <c r="B26" s="2037" t="s">
        <v>2114</v>
      </c>
      <c r="C26" s="1824"/>
      <c r="D26" s="1825"/>
      <c r="E26" s="2040">
        <f>+E20+' SEFA (2)'!E23+' SEFA (2)'!E15+' SEFA'!E23</f>
        <v>472355</v>
      </c>
      <c r="F26" s="2040">
        <f>+F20+' SEFA (2)'!F23+' SEFA (2)'!F15+' SEFA'!F23</f>
        <v>988591</v>
      </c>
      <c r="G26" s="2040">
        <f>+G20+' SEFA (2)'!G23+' SEFA (2)'!G15+' SEFA'!G23</f>
        <v>597220</v>
      </c>
      <c r="H26" s="2040">
        <f>+H20+' SEFA (2)'!H23+' SEFA (2)'!H15+' SEFA'!H23</f>
        <v>0</v>
      </c>
      <c r="I26" s="2040">
        <f>+I20+' SEFA (2)'!I23+' SEFA (2)'!I15+' SEFA'!I23</f>
        <v>843665</v>
      </c>
      <c r="J26" s="2040">
        <f>+J20+' SEFA (2)'!J23+' SEFA (2)'!J15+' SEFA'!J23</f>
        <v>0</v>
      </c>
      <c r="K26" s="2040">
        <f>+K20+' SEFA (2)'!K23+' SEFA (2)'!K15+' SEFA'!K23</f>
        <v>32281</v>
      </c>
      <c r="L26" s="2040">
        <f>+L20+' SEFA (2)'!L23+' SEFA (2)'!L15+' SEFA'!L23</f>
        <v>1473166</v>
      </c>
      <c r="M26" s="2040">
        <f>+M20+' SEFA (2)'!M23+' SEFA (2)'!M15+' SEFA'!M23</f>
        <v>1038018</v>
      </c>
    </row>
    <row r="27" spans="2:14" ht="12.75" customHeight="1" thickTop="1" x14ac:dyDescent="0.2">
      <c r="B27" s="1115"/>
      <c r="C27" s="1116"/>
      <c r="D27" s="1117"/>
      <c r="E27" s="1118"/>
      <c r="F27" s="1118"/>
      <c r="G27" s="1118"/>
      <c r="H27" s="1118"/>
      <c r="I27" s="1118"/>
      <c r="J27" s="1118"/>
      <c r="K27" s="1118"/>
      <c r="L27" s="1118"/>
      <c r="M27" s="1118"/>
      <c r="N27" s="1114"/>
    </row>
    <row r="28" spans="2:14" x14ac:dyDescent="0.2">
      <c r="B28" s="1033"/>
      <c r="C28" s="1119"/>
      <c r="D28" s="1120"/>
      <c r="E28" s="1033"/>
      <c r="F28" s="1033"/>
      <c r="G28" s="1026"/>
      <c r="H28" s="1026"/>
      <c r="I28" s="1026"/>
      <c r="J28" s="1026"/>
      <c r="K28" s="1026"/>
      <c r="L28" s="1026"/>
      <c r="M28" s="1033"/>
      <c r="N28" s="1114"/>
    </row>
    <row r="29" spans="2:14" ht="13.5" customHeight="1" x14ac:dyDescent="0.2">
      <c r="B29" s="1058" t="s">
        <v>1711</v>
      </c>
      <c r="C29" s="1119"/>
      <c r="D29" s="1120"/>
      <c r="E29" s="1033"/>
      <c r="F29" s="1033"/>
      <c r="G29" s="1026"/>
      <c r="H29" s="1026"/>
      <c r="I29" s="1026"/>
      <c r="J29" s="1026"/>
      <c r="K29" s="1026"/>
      <c r="L29" s="1026"/>
      <c r="M29" s="1033"/>
      <c r="N29" s="1114"/>
    </row>
    <row r="30" spans="2:14" ht="8.25" customHeight="1" x14ac:dyDescent="0.2">
      <c r="B30" s="1058"/>
      <c r="C30" s="1119"/>
      <c r="D30" s="1120"/>
      <c r="E30" s="1033"/>
      <c r="F30" s="1033"/>
      <c r="G30" s="1026"/>
      <c r="H30" s="1026"/>
      <c r="I30" s="1026"/>
      <c r="J30" s="1026"/>
      <c r="K30" s="1026"/>
      <c r="L30" s="1026"/>
      <c r="M30" s="1033"/>
      <c r="N30" s="1114"/>
    </row>
    <row r="31" spans="2:14" x14ac:dyDescent="0.2">
      <c r="B31" s="1121" t="s">
        <v>1809</v>
      </c>
      <c r="C31" s="1122"/>
      <c r="D31" s="1123"/>
      <c r="E31" s="1124"/>
      <c r="F31" s="1124"/>
      <c r="G31" s="1124"/>
      <c r="H31" s="1124"/>
      <c r="I31" s="295"/>
      <c r="J31" s="295"/>
    </row>
    <row r="32" spans="2:14" x14ac:dyDescent="0.2">
      <c r="B32" s="1053"/>
      <c r="C32" s="1125"/>
      <c r="D32" s="1126"/>
      <c r="E32" s="1054"/>
      <c r="F32" s="1054"/>
      <c r="G32" s="295"/>
      <c r="H32" s="295"/>
      <c r="I32" s="295"/>
      <c r="J32" s="295"/>
    </row>
    <row r="33" spans="2:13" ht="13.5" customHeight="1" x14ac:dyDescent="0.2">
      <c r="B33" s="1052" t="s">
        <v>1235</v>
      </c>
      <c r="G33" s="295"/>
      <c r="H33" s="295"/>
      <c r="I33" s="295"/>
      <c r="J33" s="295"/>
    </row>
    <row r="34" spans="2:13" ht="13.5" customHeight="1" x14ac:dyDescent="0.2">
      <c r="B34" s="1129"/>
      <c r="C34" s="1130"/>
      <c r="D34" s="1131"/>
      <c r="E34" s="1073"/>
      <c r="F34" s="1073"/>
      <c r="G34" s="1073"/>
      <c r="H34" s="1073"/>
      <c r="I34" s="1073"/>
      <c r="J34" s="1073"/>
      <c r="K34" s="1132"/>
      <c r="L34" s="1132"/>
      <c r="M34" s="1073"/>
    </row>
    <row r="35" spans="2:13" ht="9.6" customHeight="1" x14ac:dyDescent="0.2">
      <c r="B35" s="1133"/>
      <c r="G35" s="295"/>
      <c r="H35" s="295"/>
      <c r="I35" s="295"/>
      <c r="J35" s="295"/>
    </row>
    <row r="36" spans="2:13" ht="11.25" customHeight="1" x14ac:dyDescent="0.2">
      <c r="B36" s="1134" t="s">
        <v>1712</v>
      </c>
      <c r="C36" s="1135"/>
      <c r="D36" s="1135"/>
      <c r="E36" s="1135"/>
      <c r="F36" s="1135"/>
      <c r="G36" s="1135"/>
      <c r="H36" s="1135"/>
      <c r="I36" s="1136"/>
      <c r="J36" s="1136"/>
      <c r="K36" s="1136"/>
      <c r="L36" s="1136"/>
      <c r="M36" s="1136"/>
    </row>
    <row r="37" spans="2:13" ht="11.25" customHeight="1" x14ac:dyDescent="0.2">
      <c r="B37" s="1137" t="s">
        <v>1567</v>
      </c>
      <c r="C37" s="1136"/>
      <c r="D37" s="1136"/>
      <c r="E37" s="1136"/>
      <c r="F37" s="1136"/>
      <c r="G37" s="1136"/>
      <c r="H37" s="1136"/>
      <c r="I37" s="1136"/>
      <c r="J37" s="1136"/>
      <c r="K37" s="1136"/>
      <c r="L37" s="1136"/>
      <c r="M37" s="1136"/>
    </row>
    <row r="38" spans="2:13" ht="3.95" customHeight="1" x14ac:dyDescent="0.2">
      <c r="B38" s="1137"/>
      <c r="C38" s="1136"/>
      <c r="D38" s="1136"/>
      <c r="E38" s="1136"/>
      <c r="F38" s="1136"/>
      <c r="G38" s="1136"/>
      <c r="H38" s="1136"/>
      <c r="I38" s="1136"/>
      <c r="J38" s="1136"/>
      <c r="K38" s="1136"/>
      <c r="L38" s="1136"/>
      <c r="M38" s="1136"/>
    </row>
    <row r="39" spans="2:13" ht="11.25" customHeight="1" x14ac:dyDescent="0.2">
      <c r="B39" s="1134" t="s">
        <v>1713</v>
      </c>
      <c r="C39" s="1136"/>
      <c r="D39" s="1136"/>
      <c r="E39" s="1136"/>
      <c r="F39" s="1136"/>
      <c r="G39" s="1136"/>
      <c r="H39" s="1136"/>
      <c r="I39" s="1136"/>
      <c r="J39" s="1136"/>
      <c r="K39" s="1136"/>
      <c r="L39" s="1136"/>
      <c r="M39" s="1136"/>
    </row>
    <row r="40" spans="2:13" ht="11.25" customHeight="1" x14ac:dyDescent="0.2">
      <c r="B40" s="1076" t="s">
        <v>1568</v>
      </c>
      <c r="C40" s="1138"/>
      <c r="D40" s="1139"/>
      <c r="E40" s="1076"/>
      <c r="F40" s="1076"/>
      <c r="G40" s="1076"/>
      <c r="H40" s="1076"/>
      <c r="I40" s="1076"/>
      <c r="J40" s="1076"/>
      <c r="K40" s="1140"/>
      <c r="L40" s="1140"/>
      <c r="M40" s="1076"/>
    </row>
    <row r="41" spans="2:13" ht="3.95" customHeight="1" x14ac:dyDescent="0.2">
      <c r="B41" s="1076"/>
      <c r="C41" s="1138"/>
      <c r="D41" s="1139"/>
      <c r="E41" s="1076"/>
      <c r="F41" s="1076"/>
      <c r="G41" s="1076"/>
      <c r="H41" s="1076"/>
      <c r="I41" s="1076"/>
      <c r="J41" s="1076"/>
      <c r="K41" s="1140"/>
      <c r="L41" s="1140"/>
      <c r="M41" s="1076"/>
    </row>
    <row r="42" spans="2:13" ht="11.25" customHeight="1" x14ac:dyDescent="0.2">
      <c r="B42" s="1141" t="s">
        <v>1714</v>
      </c>
      <c r="C42" s="1138"/>
      <c r="D42" s="1139"/>
      <c r="E42" s="1076"/>
      <c r="F42" s="1076"/>
      <c r="G42" s="1076"/>
      <c r="H42" s="1076"/>
      <c r="I42" s="1076"/>
      <c r="J42" s="1076"/>
      <c r="K42" s="1140"/>
      <c r="L42" s="1140"/>
      <c r="M42" s="1076"/>
    </row>
    <row r="43" spans="2:13" ht="3.95" customHeight="1" x14ac:dyDescent="0.2">
      <c r="B43" s="1141"/>
      <c r="C43" s="1138"/>
      <c r="D43" s="1139"/>
      <c r="E43" s="1076"/>
      <c r="F43" s="1076"/>
      <c r="G43" s="1076"/>
      <c r="H43" s="1076"/>
      <c r="I43" s="1076"/>
      <c r="J43" s="1076"/>
      <c r="K43" s="1140"/>
      <c r="L43" s="1140"/>
      <c r="M43" s="1076"/>
    </row>
    <row r="44" spans="2:13" ht="11.25" customHeight="1" x14ac:dyDescent="0.2">
      <c r="B44" s="1142" t="s">
        <v>1715</v>
      </c>
      <c r="C44" s="1138"/>
      <c r="D44" s="1139"/>
      <c r="E44" s="1076"/>
      <c r="F44" s="1076"/>
      <c r="G44" s="1076"/>
      <c r="H44" s="1076"/>
      <c r="I44" s="1076"/>
      <c r="J44" s="1076"/>
      <c r="K44" s="1140"/>
      <c r="L44" s="1140"/>
      <c r="M44" s="1076"/>
    </row>
    <row r="45" spans="2:13" ht="11.25" customHeight="1" x14ac:dyDescent="0.2">
      <c r="B45" s="1076" t="s">
        <v>1569</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43"/>
    </row>
    <row r="49" spans="7:13" ht="13.5" customHeight="1" x14ac:dyDescent="0.2">
      <c r="M49" s="1143"/>
    </row>
    <row r="50" spans="7:13" ht="13.5" customHeight="1" x14ac:dyDescent="0.2">
      <c r="M50" s="114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43</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Red Hill CUSD 10</v>
      </c>
      <c r="B1" s="2579"/>
      <c r="C1" s="2579"/>
      <c r="D1" s="2579"/>
      <c r="E1" s="2579"/>
      <c r="F1" s="2579"/>
    </row>
    <row r="2" spans="1:7" ht="13.5" customHeight="1" x14ac:dyDescent="0.2">
      <c r="A2" s="2575">
        <f>'Single Audit Cover'!E7</f>
        <v>12051010026</v>
      </c>
      <c r="B2" s="2575"/>
      <c r="C2" s="2575"/>
      <c r="D2" s="2575"/>
      <c r="E2" s="2575"/>
      <c r="F2" s="2575"/>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2144</v>
      </c>
      <c r="B7" s="2578"/>
      <c r="C7" s="2578"/>
      <c r="D7" s="2578"/>
      <c r="E7" s="2578"/>
      <c r="F7" s="257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20.25" customHeight="1" x14ac:dyDescent="0.2">
      <c r="A13" s="2578" t="s">
        <v>2145</v>
      </c>
      <c r="B13" s="2578"/>
      <c r="C13" s="2578"/>
      <c r="D13" s="2578"/>
      <c r="E13" s="2578"/>
      <c r="F13" s="2578"/>
    </row>
    <row r="14" spans="1:7" ht="9.75" customHeight="1" x14ac:dyDescent="0.2">
      <c r="C14" s="1036"/>
      <c r="D14" s="1036"/>
    </row>
    <row r="15" spans="1:7" ht="13.5" customHeight="1" x14ac:dyDescent="0.2">
      <c r="C15" s="1476" t="s">
        <v>1259</v>
      </c>
      <c r="D15" s="2583" t="s">
        <v>1258</v>
      </c>
      <c r="E15" s="2583"/>
      <c r="F15" s="2583"/>
    </row>
    <row r="16" spans="1:7" ht="13.5" customHeight="1" x14ac:dyDescent="0.2">
      <c r="A16" s="1058"/>
      <c r="B16" s="1052" t="s">
        <v>1257</v>
      </c>
      <c r="C16" s="1476" t="s">
        <v>1256</v>
      </c>
      <c r="D16" s="2584" t="s">
        <v>1571</v>
      </c>
      <c r="E16" s="2584"/>
      <c r="F16" s="2584"/>
    </row>
    <row r="17" spans="1:6" ht="20.45" customHeight="1" x14ac:dyDescent="0.2">
      <c r="A17" s="1059"/>
      <c r="B17" s="1060"/>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6" t="s">
        <v>2146</v>
      </c>
      <c r="B32" s="2586"/>
      <c r="C32" s="2586"/>
      <c r="D32" s="2586"/>
      <c r="E32" s="2586"/>
      <c r="F32" s="2586"/>
    </row>
    <row r="33" spans="1:6" ht="13.5" customHeight="1" x14ac:dyDescent="0.2">
      <c r="A33" s="306" t="s">
        <v>1417</v>
      </c>
      <c r="B33" s="306"/>
      <c r="C33" s="1064">
        <v>36527</v>
      </c>
      <c r="D33" s="1526"/>
      <c r="E33" s="1062"/>
    </row>
    <row r="34" spans="1:6" ht="13.5" customHeight="1" x14ac:dyDescent="0.2">
      <c r="A34" s="306" t="s">
        <v>1808</v>
      </c>
      <c r="B34" s="306"/>
      <c r="C34" s="1065">
        <v>7531</v>
      </c>
      <c r="D34" s="1526" t="s">
        <v>1572</v>
      </c>
      <c r="E34" s="2587">
        <f>+C33+C34</f>
        <v>44058</v>
      </c>
      <c r="F34" s="2588"/>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568</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9" t="s">
        <v>1573</v>
      </c>
      <c r="C49" s="2589"/>
      <c r="D49" s="2589"/>
      <c r="E49" s="1168"/>
    </row>
    <row r="50" spans="1:5" s="1076" customFormat="1" ht="3.75" customHeight="1" x14ac:dyDescent="0.2">
      <c r="A50" s="1075"/>
      <c r="B50" s="1475"/>
      <c r="C50" s="1475"/>
      <c r="D50" s="1475"/>
      <c r="E50" s="1168"/>
    </row>
    <row r="51" spans="1:5" s="1076" customFormat="1" ht="20.25" customHeight="1" x14ac:dyDescent="0.2">
      <c r="A51" s="1077">
        <v>6</v>
      </c>
      <c r="B51" s="2585" t="s">
        <v>1534</v>
      </c>
      <c r="C51" s="2585"/>
      <c r="D51" s="2585"/>
    </row>
    <row r="52" spans="1:5" ht="14.25" customHeight="1" x14ac:dyDescent="0.2">
      <c r="A52" s="1077"/>
      <c r="B52" s="2585"/>
      <c r="C52" s="2585"/>
      <c r="D52" s="258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&amp;R&amp;8Page 44</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2"/>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Red Hill CUSD 10</v>
      </c>
      <c r="C1" s="2595"/>
      <c r="D1" s="2595"/>
      <c r="E1" s="2595"/>
      <c r="F1" s="2595"/>
      <c r="G1" s="2595"/>
      <c r="H1" s="2595"/>
      <c r="I1" s="2595"/>
      <c r="J1" s="1178"/>
    </row>
    <row r="2" spans="2:10" s="295" customFormat="1" ht="12.75" customHeight="1" x14ac:dyDescent="0.2">
      <c r="B2" s="2596">
        <f>'Single Audit Cover'!E7</f>
        <v>12051010026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t="s">
        <v>1154</v>
      </c>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2048</v>
      </c>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t="s">
        <v>2147</v>
      </c>
      <c r="E29" s="2601"/>
      <c r="F29" s="2601"/>
      <c r="G29" s="2601"/>
      <c r="H29" s="2601"/>
      <c r="I29" s="2601"/>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2" t="s">
        <v>1725</v>
      </c>
      <c r="D37" s="2603"/>
      <c r="E37" s="2603"/>
      <c r="F37" s="2604"/>
      <c r="G37" s="2602" t="s">
        <v>1575</v>
      </c>
      <c r="H37" s="2603"/>
      <c r="I37" s="2604"/>
    </row>
    <row r="38" spans="2:9" ht="16.5" customHeight="1" x14ac:dyDescent="0.2">
      <c r="B38" s="1200">
        <v>84.01</v>
      </c>
      <c r="C38" s="2590" t="s">
        <v>2148</v>
      </c>
      <c r="D38" s="2591"/>
      <c r="E38" s="2591"/>
      <c r="F38" s="2592"/>
      <c r="G38" s="2605">
        <v>240042</v>
      </c>
      <c r="H38" s="2606"/>
      <c r="I38" s="2607"/>
    </row>
    <row r="39" spans="2:9" ht="16.5" customHeight="1" x14ac:dyDescent="0.2">
      <c r="B39" s="1200" t="s">
        <v>2149</v>
      </c>
      <c r="C39" s="2590" t="s">
        <v>2150</v>
      </c>
      <c r="D39" s="2591"/>
      <c r="E39" s="2591"/>
      <c r="F39" s="2592"/>
      <c r="G39" s="2593">
        <v>287989</v>
      </c>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608" t="s">
        <v>1576</v>
      </c>
      <c r="D42" s="2609"/>
      <c r="E42" s="2609"/>
      <c r="F42" s="2610"/>
      <c r="G42" s="2611">
        <f>SUM(G38:I41)</f>
        <v>528031</v>
      </c>
      <c r="H42" s="2611"/>
      <c r="I42" s="2611"/>
    </row>
    <row r="43" spans="2:9" ht="12.75" customHeight="1" x14ac:dyDescent="0.2"/>
    <row r="44" spans="2:9" ht="12.75" customHeight="1" x14ac:dyDescent="0.2">
      <c r="B44" s="1917" t="str">
        <f>"Total Federal Expenditures for 7/1/"&amp;MID('AFR20'!E2,3,2)-1&amp;"-6/30/"&amp;MID('AFR20'!E2,3,2)</f>
        <v>Total Federal Expenditures for 7/1/19-6/30/20</v>
      </c>
      <c r="C44" s="1918"/>
      <c r="D44" s="2612">
        <v>843665</v>
      </c>
      <c r="E44" s="2613"/>
    </row>
    <row r="45" spans="2:9" ht="5.25" customHeight="1" x14ac:dyDescent="0.2">
      <c r="B45" s="1201"/>
      <c r="D45" s="1202"/>
      <c r="E45" s="1203"/>
    </row>
    <row r="46" spans="2:9" ht="12.75" customHeight="1" x14ac:dyDescent="0.2">
      <c r="B46" s="1076" t="s">
        <v>1577</v>
      </c>
      <c r="C46" s="1076"/>
      <c r="D46" s="1204">
        <f>+G42/D44</f>
        <v>0.62587756988852206</v>
      </c>
      <c r="E46" s="1205"/>
      <c r="F46" s="1206"/>
      <c r="I46" s="1207"/>
    </row>
    <row r="47" spans="2:9" ht="9.9499999999999993" customHeight="1" x14ac:dyDescent="0.2"/>
    <row r="48" spans="2:9" x14ac:dyDescent="0.2">
      <c r="B48" s="1138" t="s">
        <v>1262</v>
      </c>
      <c r="C48" s="1058"/>
      <c r="D48" s="1058"/>
      <c r="E48" s="2614">
        <v>750000</v>
      </c>
      <c r="F48" s="2614"/>
      <c r="G48" s="2614"/>
      <c r="H48" s="300"/>
    </row>
    <row r="50" spans="1:9" ht="13.5" customHeight="1" x14ac:dyDescent="0.2">
      <c r="B50" s="1138" t="s">
        <v>1261</v>
      </c>
      <c r="C50" s="1058"/>
      <c r="E50" s="1194"/>
      <c r="F50" s="1076" t="s">
        <v>879</v>
      </c>
      <c r="G50" s="1194" t="s">
        <v>2048</v>
      </c>
      <c r="H50" s="1076" t="s">
        <v>99</v>
      </c>
    </row>
    <row r="51" spans="1:9" x14ac:dyDescent="0.2">
      <c r="B51" s="1130"/>
      <c r="C51" s="1073"/>
      <c r="D51" s="1208"/>
      <c r="E51" s="1209"/>
      <c r="F51" s="1210"/>
      <c r="G51" s="1210"/>
      <c r="H51" s="1210"/>
      <c r="I51" s="1210"/>
    </row>
    <row r="52" spans="1:9" ht="6" customHeight="1" x14ac:dyDescent="0.2">
      <c r="B52" s="1185"/>
      <c r="C52" s="300"/>
      <c r="D52" s="1211"/>
      <c r="E52" s="1212"/>
      <c r="F52" s="1213"/>
      <c r="G52" s="1213"/>
      <c r="H52" s="1213"/>
      <c r="I52" s="1213"/>
    </row>
    <row r="53" spans="1:9" s="1217" customFormat="1" ht="14.25" x14ac:dyDescent="0.2">
      <c r="A53" s="1214"/>
      <c r="B53" s="1215" t="s">
        <v>1726</v>
      </c>
      <c r="C53" s="1216"/>
      <c r="D53" s="1216"/>
    </row>
    <row r="54" spans="1:9" s="1217" customFormat="1" ht="12.75" customHeight="1" x14ac:dyDescent="0.2">
      <c r="A54" s="1214"/>
      <c r="B54" s="1218" t="s">
        <v>1578</v>
      </c>
      <c r="C54" s="1214"/>
      <c r="D54" s="1214"/>
    </row>
    <row r="55" spans="1:9" s="1217" customFormat="1" ht="12.75" customHeight="1" x14ac:dyDescent="0.2">
      <c r="A55" s="1214"/>
      <c r="B55" s="1218" t="s">
        <v>1579</v>
      </c>
      <c r="C55" s="1214"/>
      <c r="D55" s="1214"/>
    </row>
    <row r="56" spans="1:9" s="1217" customFormat="1" ht="3.95" customHeight="1" x14ac:dyDescent="0.2">
      <c r="A56" s="1214"/>
      <c r="B56" s="1218"/>
      <c r="C56" s="1214"/>
      <c r="D56" s="1214"/>
    </row>
    <row r="57" spans="1:9" s="1217" customFormat="1" ht="13.5" customHeight="1" x14ac:dyDescent="0.2">
      <c r="A57" s="1214"/>
      <c r="B57" s="1219" t="s">
        <v>1727</v>
      </c>
      <c r="C57" s="1220"/>
      <c r="D57" s="1220"/>
    </row>
    <row r="58" spans="1:9" s="1217" customFormat="1" ht="3.95" customHeight="1" x14ac:dyDescent="0.2">
      <c r="A58" s="1214"/>
      <c r="B58" s="1219"/>
      <c r="C58" s="1220"/>
      <c r="D58" s="1220"/>
    </row>
    <row r="59" spans="1:9" s="1217" customFormat="1" ht="13.5" customHeight="1" x14ac:dyDescent="0.2">
      <c r="A59" s="1214"/>
      <c r="B59" s="1219" t="s">
        <v>1728</v>
      </c>
      <c r="C59" s="1220"/>
      <c r="D59" s="1220"/>
    </row>
    <row r="60" spans="1:9" s="1217" customFormat="1" ht="3.95" customHeight="1" x14ac:dyDescent="0.2">
      <c r="A60" s="1214"/>
      <c r="B60" s="1219"/>
      <c r="C60" s="1220"/>
      <c r="D60" s="1220"/>
    </row>
    <row r="61" spans="1:9" s="1217" customFormat="1" ht="12.75" customHeight="1" x14ac:dyDescent="0.2">
      <c r="A61" s="1214"/>
      <c r="B61" s="1219" t="s">
        <v>1729</v>
      </c>
      <c r="C61" s="1220"/>
      <c r="D61" s="1220"/>
    </row>
    <row r="62" spans="1:9" s="1217" customFormat="1" ht="13.5" customHeight="1" x14ac:dyDescent="0.2">
      <c r="A62" s="1214"/>
      <c r="B62" s="1218" t="s">
        <v>1580</v>
      </c>
      <c r="C62" s="1214"/>
      <c r="D62" s="1214"/>
    </row>
  </sheetData>
  <mergeCells count="21">
    <mergeCell ref="C42:F42"/>
    <mergeCell ref="G42:I42"/>
    <mergeCell ref="D44:E44"/>
    <mergeCell ref="E48:G48"/>
    <mergeCell ref="C40:F40"/>
    <mergeCell ref="G40:I40"/>
    <mergeCell ref="C41:F41"/>
    <mergeCell ref="G41:I41"/>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Red Hill CUSD 10</v>
      </c>
      <c r="C1" s="2594"/>
      <c r="D1" s="2594"/>
      <c r="E1" s="2594"/>
      <c r="F1" s="2594"/>
      <c r="G1" s="2594"/>
      <c r="H1" s="2594"/>
      <c r="I1" s="2594"/>
      <c r="J1" s="2594"/>
      <c r="K1" s="2594"/>
      <c r="L1" s="1144"/>
      <c r="M1" s="1144"/>
    </row>
    <row r="2" spans="1:13" ht="12" customHeight="1" x14ac:dyDescent="0.2">
      <c r="B2" s="2596">
        <f>'Single Audit Cover'!E7</f>
        <v>12051010026</v>
      </c>
      <c r="C2" s="2596"/>
      <c r="D2" s="2596"/>
      <c r="E2" s="2596"/>
      <c r="F2" s="2596"/>
      <c r="G2" s="2596"/>
      <c r="H2" s="2596"/>
      <c r="I2" s="2596"/>
      <c r="J2" s="2596"/>
      <c r="K2" s="2596"/>
      <c r="L2" s="1145"/>
      <c r="M2" s="1146"/>
    </row>
    <row r="3" spans="1:13" ht="10.35" customHeight="1" x14ac:dyDescent="0.2">
      <c r="B3" s="2617" t="s">
        <v>1274</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1285</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v>1</v>
      </c>
      <c r="E10" s="300"/>
      <c r="F10" s="1156" t="s">
        <v>1284</v>
      </c>
      <c r="G10" s="1157"/>
      <c r="H10" s="1158" t="s">
        <v>1283</v>
      </c>
      <c r="I10" s="1157" t="s">
        <v>2048</v>
      </c>
      <c r="J10" s="1159" t="s">
        <v>1282</v>
      </c>
      <c r="K10" s="300"/>
      <c r="L10" s="1151"/>
    </row>
    <row r="11" spans="1:13" ht="13.5" customHeight="1" x14ac:dyDescent="0.2">
      <c r="B11" s="300"/>
      <c r="C11" s="300"/>
      <c r="D11" s="300"/>
      <c r="E11" s="300"/>
      <c r="F11" s="300"/>
      <c r="G11" s="1153"/>
      <c r="H11" s="300"/>
      <c r="I11" s="1160" t="s">
        <v>1281</v>
      </c>
      <c r="J11" s="300"/>
      <c r="K11" s="1161">
        <v>2010</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6" t="s">
        <v>2120</v>
      </c>
      <c r="C14" s="2616"/>
      <c r="D14" s="2616"/>
      <c r="E14" s="2616"/>
      <c r="F14" s="2616"/>
      <c r="G14" s="2616"/>
      <c r="H14" s="2616"/>
      <c r="I14" s="2616"/>
      <c r="J14" s="2616"/>
      <c r="K14" s="26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6" t="s">
        <v>2120</v>
      </c>
      <c r="C17" s="2616"/>
      <c r="D17" s="2616"/>
      <c r="E17" s="2616"/>
      <c r="F17" s="2616"/>
      <c r="G17" s="2616"/>
      <c r="H17" s="2616"/>
      <c r="I17" s="2616"/>
      <c r="J17" s="2616"/>
      <c r="K17" s="2616"/>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20" t="s">
        <v>2121</v>
      </c>
      <c r="C20" s="2620"/>
      <c r="D20" s="2616"/>
      <c r="E20" s="2616"/>
      <c r="F20" s="2616"/>
      <c r="G20" s="2616"/>
      <c r="H20" s="2616"/>
      <c r="I20" s="2616"/>
      <c r="J20" s="2616"/>
      <c r="K20" s="261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6" t="s">
        <v>2122</v>
      </c>
      <c r="C23" s="2616"/>
      <c r="D23" s="2616"/>
      <c r="E23" s="2616"/>
      <c r="F23" s="2616"/>
      <c r="G23" s="2616"/>
      <c r="H23" s="2616"/>
      <c r="I23" s="2616"/>
      <c r="J23" s="2616"/>
      <c r="K23" s="261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6" t="s">
        <v>2123</v>
      </c>
      <c r="C26" s="2616"/>
      <c r="D26" s="2616"/>
      <c r="E26" s="2616"/>
      <c r="F26" s="2616"/>
      <c r="G26" s="2616"/>
      <c r="H26" s="2616"/>
      <c r="I26" s="2616"/>
      <c r="J26" s="2616"/>
      <c r="K26" s="261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5" t="s">
        <v>2124</v>
      </c>
      <c r="C29" s="2615"/>
      <c r="D29" s="2616"/>
      <c r="E29" s="2616"/>
      <c r="F29" s="2616"/>
      <c r="G29" s="2616"/>
      <c r="H29" s="2616"/>
      <c r="I29" s="2616"/>
      <c r="J29" s="2616"/>
      <c r="K29" s="26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5" t="s">
        <v>2125</v>
      </c>
      <c r="C32" s="2615"/>
      <c r="D32" s="2616"/>
      <c r="E32" s="2616"/>
      <c r="F32" s="2616"/>
      <c r="G32" s="2616"/>
      <c r="H32" s="2616"/>
      <c r="I32" s="2616"/>
      <c r="J32" s="2616"/>
      <c r="K32" s="26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Red Hill CUSD 10</v>
      </c>
      <c r="C1" s="2621"/>
      <c r="D1" s="2621"/>
      <c r="E1" s="2621"/>
      <c r="F1" s="2621"/>
      <c r="G1" s="2621"/>
      <c r="H1" s="2621"/>
      <c r="I1" s="2621"/>
      <c r="J1" s="2621"/>
      <c r="K1" s="2621"/>
      <c r="L1" s="1221"/>
    </row>
    <row r="2" spans="1:12" ht="12.75" customHeight="1" x14ac:dyDescent="0.2">
      <c r="B2" s="2622">
        <f>'Single Audit Cover'!E7</f>
        <v>12051010026</v>
      </c>
      <c r="C2" s="2622"/>
      <c r="D2" s="2622"/>
      <c r="E2" s="2622"/>
      <c r="F2" s="2622"/>
      <c r="G2" s="2622"/>
      <c r="H2" s="2622"/>
      <c r="I2" s="2622"/>
      <c r="J2" s="2622"/>
      <c r="K2" s="2622"/>
      <c r="L2" s="1222"/>
    </row>
    <row r="3" spans="1:12" ht="12.75" customHeight="1" x14ac:dyDescent="0.2">
      <c r="B3" s="2617" t="s">
        <v>1274</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1159</v>
      </c>
      <c r="C5" s="1036"/>
      <c r="L5" s="300"/>
    </row>
    <row r="6" spans="1:12" ht="30.75" customHeight="1" x14ac:dyDescent="0.2">
      <c r="A6" s="300"/>
      <c r="B6" s="2623" t="s">
        <v>1297</v>
      </c>
      <c r="C6" s="2623"/>
      <c r="D6" s="2623"/>
      <c r="E6" s="2623"/>
      <c r="F6" s="2623"/>
      <c r="G6" s="2623"/>
      <c r="H6" s="2623"/>
      <c r="I6" s="2623"/>
      <c r="J6" s="2623"/>
      <c r="K6" s="2623"/>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26.25" customHeight="1" x14ac:dyDescent="0.2">
      <c r="B14" s="1156" t="s">
        <v>1293</v>
      </c>
      <c r="C14" s="1156"/>
      <c r="D14" s="2624"/>
      <c r="E14" s="2624"/>
      <c r="F14" s="2624"/>
      <c r="H14" s="1230" t="s">
        <v>1292</v>
      </c>
      <c r="I14" s="2625"/>
      <c r="J14" s="2625"/>
      <c r="K14" s="262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5"/>
      <c r="E16" s="2625"/>
      <c r="F16" s="2625"/>
      <c r="G16" s="2625"/>
      <c r="H16" s="2625"/>
      <c r="I16" s="2625"/>
      <c r="J16" s="2625"/>
      <c r="K16" s="2625"/>
      <c r="L16" s="300"/>
    </row>
    <row r="17" spans="2:12" ht="13.5" customHeight="1" x14ac:dyDescent="0.2">
      <c r="B17" s="1156" t="s">
        <v>1290</v>
      </c>
      <c r="C17" s="1156"/>
      <c r="D17" s="2626"/>
      <c r="E17" s="2626"/>
      <c r="F17" s="2626"/>
      <c r="G17" s="2626"/>
      <c r="H17" s="2626"/>
      <c r="I17" s="2626"/>
      <c r="J17" s="2626"/>
      <c r="K17" s="262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6"/>
      <c r="C20" s="2616"/>
      <c r="D20" s="2616"/>
      <c r="E20" s="2616"/>
      <c r="F20" s="2616"/>
      <c r="G20" s="2616"/>
      <c r="H20" s="2616"/>
      <c r="I20" s="2616"/>
      <c r="J20" s="2616"/>
      <c r="K20" s="26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6"/>
      <c r="C23" s="2616"/>
      <c r="D23" s="2616"/>
      <c r="E23" s="2616"/>
      <c r="F23" s="2616"/>
      <c r="G23" s="2616"/>
      <c r="H23" s="2616"/>
      <c r="I23" s="2616"/>
      <c r="J23" s="2616"/>
      <c r="K23" s="26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6"/>
      <c r="C26" s="2616"/>
      <c r="D26" s="2616"/>
      <c r="E26" s="2616"/>
      <c r="F26" s="2616"/>
      <c r="G26" s="2616"/>
      <c r="H26" s="2616"/>
      <c r="I26" s="2616"/>
      <c r="J26" s="2616"/>
      <c r="K26" s="26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6"/>
      <c r="C29" s="2616"/>
      <c r="D29" s="2616"/>
      <c r="E29" s="2616"/>
      <c r="F29" s="2616"/>
      <c r="G29" s="2616"/>
      <c r="H29" s="2616"/>
      <c r="I29" s="2616"/>
      <c r="J29" s="2616"/>
      <c r="K29" s="26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6"/>
      <c r="C32" s="2616"/>
      <c r="D32" s="2616"/>
      <c r="E32" s="2616"/>
      <c r="F32" s="2616"/>
      <c r="G32" s="2616"/>
      <c r="H32" s="2616"/>
      <c r="I32" s="2616"/>
      <c r="J32" s="2616"/>
      <c r="K32" s="26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6"/>
      <c r="C35" s="2616"/>
      <c r="D35" s="2616"/>
      <c r="E35" s="2616"/>
      <c r="F35" s="2616"/>
      <c r="G35" s="2616"/>
      <c r="H35" s="2616"/>
      <c r="I35" s="2616"/>
      <c r="J35" s="2616"/>
      <c r="K35" s="26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6"/>
      <c r="C38" s="2616"/>
      <c r="D38" s="2616"/>
      <c r="E38" s="2616"/>
      <c r="F38" s="2616"/>
      <c r="G38" s="2616"/>
      <c r="H38" s="2616"/>
      <c r="I38" s="2616"/>
      <c r="J38" s="2616"/>
      <c r="K38" s="26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6"/>
      <c r="C41" s="2616"/>
      <c r="D41" s="2616"/>
      <c r="E41" s="2616"/>
      <c r="F41" s="2616"/>
      <c r="G41" s="2616"/>
      <c r="H41" s="2616"/>
      <c r="I41" s="2616"/>
      <c r="J41" s="2616"/>
      <c r="K41" s="26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47</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51.28515625" style="295" customWidth="1"/>
    <col min="4" max="4" width="28.8554687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Red Hill CUSD 10</v>
      </c>
      <c r="C1" s="2594"/>
      <c r="D1" s="2594"/>
      <c r="E1" s="1240"/>
    </row>
    <row r="2" spans="2:5" s="1058" customFormat="1" ht="12.75" customHeight="1" x14ac:dyDescent="0.2">
      <c r="B2" s="2596">
        <f>'Single Audit Cover'!E7</f>
        <v>12051010026</v>
      </c>
      <c r="C2" s="2596"/>
      <c r="D2" s="2596"/>
      <c r="E2" s="1241"/>
    </row>
    <row r="3" spans="2:5" ht="12.75" customHeight="1" x14ac:dyDescent="0.2">
      <c r="B3" s="2617" t="s">
        <v>1740</v>
      </c>
      <c r="C3" s="2617"/>
      <c r="D3" s="2617"/>
      <c r="E3" s="1050"/>
    </row>
    <row r="4" spans="2:5" s="1058" customFormat="1" ht="12.75" customHeight="1" x14ac:dyDescent="0.2">
      <c r="B4" s="2627" t="str">
        <f>'Single Audit Cover'!A4</f>
        <v>Year Ending June 30, 2020</v>
      </c>
      <c r="C4" s="2627"/>
      <c r="D4" s="2627"/>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41.25" customHeight="1" x14ac:dyDescent="0.2">
      <c r="B7" s="2043" t="s">
        <v>2126</v>
      </c>
      <c r="C7" s="2041" t="s">
        <v>2127</v>
      </c>
      <c r="D7" s="2042" t="s">
        <v>2128</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66452115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1.8239100000000001E-2</v>
      </c>
      <c r="E10" s="333" t="s">
        <v>998</v>
      </c>
      <c r="F10" s="332">
        <v>4.8507999999999997E-3</v>
      </c>
      <c r="G10" s="333" t="s">
        <v>998</v>
      </c>
      <c r="H10" s="332">
        <v>1.9403000000000001E-3</v>
      </c>
      <c r="I10" s="333" t="s">
        <v>999</v>
      </c>
      <c r="J10" s="1424">
        <f>ROUND(D10+F10+H10,5)</f>
        <v>2.503E-2</v>
      </c>
      <c r="K10" s="217"/>
      <c r="L10" s="332">
        <v>4.8500000000000003E-4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8936429</v>
      </c>
      <c r="E16" s="1547"/>
      <c r="F16" s="1546">
        <f>SUM('Acct Summary 7-8'!C17,'Acct Summary 7-8'!D17,'Acct Summary 7-8'!F17)</f>
        <v>8328053</v>
      </c>
      <c r="G16" s="1547"/>
      <c r="H16" s="1546">
        <f>SUM(D16-F16)</f>
        <v>608376</v>
      </c>
      <c r="I16" s="1548"/>
      <c r="J16" s="1546">
        <f>SUM('Acct Summary 7-8'!C81,'Acct Summary 7-8'!D81,'Acct Summary 7-8'!F81,'Acct Summary 7-8'!I81)</f>
        <v>3941537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9170391.870000001</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50423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43" sqref="T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1396</v>
      </c>
      <c r="B3" s="2217"/>
      <c r="C3" s="2217"/>
      <c r="D3" s="2217"/>
      <c r="E3" s="2217"/>
      <c r="F3" s="2217"/>
      <c r="G3" s="2217"/>
      <c r="H3" s="2217"/>
      <c r="I3" s="2217"/>
      <c r="J3" s="2217"/>
      <c r="K3" s="2217"/>
      <c r="L3" s="2217"/>
      <c r="M3" s="2217"/>
      <c r="N3" s="2217"/>
      <c r="O3" s="2217"/>
      <c r="P3" s="2217"/>
      <c r="Q3" s="2217"/>
      <c r="R3" s="2217"/>
    </row>
    <row r="4" spans="1:18" x14ac:dyDescent="0.2">
      <c r="A4" s="2218" t="s">
        <v>1537</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Red Hill CUSD 10</v>
      </c>
      <c r="E7" s="368"/>
      <c r="G7" s="247"/>
      <c r="H7" s="364"/>
      <c r="I7" s="364"/>
      <c r="J7" s="364"/>
      <c r="K7" s="364"/>
      <c r="L7" s="307"/>
      <c r="M7" s="307"/>
      <c r="N7" s="307"/>
      <c r="O7" s="307"/>
      <c r="P7" s="307"/>
    </row>
    <row r="8" spans="1:18" ht="12.75" x14ac:dyDescent="0.2">
      <c r="A8" s="307"/>
      <c r="B8" s="307"/>
      <c r="C8" s="366" t="s">
        <v>1115</v>
      </c>
      <c r="D8" s="369">
        <f>COVER!A13</f>
        <v>12051010026</v>
      </c>
      <c r="E8" s="370"/>
      <c r="G8" s="307"/>
      <c r="H8" s="307"/>
      <c r="I8" s="307"/>
      <c r="J8" s="307"/>
      <c r="K8" s="307"/>
      <c r="L8" s="307"/>
      <c r="M8" s="307"/>
      <c r="N8" s="307"/>
      <c r="O8" s="307"/>
      <c r="P8" s="307"/>
    </row>
    <row r="9" spans="1:18" ht="12.75" x14ac:dyDescent="0.2">
      <c r="A9" s="307"/>
      <c r="B9" s="307"/>
      <c r="C9" s="366" t="s">
        <v>708</v>
      </c>
      <c r="D9" s="371" t="str">
        <f>COVER!A15</f>
        <v>Lawrence, Crawford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3941537</v>
      </c>
      <c r="I12" s="380"/>
      <c r="J12" s="380"/>
      <c r="K12" s="1559">
        <f>TRUNC((H12/H13*100000),5)/100000</f>
        <v>0.4410639865</v>
      </c>
      <c r="L12" s="381"/>
      <c r="M12" s="337" t="s">
        <v>1134</v>
      </c>
      <c r="N12" s="337"/>
      <c r="O12" s="1562">
        <v>0.35</v>
      </c>
      <c r="P12" s="213"/>
      <c r="Q12" s="213"/>
    </row>
    <row r="13" spans="1:18" s="382" customFormat="1" ht="12.75" x14ac:dyDescent="0.2">
      <c r="A13" s="213"/>
      <c r="B13" s="377"/>
      <c r="C13" s="2214" t="s">
        <v>1313</v>
      </c>
      <c r="D13" s="2215"/>
      <c r="E13" s="213"/>
      <c r="F13" s="383" t="s">
        <v>788</v>
      </c>
      <c r="G13" s="378"/>
      <c r="H13" s="1551">
        <f>SUM('Acct Summary 7-8'!C8+'Acct Summary 7-8'!D8+'Acct Summary 7-8'!F8+'Acct Summary 7-8'!I8)+H14</f>
        <v>8936429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8328053</v>
      </c>
      <c r="I17" s="380"/>
      <c r="J17" s="389"/>
      <c r="K17" s="1559">
        <f>TRUNC((H17/H18*100000),5)/100000</f>
        <v>0.93192179999999991</v>
      </c>
      <c r="L17" s="381"/>
      <c r="M17" s="390" t="s">
        <v>1161</v>
      </c>
      <c r="O17" s="1565" t="str">
        <f>IF(AND(O16="2", J20 &gt; 2),"1",IF(AND(O16 = "1", J20 &gt; 2),"2",IF(AND(O16="1", J20 &gt;1),"1","0")))</f>
        <v>0</v>
      </c>
      <c r="P17" s="213"/>
    </row>
    <row r="18" spans="1:18" s="382" customFormat="1" ht="11.25" x14ac:dyDescent="0.2">
      <c r="A18" s="213"/>
      <c r="B18" s="377"/>
      <c r="C18" s="2214" t="s">
        <v>1306</v>
      </c>
      <c r="D18" s="2215"/>
      <c r="E18" s="213"/>
      <c r="F18" s="391" t="s">
        <v>789</v>
      </c>
      <c r="G18" s="378"/>
      <c r="H18" s="1551">
        <f>SUM('Acct Summary 7-8'!C8+'Acct Summary 7-8'!D8+'Acct Summary 7-8'!F8+'Acct Summary 7-8'!I8)+H19</f>
        <v>8936429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11" t="s">
        <v>1395</v>
      </c>
      <c r="D24" s="2211"/>
      <c r="E24" s="213"/>
      <c r="F24" s="213" t="s">
        <v>442</v>
      </c>
      <c r="G24" s="378"/>
      <c r="H24" s="1551">
        <f>SUM('Assets-Liab 5-6'!C4+'Assets-Liab 5-6'!D4+'Assets-Liab 5-6'!F4+'Assets-Liab 5-6'!I4+'Assets-Liab 5-6'!C5+'Assets-Liab 5-6'!D5+'Assets-Liab 5-6'!F5+'Assets-Liab 5-6'!I5)</f>
        <v>3886093</v>
      </c>
      <c r="I24" s="394"/>
      <c r="J24" s="394"/>
      <c r="K24" s="1555">
        <f>TRUNC(((H24/H25*100000)/100000),2)</f>
        <v>167.98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23133.48056</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1413801.9726799999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50423</v>
      </c>
      <c r="I32" s="392"/>
      <c r="J32" s="392"/>
      <c r="K32" s="1555">
        <f>TRUNC(100-((((H32/H33*100))*100)/100),2)</f>
        <v>99.45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9170391.870000001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A2"/>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1632</v>
      </c>
      <c r="B4" s="428"/>
      <c r="C4" s="1572">
        <v>2439929</v>
      </c>
      <c r="D4" s="1573">
        <v>460533</v>
      </c>
      <c r="E4" s="1573"/>
      <c r="F4" s="1573">
        <v>672013</v>
      </c>
      <c r="G4" s="1573">
        <v>248904</v>
      </c>
      <c r="H4" s="1573">
        <v>518767</v>
      </c>
      <c r="I4" s="1573">
        <v>112635</v>
      </c>
      <c r="J4" s="1574">
        <v>103626</v>
      </c>
      <c r="K4" s="1573">
        <v>106664</v>
      </c>
      <c r="L4" s="1573">
        <v>194683</v>
      </c>
      <c r="M4" s="1575"/>
      <c r="N4" s="1576"/>
    </row>
    <row r="5" spans="1:14" x14ac:dyDescent="0.2">
      <c r="A5" s="427" t="s">
        <v>985</v>
      </c>
      <c r="B5" s="429">
        <v>120</v>
      </c>
      <c r="C5" s="1572"/>
      <c r="D5" s="1573"/>
      <c r="E5" s="1573"/>
      <c r="F5" s="1573"/>
      <c r="G5" s="1573"/>
      <c r="H5" s="1573"/>
      <c r="I5" s="1573">
        <v>200983</v>
      </c>
      <c r="J5" s="1574">
        <v>271743</v>
      </c>
      <c r="K5" s="1577">
        <v>112720</v>
      </c>
      <c r="L5" s="1578">
        <v>15938</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55444</v>
      </c>
      <c r="D12" s="1573"/>
      <c r="E12" s="1573"/>
      <c r="F12" s="1573"/>
      <c r="G12" s="1573"/>
      <c r="H12" s="1573"/>
      <c r="I12" s="1573"/>
      <c r="J12" s="1574"/>
      <c r="K12" s="1573"/>
      <c r="L12" s="1573"/>
      <c r="M12" s="1576"/>
      <c r="N12" s="1576"/>
    </row>
    <row r="13" spans="1:14" ht="13.5" customHeight="1" thickBot="1" x14ac:dyDescent="0.25">
      <c r="A13" s="1426" t="s">
        <v>639</v>
      </c>
      <c r="B13" s="1407"/>
      <c r="C13" s="1587">
        <f>SUM(C4:C12)</f>
        <v>2495373</v>
      </c>
      <c r="D13" s="1587">
        <f t="shared" ref="D13:L13" si="0">SUM(D4:D12)</f>
        <v>460533</v>
      </c>
      <c r="E13" s="1587">
        <f t="shared" si="0"/>
        <v>0</v>
      </c>
      <c r="F13" s="1587">
        <f t="shared" si="0"/>
        <v>672013</v>
      </c>
      <c r="G13" s="1587">
        <f t="shared" si="0"/>
        <v>248904</v>
      </c>
      <c r="H13" s="1587">
        <f t="shared" si="0"/>
        <v>518767</v>
      </c>
      <c r="I13" s="1587">
        <f t="shared" si="0"/>
        <v>313618</v>
      </c>
      <c r="J13" s="1587">
        <f t="shared" si="0"/>
        <v>375369</v>
      </c>
      <c r="K13" s="1587">
        <f t="shared" si="0"/>
        <v>219384</v>
      </c>
      <c r="L13" s="1587">
        <f t="shared" si="0"/>
        <v>210621</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374272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22263321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1196728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1293003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6675</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50423</v>
      </c>
    </row>
    <row r="23" spans="1:14" ht="13.5" customHeight="1" thickBot="1" x14ac:dyDescent="0.25">
      <c r="A23" s="1426" t="s">
        <v>638</v>
      </c>
      <c r="B23" s="1429"/>
      <c r="C23" s="1575"/>
      <c r="D23" s="1575"/>
      <c r="E23" s="1575"/>
      <c r="F23" s="1575"/>
      <c r="G23" s="1575"/>
      <c r="H23" s="1575"/>
      <c r="I23" s="1575"/>
      <c r="J23" s="1575"/>
      <c r="K23" s="1575"/>
      <c r="L23" s="1575"/>
      <c r="M23" s="1594">
        <f>SUM(M15:M22)</f>
        <v>25133999</v>
      </c>
      <c r="N23" s="1594">
        <f>SUM(N21:N22)</f>
        <v>50423</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7" t="s">
        <v>526</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50423</v>
      </c>
    </row>
    <row r="37" spans="1:14" ht="13.5" thickBot="1" x14ac:dyDescent="0.25">
      <c r="A37" s="1426" t="s">
        <v>648</v>
      </c>
      <c r="B37" s="1429"/>
      <c r="C37" s="1582"/>
      <c r="D37" s="1582"/>
      <c r="E37" s="1582"/>
      <c r="F37" s="1582"/>
      <c r="G37" s="1582"/>
      <c r="H37" s="1582"/>
      <c r="I37" s="1582"/>
      <c r="J37" s="1582"/>
      <c r="K37" s="1582"/>
      <c r="L37" s="1585"/>
      <c r="M37" s="1575"/>
      <c r="N37" s="1594">
        <f>SUM(N36:N36)</f>
        <v>50423</v>
      </c>
    </row>
    <row r="38" spans="1:14" s="307" customFormat="1" ht="13.5" customHeight="1" thickTop="1" x14ac:dyDescent="0.2">
      <c r="A38" s="438" t="s">
        <v>417</v>
      </c>
      <c r="B38" s="432">
        <v>714</v>
      </c>
      <c r="C38" s="1573">
        <v>24052</v>
      </c>
      <c r="D38" s="1573"/>
      <c r="E38" s="1573"/>
      <c r="F38" s="1573"/>
      <c r="G38" s="1573">
        <v>274120</v>
      </c>
      <c r="H38" s="1573">
        <v>176315</v>
      </c>
      <c r="I38" s="1573"/>
      <c r="J38" s="1574"/>
      <c r="K38" s="1573"/>
      <c r="L38" s="1586"/>
      <c r="M38" s="1604"/>
      <c r="N38" s="1604"/>
    </row>
    <row r="39" spans="1:14" s="307" customFormat="1" ht="13.5" customHeight="1" x14ac:dyDescent="0.2">
      <c r="A39" s="438" t="s">
        <v>339</v>
      </c>
      <c r="B39" s="432">
        <v>730</v>
      </c>
      <c r="C39" s="1573">
        <v>2471321</v>
      </c>
      <c r="D39" s="1573">
        <v>460533</v>
      </c>
      <c r="E39" s="1573"/>
      <c r="F39" s="1573">
        <v>672013</v>
      </c>
      <c r="G39" s="1573">
        <v>-25216</v>
      </c>
      <c r="H39" s="1573">
        <v>342452</v>
      </c>
      <c r="I39" s="1573">
        <v>313618</v>
      </c>
      <c r="J39" s="1574">
        <v>375369</v>
      </c>
      <c r="K39" s="1573">
        <v>219384</v>
      </c>
      <c r="L39" s="1573">
        <v>210621</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25133999</v>
      </c>
      <c r="N40" s="1604"/>
    </row>
    <row r="41" spans="1:14" ht="13.5" customHeight="1" thickBot="1" x14ac:dyDescent="0.25">
      <c r="A41" s="1426" t="s">
        <v>650</v>
      </c>
      <c r="B41" s="1405"/>
      <c r="C41" s="1594">
        <f>(SUM(C34,C37,C38,C39))</f>
        <v>2495373</v>
      </c>
      <c r="D41" s="1594">
        <f t="shared" ref="D41:L41" si="2">SUM(D34,D37,D38:D39)</f>
        <v>460533</v>
      </c>
      <c r="E41" s="1594">
        <f t="shared" si="2"/>
        <v>0</v>
      </c>
      <c r="F41" s="1594">
        <f t="shared" si="2"/>
        <v>672013</v>
      </c>
      <c r="G41" s="1594">
        <f t="shared" si="2"/>
        <v>248904</v>
      </c>
      <c r="H41" s="1594">
        <f t="shared" si="2"/>
        <v>518767</v>
      </c>
      <c r="I41" s="1594">
        <f t="shared" si="2"/>
        <v>313618</v>
      </c>
      <c r="J41" s="1594">
        <f t="shared" si="2"/>
        <v>375369</v>
      </c>
      <c r="K41" s="1594">
        <f t="shared" si="2"/>
        <v>219384</v>
      </c>
      <c r="L41" s="1594">
        <f t="shared" si="2"/>
        <v>210621</v>
      </c>
      <c r="M41" s="1594">
        <f>SUM(M40)</f>
        <v>25133999</v>
      </c>
      <c r="N41" s="1594">
        <f>SUM(N37)</f>
        <v>50423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sqref="A1:A2"/>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1165</v>
      </c>
      <c r="B3" s="2250"/>
      <c r="C3" s="1311"/>
      <c r="D3" s="1312"/>
      <c r="E3" s="1312"/>
      <c r="F3" s="1312"/>
      <c r="G3" s="1312"/>
      <c r="H3" s="1312"/>
      <c r="I3" s="1312"/>
      <c r="J3" s="1312"/>
      <c r="K3" s="1313"/>
      <c r="L3" s="446"/>
    </row>
    <row r="4" spans="1:13" ht="15.75" customHeight="1" x14ac:dyDescent="0.2">
      <c r="A4" s="1537" t="s">
        <v>1482</v>
      </c>
      <c r="B4" s="1538">
        <v>1000</v>
      </c>
      <c r="C4" s="1606">
        <f>'Revenues 9-14'!C109</f>
        <v>1372303</v>
      </c>
      <c r="D4" s="1606">
        <f>'Revenues 9-14'!D109</f>
        <v>364544</v>
      </c>
      <c r="E4" s="1606">
        <f>'Revenues 9-14'!E109</f>
        <v>0</v>
      </c>
      <c r="F4" s="1606">
        <f>'Revenues 9-14'!F109</f>
        <v>135305</v>
      </c>
      <c r="G4" s="1606">
        <f>'Revenues 9-14'!G109</f>
        <v>315677</v>
      </c>
      <c r="H4" s="1606">
        <f>'Revenues 9-14'!H109</f>
        <v>401730</v>
      </c>
      <c r="I4" s="1606">
        <f>'Revenues 9-14'!I109</f>
        <v>33389</v>
      </c>
      <c r="J4" s="1606">
        <f>'Revenues 9-14'!J109</f>
        <v>255185</v>
      </c>
      <c r="K4" s="1606">
        <f>'Revenues 9-14'!K109</f>
        <v>32009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4905425</v>
      </c>
      <c r="D6" s="1607">
        <f>'Revenues 9-14'!D170</f>
        <v>500000</v>
      </c>
      <c r="E6" s="1607">
        <f>'Revenues 9-14'!E170</f>
        <v>0</v>
      </c>
      <c r="F6" s="1607">
        <f>'Revenues 9-14'!F170</f>
        <v>650608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974855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7252583</v>
      </c>
      <c r="D8" s="1594">
        <f t="shared" ref="D8:K8" si="0">SUM(D4:D7)</f>
        <v>864544</v>
      </c>
      <c r="E8" s="1594">
        <f t="shared" si="0"/>
        <v>0</v>
      </c>
      <c r="F8" s="1594">
        <f t="shared" si="0"/>
        <v>785913</v>
      </c>
      <c r="G8" s="1594">
        <f t="shared" si="0"/>
        <v>315677</v>
      </c>
      <c r="H8" s="1594">
        <f t="shared" si="0"/>
        <v>401730</v>
      </c>
      <c r="I8" s="1594">
        <f t="shared" si="0"/>
        <v>33389</v>
      </c>
      <c r="J8" s="1594">
        <f t="shared" si="0"/>
        <v>255185</v>
      </c>
      <c r="K8" s="1594">
        <f t="shared" si="0"/>
        <v>32009</v>
      </c>
      <c r="L8" s="325"/>
    </row>
    <row r="9" spans="1:13" ht="15.75" thickTop="1" x14ac:dyDescent="0.2">
      <c r="A9" s="449" t="s">
        <v>1634</v>
      </c>
      <c r="B9" s="450">
        <v>3998</v>
      </c>
      <c r="C9" s="1586">
        <v>2874535</v>
      </c>
      <c r="D9" s="1613"/>
      <c r="E9" s="1586"/>
      <c r="F9" s="1586"/>
      <c r="G9" s="1614"/>
      <c r="H9" s="1586"/>
      <c r="I9" s="1609" t="s">
        <v>1159</v>
      </c>
      <c r="J9" s="1583"/>
      <c r="K9" s="1586"/>
      <c r="L9" s="325"/>
    </row>
    <row r="10" spans="1:13" s="452" customFormat="1" ht="13.5" thickBot="1" x14ac:dyDescent="0.25">
      <c r="A10" s="1426" t="s">
        <v>1163</v>
      </c>
      <c r="B10" s="1407"/>
      <c r="C10" s="1594">
        <f>SUM(C8:C9)</f>
        <v>10127118</v>
      </c>
      <c r="D10" s="1594">
        <f t="shared" ref="D10:K10" si="1">SUM(D8:D9)</f>
        <v>864544</v>
      </c>
      <c r="E10" s="1594">
        <f t="shared" si="1"/>
        <v>0</v>
      </c>
      <c r="F10" s="1594">
        <f t="shared" si="1"/>
        <v>785913</v>
      </c>
      <c r="G10" s="1594">
        <f t="shared" si="1"/>
        <v>315677</v>
      </c>
      <c r="H10" s="1594">
        <f t="shared" si="1"/>
        <v>401730</v>
      </c>
      <c r="I10" s="1594">
        <f t="shared" si="1"/>
        <v>33389</v>
      </c>
      <c r="J10" s="1594">
        <f t="shared" si="1"/>
        <v>255185</v>
      </c>
      <c r="K10" s="1594">
        <f t="shared" si="1"/>
        <v>32009</v>
      </c>
      <c r="L10" s="451"/>
    </row>
    <row r="11" spans="1:13" s="452" customFormat="1" ht="16.7" customHeight="1" thickTop="1" x14ac:dyDescent="0.2">
      <c r="A11" s="2223" t="s">
        <v>1166</v>
      </c>
      <c r="B11" s="2224"/>
      <c r="C11" s="1602"/>
      <c r="D11" s="1603"/>
      <c r="E11" s="1603"/>
      <c r="F11" s="1603"/>
      <c r="G11" s="1603"/>
      <c r="H11" s="1603"/>
      <c r="I11" s="1603"/>
      <c r="J11" s="1603"/>
      <c r="K11" s="1615"/>
      <c r="L11" s="451"/>
    </row>
    <row r="12" spans="1:13" ht="15.75" customHeight="1" x14ac:dyDescent="0.2">
      <c r="A12" s="1314" t="s">
        <v>453</v>
      </c>
      <c r="B12" s="1316">
        <v>1000</v>
      </c>
      <c r="C12" s="1606">
        <f>'Expenditures 15-22'!K33</f>
        <v>4191628</v>
      </c>
      <c r="D12" s="1616" t="s">
        <v>1159</v>
      </c>
      <c r="E12" s="1575" t="s">
        <v>1159</v>
      </c>
      <c r="F12" s="1575" t="s">
        <v>1159</v>
      </c>
      <c r="G12" s="1606">
        <f>'Expenditures 15-22'!K229</f>
        <v>107522</v>
      </c>
      <c r="H12" s="1617"/>
      <c r="I12" s="1575" t="s">
        <v>1159</v>
      </c>
      <c r="J12" s="1575" t="s">
        <v>1159</v>
      </c>
      <c r="K12" s="1617" t="s">
        <v>1159</v>
      </c>
      <c r="L12" s="325"/>
    </row>
    <row r="13" spans="1:13" ht="15.75" customHeight="1" x14ac:dyDescent="0.2">
      <c r="A13" s="1314" t="s">
        <v>454</v>
      </c>
      <c r="B13" s="1316">
        <v>2000</v>
      </c>
      <c r="C13" s="1607">
        <f>'Expenditures 15-22'!K74</f>
        <v>1936785</v>
      </c>
      <c r="D13" s="1607">
        <f>'Expenditures 15-22'!K129</f>
        <v>765184</v>
      </c>
      <c r="E13" s="1576" t="s">
        <v>1159</v>
      </c>
      <c r="F13" s="1607">
        <f>'Expenditures 15-22'!K184</f>
        <v>767095</v>
      </c>
      <c r="G13" s="1607">
        <f>'Expenditures 15-22'!K279</f>
        <v>233439</v>
      </c>
      <c r="H13" s="1607">
        <f>'Expenditures 15-22'!K303</f>
        <v>174255</v>
      </c>
      <c r="I13" s="1575" t="s">
        <v>1159</v>
      </c>
      <c r="J13" s="1607">
        <f>'Expenditures 15-22'!K330</f>
        <v>315867</v>
      </c>
      <c r="K13" s="1618">
        <f>'Expenditures 15-22'!K352</f>
        <v>2235</v>
      </c>
      <c r="L13" s="325"/>
    </row>
    <row r="14" spans="1:13" ht="15.75" customHeight="1" x14ac:dyDescent="0.2">
      <c r="A14" s="1314" t="s">
        <v>446</v>
      </c>
      <c r="B14" s="1316">
        <v>3000</v>
      </c>
      <c r="C14" s="1607">
        <f>'Expenditures 15-22'!K75</f>
        <v>17716</v>
      </c>
      <c r="D14" s="1607">
        <f>'Expenditures 15-22'!K130</f>
        <v>0</v>
      </c>
      <c r="E14" s="1616" t="s">
        <v>1159</v>
      </c>
      <c r="F14" s="1607">
        <f>'Expenditures 15-22'!K185</f>
        <v>0</v>
      </c>
      <c r="G14" s="1607">
        <f>'Expenditures 15-22'!K280</f>
        <v>1012</v>
      </c>
      <c r="H14" s="1612"/>
      <c r="I14" s="1575" t="s">
        <v>1159</v>
      </c>
      <c r="J14" s="1575" t="s">
        <v>1159</v>
      </c>
      <c r="K14" s="1612" t="s">
        <v>1159</v>
      </c>
      <c r="L14" s="325"/>
    </row>
    <row r="15" spans="1:13" ht="15.75" customHeight="1" x14ac:dyDescent="0.2">
      <c r="A15" s="1314" t="s">
        <v>107</v>
      </c>
      <c r="B15" s="1316">
        <v>4000</v>
      </c>
      <c r="C15" s="1607">
        <f>'Expenditures 15-22'!K102</f>
        <v>649645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6795774</v>
      </c>
      <c r="D17" s="1594">
        <f t="shared" si="2"/>
        <v>765184</v>
      </c>
      <c r="E17" s="1594">
        <f t="shared" si="2"/>
        <v>0</v>
      </c>
      <c r="F17" s="1594">
        <f t="shared" si="2"/>
        <v>767095</v>
      </c>
      <c r="G17" s="1594">
        <f t="shared" si="2"/>
        <v>341973</v>
      </c>
      <c r="H17" s="1594">
        <f t="shared" si="2"/>
        <v>174255</v>
      </c>
      <c r="I17" s="1575"/>
      <c r="J17" s="1594">
        <f>SUM(J12:J16)</f>
        <v>315867</v>
      </c>
      <c r="K17" s="1594">
        <f>SUM(K12:K16)</f>
        <v>2235</v>
      </c>
      <c r="L17" s="325"/>
    </row>
    <row r="18" spans="1:12" ht="15" customHeight="1" thickTop="1" x14ac:dyDescent="0.2">
      <c r="A18" s="1430" t="s">
        <v>1635</v>
      </c>
      <c r="B18" s="1431">
        <v>4180</v>
      </c>
      <c r="C18" s="1606">
        <f t="shared" ref="C18:H18" si="3">C9</f>
        <v>2874535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9670309</v>
      </c>
      <c r="D19" s="1594">
        <f t="shared" si="4"/>
        <v>765184</v>
      </c>
      <c r="E19" s="1594">
        <f t="shared" si="4"/>
        <v>0</v>
      </c>
      <c r="F19" s="1594">
        <f t="shared" si="4"/>
        <v>767095</v>
      </c>
      <c r="G19" s="1594">
        <f t="shared" si="4"/>
        <v>341973</v>
      </c>
      <c r="H19" s="1594">
        <f t="shared" si="4"/>
        <v>174255</v>
      </c>
      <c r="I19" s="1575"/>
      <c r="J19" s="1594">
        <f>SUM(J17:J18)</f>
        <v>315867</v>
      </c>
      <c r="K19" s="1594">
        <f>SUM(K17:K18)</f>
        <v>2235</v>
      </c>
      <c r="L19" s="325"/>
    </row>
    <row r="20" spans="1:12" ht="16.5" thickTop="1" thickBot="1" x14ac:dyDescent="0.25">
      <c r="A20" s="2239" t="s">
        <v>1636</v>
      </c>
      <c r="B20" s="2240"/>
      <c r="C20" s="1622">
        <f>C8-C17</f>
        <v>456809</v>
      </c>
      <c r="D20" s="1622">
        <f t="shared" ref="D20:K20" si="5">D8-D17</f>
        <v>99360</v>
      </c>
      <c r="E20" s="1622">
        <f t="shared" si="5"/>
        <v>0</v>
      </c>
      <c r="F20" s="1622">
        <f t="shared" si="5"/>
        <v>18818</v>
      </c>
      <c r="G20" s="1622">
        <f t="shared" si="5"/>
        <v>-26296</v>
      </c>
      <c r="H20" s="1622">
        <f t="shared" si="5"/>
        <v>227475</v>
      </c>
      <c r="I20" s="1622">
        <f t="shared" si="5"/>
        <v>33389</v>
      </c>
      <c r="J20" s="1622">
        <f t="shared" si="5"/>
        <v>-60682</v>
      </c>
      <c r="K20" s="1622">
        <f t="shared" si="5"/>
        <v>29774</v>
      </c>
      <c r="L20" s="325"/>
    </row>
    <row r="21" spans="1:12" ht="16.7" customHeight="1" thickTop="1" x14ac:dyDescent="0.2">
      <c r="A21" s="2251" t="s">
        <v>591</v>
      </c>
      <c r="B21" s="2252"/>
      <c r="C21" s="1602"/>
      <c r="D21" s="1603"/>
      <c r="E21" s="1603"/>
      <c r="F21" s="1603"/>
      <c r="G21" s="1603"/>
      <c r="H21" s="1603"/>
      <c r="I21" s="1603"/>
      <c r="J21" s="1603"/>
      <c r="K21" s="1615"/>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v>54456</v>
      </c>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v>7500</v>
      </c>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3" t="s">
        <v>371</v>
      </c>
      <c r="B44" s="2254"/>
      <c r="C44" s="1624">
        <f>SUM(C24:C43)</f>
        <v>0</v>
      </c>
      <c r="D44" s="1624">
        <f t="shared" ref="D44:K44" si="6">SUM(D24:D43)</f>
        <v>0</v>
      </c>
      <c r="E44" s="1624">
        <f t="shared" si="6"/>
        <v>0</v>
      </c>
      <c r="F44" s="1624">
        <f t="shared" si="6"/>
        <v>7500</v>
      </c>
      <c r="G44" s="1624">
        <f t="shared" si="6"/>
        <v>0</v>
      </c>
      <c r="H44" s="1624">
        <f t="shared" si="6"/>
        <v>54456</v>
      </c>
      <c r="I44" s="1624">
        <f t="shared" si="6"/>
        <v>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v>54456</v>
      </c>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9" t="s">
        <v>437</v>
      </c>
      <c r="B76" s="2230"/>
      <c r="C76" s="1624">
        <f t="shared" ref="C76:K76" si="7">SUM(C47:C75)</f>
        <v>0</v>
      </c>
      <c r="D76" s="1624">
        <f t="shared" si="7"/>
        <v>0</v>
      </c>
      <c r="E76" s="1624">
        <f t="shared" si="7"/>
        <v>54456</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1" t="s">
        <v>1167</v>
      </c>
      <c r="B77" s="2232"/>
      <c r="C77" s="1624">
        <f t="shared" ref="C77:K77" si="8">C44-C76</f>
        <v>0</v>
      </c>
      <c r="D77" s="1624">
        <f t="shared" si="8"/>
        <v>0</v>
      </c>
      <c r="E77" s="1624">
        <f t="shared" si="8"/>
        <v>-54456</v>
      </c>
      <c r="F77" s="1624">
        <f t="shared" si="8"/>
        <v>7500</v>
      </c>
      <c r="G77" s="1624">
        <f t="shared" si="8"/>
        <v>0</v>
      </c>
      <c r="H77" s="1624">
        <f t="shared" si="8"/>
        <v>54456</v>
      </c>
      <c r="I77" s="1624">
        <f t="shared" si="8"/>
        <v>0</v>
      </c>
      <c r="J77" s="1624">
        <f t="shared" si="8"/>
        <v>0</v>
      </c>
      <c r="K77" s="1624">
        <f t="shared" si="8"/>
        <v>0</v>
      </c>
      <c r="L77" s="325"/>
    </row>
    <row r="78" spans="1:12" ht="21.75" customHeight="1" thickTop="1" thickBot="1" x14ac:dyDescent="0.25">
      <c r="A78" s="2235" t="s">
        <v>593</v>
      </c>
      <c r="B78" s="2236"/>
      <c r="C78" s="1629">
        <f t="shared" ref="C78:K78" si="9">C20+C77</f>
        <v>456809</v>
      </c>
      <c r="D78" s="1629">
        <f t="shared" si="9"/>
        <v>99360</v>
      </c>
      <c r="E78" s="1629">
        <f t="shared" si="9"/>
        <v>-54456</v>
      </c>
      <c r="F78" s="1629">
        <f t="shared" si="9"/>
        <v>26318</v>
      </c>
      <c r="G78" s="1629">
        <f t="shared" si="9"/>
        <v>-26296</v>
      </c>
      <c r="H78" s="1629">
        <f t="shared" si="9"/>
        <v>281931</v>
      </c>
      <c r="I78" s="1629">
        <f t="shared" si="9"/>
        <v>33389</v>
      </c>
      <c r="J78" s="1629">
        <f t="shared" si="9"/>
        <v>-60682</v>
      </c>
      <c r="K78" s="1629">
        <f t="shared" si="9"/>
        <v>29774</v>
      </c>
      <c r="L78" s="457"/>
    </row>
    <row r="79" spans="1:12" ht="13.5" thickTop="1" x14ac:dyDescent="0.2">
      <c r="A79" s="1844" t="str">
        <f>"Fund Balances - July 1, "&amp;'AFR20'!E2-1</f>
        <v>Fund Balances - July 1, 2019</v>
      </c>
      <c r="B79" s="458"/>
      <c r="C79" s="1583">
        <v>2038564</v>
      </c>
      <c r="D79" s="1630">
        <v>361173</v>
      </c>
      <c r="E79" s="1630">
        <v>54456</v>
      </c>
      <c r="F79" s="1630">
        <v>645695</v>
      </c>
      <c r="G79" s="1630">
        <v>275200</v>
      </c>
      <c r="H79" s="1630">
        <v>236836</v>
      </c>
      <c r="I79" s="1630">
        <v>280229</v>
      </c>
      <c r="J79" s="1630">
        <v>436051</v>
      </c>
      <c r="K79" s="1630">
        <v>189610</v>
      </c>
      <c r="L79" s="325"/>
    </row>
    <row r="80" spans="1:12" x14ac:dyDescent="0.2">
      <c r="A80" s="2241" t="s">
        <v>1769</v>
      </c>
      <c r="B80" s="2242"/>
      <c r="C80" s="1574"/>
      <c r="D80" s="1574"/>
      <c r="E80" s="1574"/>
      <c r="F80" s="1574"/>
      <c r="G80" s="1574"/>
      <c r="H80" s="1574"/>
      <c r="I80" s="1574"/>
      <c r="J80" s="1574"/>
      <c r="K80" s="1574"/>
      <c r="L80" s="325"/>
    </row>
    <row r="81" spans="1:12" ht="13.5" thickBot="1" x14ac:dyDescent="0.25">
      <c r="A81" s="2233" t="str">
        <f>"Fund Balances - June 30, "&amp;'AFR20'!E2</f>
        <v>Fund Balances - June 30, 2020</v>
      </c>
      <c r="B81" s="2234"/>
      <c r="C81" s="1594">
        <f>(SUM(C78:C80))</f>
        <v>2495373</v>
      </c>
      <c r="D81" s="1594">
        <f>SUM(D78:D80)</f>
        <v>460533</v>
      </c>
      <c r="E81" s="1594">
        <f t="shared" ref="E81:K81" si="10">SUM(E78:E80)</f>
        <v>0</v>
      </c>
      <c r="F81" s="1594">
        <f t="shared" si="10"/>
        <v>672013</v>
      </c>
      <c r="G81" s="1594">
        <f t="shared" si="10"/>
        <v>248904</v>
      </c>
      <c r="H81" s="1594">
        <f t="shared" si="10"/>
        <v>518767</v>
      </c>
      <c r="I81" s="1594">
        <f t="shared" si="10"/>
        <v>313618</v>
      </c>
      <c r="J81" s="1594">
        <f t="shared" si="10"/>
        <v>375369</v>
      </c>
      <c r="K81" s="1594">
        <f t="shared" si="10"/>
        <v>219384</v>
      </c>
      <c r="L81" s="325"/>
    </row>
    <row r="82" spans="1:12" ht="0.75" customHeight="1" thickTop="1" thickBot="1" x14ac:dyDescent="0.25">
      <c r="A82" s="459" t="s">
        <v>340</v>
      </c>
      <c r="B82" s="460"/>
      <c r="C82" s="461">
        <f>(C81-C79)</f>
        <v>456809</v>
      </c>
      <c r="D82" s="461">
        <f t="shared" ref="D82:K82" si="11">(D81-D79)</f>
        <v>99360</v>
      </c>
      <c r="E82" s="461">
        <f t="shared" si="11"/>
        <v>-54456</v>
      </c>
      <c r="F82" s="461">
        <f t="shared" si="11"/>
        <v>26318</v>
      </c>
      <c r="G82" s="461">
        <f t="shared" si="11"/>
        <v>-26296</v>
      </c>
      <c r="H82" s="461">
        <f t="shared" si="11"/>
        <v>281931</v>
      </c>
      <c r="I82" s="461">
        <f t="shared" si="11"/>
        <v>33389</v>
      </c>
      <c r="J82" s="461">
        <f t="shared" si="11"/>
        <v>-60682</v>
      </c>
      <c r="K82" s="461">
        <f t="shared" si="11"/>
        <v>29774</v>
      </c>
    </row>
    <row r="83" spans="1:12" ht="14.25" hidden="1" thickTop="1" thickBot="1" x14ac:dyDescent="0.25">
      <c r="A83" s="462" t="s">
        <v>341</v>
      </c>
      <c r="B83" s="428"/>
      <c r="C83" s="463">
        <f>C82/C81</f>
        <v>0.18306241191196668</v>
      </c>
      <c r="D83" s="463">
        <f t="shared" ref="D83:K83" si="12">D82/D81</f>
        <v>0.21575001139983455</v>
      </c>
      <c r="E83" s="463" t="e">
        <f t="shared" si="12"/>
        <v>#DIV/0!</v>
      </c>
      <c r="F83" s="463">
        <f t="shared" si="12"/>
        <v>3.9162932859929792E-2</v>
      </c>
      <c r="G83" s="463">
        <f t="shared" si="12"/>
        <v>-0.10564715713688812</v>
      </c>
      <c r="H83" s="463">
        <f t="shared" si="12"/>
        <v>0.54346363589048652</v>
      </c>
      <c r="I83" s="463">
        <f t="shared" si="12"/>
        <v>0.10646391469877367</v>
      </c>
      <c r="J83" s="463">
        <f t="shared" si="12"/>
        <v>-0.16165959362653815</v>
      </c>
      <c r="K83" s="463">
        <f t="shared" si="12"/>
        <v>0.13571636947088211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6" activePane="bottomLeft" state="frozen"/>
      <selection sqref="A1:A2"/>
      <selection pane="bottomLeft" activeCell="C213" sqref="C2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1776</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1087689</v>
      </c>
      <c r="D5" s="1586">
        <v>289391</v>
      </c>
      <c r="E5" s="1573"/>
      <c r="F5" s="1631">
        <v>115753</v>
      </c>
      <c r="G5" s="1573">
        <v>187429</v>
      </c>
      <c r="H5" s="1573"/>
      <c r="I5" s="1573">
        <v>28934</v>
      </c>
      <c r="J5" s="1574">
        <v>245882</v>
      </c>
      <c r="K5" s="1573">
        <v>28934</v>
      </c>
    </row>
    <row r="6" spans="1:12" ht="15" x14ac:dyDescent="0.2">
      <c r="A6" s="427" t="s">
        <v>1643</v>
      </c>
      <c r="B6" s="429">
        <v>1130</v>
      </c>
      <c r="C6" s="1573">
        <v>28934</v>
      </c>
      <c r="D6" s="1573"/>
      <c r="E6" s="1580"/>
      <c r="F6" s="1580"/>
      <c r="G6" s="1575"/>
      <c r="H6" s="1575"/>
      <c r="I6" s="1575"/>
      <c r="J6" s="1575"/>
      <c r="K6" s="1575"/>
    </row>
    <row r="7" spans="1:12" x14ac:dyDescent="0.2">
      <c r="A7" s="427" t="s">
        <v>110</v>
      </c>
      <c r="B7" s="471">
        <v>1140</v>
      </c>
      <c r="C7" s="1573">
        <v>23148</v>
      </c>
      <c r="D7" s="1573"/>
      <c r="E7" s="1575"/>
      <c r="F7" s="1574"/>
      <c r="G7" s="1574"/>
      <c r="H7" s="1574"/>
      <c r="I7" s="1575"/>
      <c r="J7" s="1575"/>
      <c r="K7" s="1575"/>
    </row>
    <row r="8" spans="1:12" x14ac:dyDescent="0.2">
      <c r="A8" s="427" t="s">
        <v>410</v>
      </c>
      <c r="B8" s="429">
        <v>1150</v>
      </c>
      <c r="C8" s="1580"/>
      <c r="D8" s="1580"/>
      <c r="E8" s="1582"/>
      <c r="F8" s="1582"/>
      <c r="G8" s="1586">
        <v>111343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1139771</v>
      </c>
      <c r="D12" s="1633">
        <f t="shared" si="0"/>
        <v>289391</v>
      </c>
      <c r="E12" s="1633">
        <f t="shared" si="0"/>
        <v>0</v>
      </c>
      <c r="F12" s="1633">
        <f t="shared" si="0"/>
        <v>115753</v>
      </c>
      <c r="G12" s="1633">
        <f t="shared" si="0"/>
        <v>298772</v>
      </c>
      <c r="H12" s="1633">
        <f t="shared" si="0"/>
        <v>0</v>
      </c>
      <c r="I12" s="1633">
        <f t="shared" si="0"/>
        <v>28934</v>
      </c>
      <c r="J12" s="1633">
        <f t="shared" si="0"/>
        <v>245882</v>
      </c>
      <c r="K12" s="1594">
        <f t="shared" si="0"/>
        <v>28934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8590</v>
      </c>
      <c r="D14" s="1573">
        <v>2180</v>
      </c>
      <c r="E14" s="1573"/>
      <c r="F14" s="1573">
        <v>872</v>
      </c>
      <c r="G14" s="1573">
        <v>2247</v>
      </c>
      <c r="H14" s="1573"/>
      <c r="I14" s="1573">
        <v>218</v>
      </c>
      <c r="J14" s="1574">
        <v>1849</v>
      </c>
      <c r="K14" s="1573">
        <v>218</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261</v>
      </c>
      <c r="D16" s="1573">
        <v>66012</v>
      </c>
      <c r="E16" s="1573"/>
      <c r="F16" s="1573">
        <v>15919</v>
      </c>
      <c r="G16" s="1573">
        <v>13589</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8851</v>
      </c>
      <c r="D18" s="1635">
        <f t="shared" ref="D18:K18" si="1">SUM(D14:D17)</f>
        <v>68192</v>
      </c>
      <c r="E18" s="1635">
        <f t="shared" si="1"/>
        <v>0</v>
      </c>
      <c r="F18" s="1635">
        <f t="shared" si="1"/>
        <v>16791</v>
      </c>
      <c r="G18" s="1635">
        <f t="shared" si="1"/>
        <v>15836</v>
      </c>
      <c r="H18" s="1635">
        <f t="shared" si="1"/>
        <v>0</v>
      </c>
      <c r="I18" s="1635">
        <f t="shared" si="1"/>
        <v>218</v>
      </c>
      <c r="J18" s="1635">
        <f t="shared" si="1"/>
        <v>1849</v>
      </c>
      <c r="K18" s="1636">
        <f t="shared" si="1"/>
        <v>218</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7856</v>
      </c>
      <c r="D65" s="1573">
        <v>1466</v>
      </c>
      <c r="E65" s="1573"/>
      <c r="F65" s="1574">
        <v>2315</v>
      </c>
      <c r="G65" s="1573">
        <v>1069</v>
      </c>
      <c r="H65" s="1573">
        <v>1161</v>
      </c>
      <c r="I65" s="1573">
        <v>4237</v>
      </c>
      <c r="J65" s="1574">
        <v>7454</v>
      </c>
      <c r="K65" s="1573">
        <v>2857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7856</v>
      </c>
      <c r="D67" s="1594">
        <f t="shared" ref="D67:K67" si="2">SUM(D65:D66)</f>
        <v>1466</v>
      </c>
      <c r="E67" s="1594">
        <f t="shared" si="2"/>
        <v>0</v>
      </c>
      <c r="F67" s="1594">
        <f t="shared" si="2"/>
        <v>2315</v>
      </c>
      <c r="G67" s="1594">
        <f t="shared" si="2"/>
        <v>1069</v>
      </c>
      <c r="H67" s="1594">
        <f t="shared" si="2"/>
        <v>1161</v>
      </c>
      <c r="I67" s="1594">
        <f t="shared" si="2"/>
        <v>4237</v>
      </c>
      <c r="J67" s="1594">
        <f t="shared" si="2"/>
        <v>7454</v>
      </c>
      <c r="K67" s="1594">
        <f t="shared" si="2"/>
        <v>2857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64377</v>
      </c>
      <c r="D69" s="1575"/>
      <c r="E69" s="1575"/>
      <c r="F69" s="1575"/>
      <c r="G69" s="1575"/>
      <c r="H69" s="1575"/>
      <c r="I69" s="1575"/>
      <c r="J69" s="1575"/>
      <c r="K69" s="1575"/>
    </row>
    <row r="70" spans="1:11" ht="12.75" customHeight="1" x14ac:dyDescent="0.2">
      <c r="A70" s="427" t="s">
        <v>990</v>
      </c>
      <c r="B70" s="429">
        <v>1612</v>
      </c>
      <c r="C70" s="1632">
        <v>5693</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409</v>
      </c>
      <c r="D72" s="1575"/>
      <c r="E72" s="1575"/>
      <c r="F72" s="1575"/>
      <c r="G72" s="1575"/>
      <c r="H72" s="1575"/>
      <c r="I72" s="1575"/>
      <c r="J72" s="1575"/>
      <c r="K72" s="1575"/>
    </row>
    <row r="73" spans="1:11" ht="12.75" customHeight="1" x14ac:dyDescent="0.2">
      <c r="A73" s="427" t="s">
        <v>991</v>
      </c>
      <c r="B73" s="429">
        <v>1620</v>
      </c>
      <c r="C73" s="1632">
        <v>4052</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74531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36809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22875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35</v>
      </c>
      <c r="D81" s="1573"/>
      <c r="E81" s="1575"/>
      <c r="F81" s="1575"/>
      <c r="G81" s="1575"/>
      <c r="H81" s="1575"/>
      <c r="I81" s="1575"/>
      <c r="J81" s="1575"/>
      <c r="K81" s="1575"/>
    </row>
    <row r="82" spans="1:11" ht="12.75" customHeight="1" thickBot="1" x14ac:dyDescent="0.25">
      <c r="A82" s="1406" t="s">
        <v>239</v>
      </c>
      <c r="B82" s="1407"/>
      <c r="C82" s="1633">
        <f>SUM(C77:C81)</f>
        <v>59719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29146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29146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6675</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2825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350569</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14605</v>
      </c>
      <c r="D106" s="1598"/>
      <c r="E106" s="1574"/>
      <c r="F106" s="1574"/>
      <c r="G106" s="1574"/>
      <c r="H106" s="1574"/>
      <c r="I106" s="1617"/>
      <c r="J106" s="1574"/>
      <c r="K106" s="1574"/>
    </row>
    <row r="107" spans="1:12" ht="12.75" customHeight="1" x14ac:dyDescent="0.2">
      <c r="A107" s="427" t="s">
        <v>78</v>
      </c>
      <c r="B107" s="429">
        <v>1999</v>
      </c>
      <c r="C107" s="1632">
        <v>28324</v>
      </c>
      <c r="D107" s="1573">
        <v>5495</v>
      </c>
      <c r="E107" s="1573"/>
      <c r="F107" s="1573">
        <v>446</v>
      </c>
      <c r="G107" s="1573"/>
      <c r="H107" s="1573">
        <v>50000</v>
      </c>
      <c r="I107" s="1573"/>
      <c r="J107" s="1574"/>
      <c r="K107" s="1573"/>
    </row>
    <row r="108" spans="1:12" ht="12.75" customHeight="1" thickBot="1" x14ac:dyDescent="0.25">
      <c r="A108" s="1406" t="s">
        <v>484</v>
      </c>
      <c r="B108" s="1408"/>
      <c r="C108" s="1633">
        <f>SUM(C95:C107)</f>
        <v>52429</v>
      </c>
      <c r="D108" s="1633">
        <f t="shared" ref="D108:K108" si="3">SUM(D95:D107)</f>
        <v>5495</v>
      </c>
      <c r="E108" s="1633">
        <f t="shared" si="3"/>
        <v>0</v>
      </c>
      <c r="F108" s="1633">
        <f t="shared" si="3"/>
        <v>446</v>
      </c>
      <c r="G108" s="1633">
        <f t="shared" si="3"/>
        <v>0</v>
      </c>
      <c r="H108" s="1633">
        <f t="shared" si="3"/>
        <v>400569</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1372303</v>
      </c>
      <c r="D109" s="1641">
        <f t="shared" si="4"/>
        <v>364544</v>
      </c>
      <c r="E109" s="1641">
        <f t="shared" si="4"/>
        <v>0</v>
      </c>
      <c r="F109" s="1641">
        <f t="shared" si="4"/>
        <v>135305</v>
      </c>
      <c r="G109" s="1641">
        <f t="shared" si="4"/>
        <v>315677</v>
      </c>
      <c r="H109" s="1641">
        <f t="shared" si="4"/>
        <v>401730</v>
      </c>
      <c r="I109" s="1641">
        <f t="shared" si="4"/>
        <v>33389</v>
      </c>
      <c r="J109" s="1641">
        <f t="shared" si="4"/>
        <v>255185</v>
      </c>
      <c r="K109" s="1629">
        <f t="shared" si="4"/>
        <v>32009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4534038</v>
      </c>
      <c r="D117" s="1586">
        <v>500000</v>
      </c>
      <c r="E117" s="1573"/>
      <c r="F117" s="1586">
        <v>250000</v>
      </c>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4534038</v>
      </c>
      <c r="D122" s="1633">
        <f t="shared" si="5"/>
        <v>500000</v>
      </c>
      <c r="E122" s="1633">
        <f t="shared" si="5"/>
        <v>0</v>
      </c>
      <c r="F122" s="1633">
        <f t="shared" si="5"/>
        <v>250000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11315</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356</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11671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47804</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23604</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71408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3008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9163</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291290</v>
      </c>
      <c r="G152" s="1574"/>
      <c r="H152" s="1575"/>
      <c r="I152" s="1575"/>
      <c r="J152" s="1575"/>
      <c r="K152" s="1575"/>
    </row>
    <row r="153" spans="1:11" ht="12.75" customHeight="1" x14ac:dyDescent="0.2">
      <c r="A153" s="427" t="s">
        <v>1048</v>
      </c>
      <c r="B153" s="478">
        <v>3510</v>
      </c>
      <c r="C153" s="1632"/>
      <c r="D153" s="1573"/>
      <c r="E153" s="1640"/>
      <c r="F153" s="1573">
        <v>81318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372608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235862</v>
      </c>
      <c r="D159" s="1653"/>
      <c r="E159" s="1640"/>
      <c r="F159" s="1651">
        <v>28000</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40275</v>
      </c>
      <c r="D168" s="1655"/>
      <c r="E168" s="1655"/>
      <c r="F168" s="1655"/>
      <c r="G168" s="1656"/>
      <c r="H168" s="1657"/>
      <c r="I168" s="1656"/>
      <c r="J168" s="1656"/>
      <c r="K168" s="1657"/>
    </row>
    <row r="169" spans="1:11" ht="12.75" customHeight="1" thickTop="1" thickBot="1" x14ac:dyDescent="0.25">
      <c r="A169" s="2257" t="s">
        <v>395</v>
      </c>
      <c r="B169" s="2258"/>
      <c r="C169" s="1658">
        <f t="shared" ref="C169:K169" si="6">SUM(C132,C141,C145,C146:C150,C155,C156:C167,C168)</f>
        <v>371387</v>
      </c>
      <c r="D169" s="1658">
        <f t="shared" si="6"/>
        <v>0</v>
      </c>
      <c r="E169" s="1658">
        <f t="shared" si="6"/>
        <v>0</v>
      </c>
      <c r="F169" s="1658">
        <f t="shared" si="6"/>
        <v>400608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4905425</v>
      </c>
      <c r="D170" s="1641">
        <f t="shared" si="7"/>
        <v>500000</v>
      </c>
      <c r="E170" s="1641">
        <f t="shared" si="7"/>
        <v>0</v>
      </c>
      <c r="F170" s="1641">
        <f t="shared" si="7"/>
        <v>650608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9" t="s">
        <v>1475</v>
      </c>
      <c r="B172" s="2260"/>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3" t="s">
        <v>1646</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1645</v>
      </c>
      <c r="B176" s="2268"/>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5" t="s">
        <v>780</v>
      </c>
      <c r="B181" s="226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1" t="s">
        <v>1777</v>
      </c>
      <c r="B182" s="226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176499</v>
      </c>
      <c r="D191" s="1575"/>
      <c r="E191" s="1640"/>
      <c r="F191" s="1575"/>
      <c r="G191" s="1664"/>
      <c r="H191" s="1575"/>
      <c r="I191" s="1575"/>
      <c r="J191" s="1575"/>
      <c r="K191" s="1575"/>
    </row>
    <row r="192" spans="1:11" ht="12.75" customHeight="1" x14ac:dyDescent="0.2">
      <c r="A192" s="427" t="s">
        <v>1038</v>
      </c>
      <c r="B192" s="429">
        <v>4215</v>
      </c>
      <c r="C192" s="1632">
        <v>2024</v>
      </c>
      <c r="D192" s="1575"/>
      <c r="E192" s="1640"/>
      <c r="F192" s="1575"/>
      <c r="G192" s="1664"/>
      <c r="H192" s="1575"/>
      <c r="I192" s="1575"/>
      <c r="J192" s="1575"/>
      <c r="K192" s="1575"/>
    </row>
    <row r="193" spans="1:11" ht="12.75" customHeight="1" x14ac:dyDescent="0.2">
      <c r="A193" s="427" t="s">
        <v>1050</v>
      </c>
      <c r="B193" s="429">
        <v>4220</v>
      </c>
      <c r="C193" s="1632">
        <v>41743</v>
      </c>
      <c r="D193" s="1575"/>
      <c r="E193" s="1640"/>
      <c r="F193" s="1575"/>
      <c r="G193" s="1664"/>
      <c r="H193" s="1575"/>
      <c r="I193" s="1575"/>
      <c r="J193" s="1575"/>
      <c r="K193" s="1575"/>
    </row>
    <row r="194" spans="1:11" ht="12.75" customHeight="1" x14ac:dyDescent="0.2">
      <c r="A194" s="427" t="s">
        <v>1434</v>
      </c>
      <c r="B194" s="429">
        <v>4225</v>
      </c>
      <c r="C194" s="1632">
        <v>23665</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243931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288420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288420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9367</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9367</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7059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236905</v>
      </c>
      <c r="D213" s="1573"/>
      <c r="E213" s="1575"/>
      <c r="F213" s="1573"/>
      <c r="G213" s="1573"/>
      <c r="H213" s="1575"/>
      <c r="I213" s="1575"/>
      <c r="J213" s="1575"/>
      <c r="K213" s="1575"/>
    </row>
    <row r="214" spans="1:11" ht="12.75" customHeight="1" x14ac:dyDescent="0.2">
      <c r="A214" s="427" t="s">
        <v>1045</v>
      </c>
      <c r="B214" s="429">
        <v>4625</v>
      </c>
      <c r="C214" s="1632">
        <v>92480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336444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16523</v>
      </c>
      <c r="D220" s="1573"/>
      <c r="E220" s="1575"/>
      <c r="F220" s="1575"/>
      <c r="G220" s="1573"/>
      <c r="H220" s="1575"/>
      <c r="I220" s="1575"/>
      <c r="J220" s="1575"/>
      <c r="K220" s="1575"/>
    </row>
    <row r="221" spans="1:11" ht="12.75" customHeight="1" thickBot="1" x14ac:dyDescent="0.25">
      <c r="A221" s="1415" t="s">
        <v>1076</v>
      </c>
      <c r="B221" s="1416"/>
      <c r="C221" s="1633">
        <f>SUM(C219:C220)</f>
        <v>16523</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31909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17939</v>
      </c>
      <c r="D263" s="1651"/>
      <c r="E263" s="1575"/>
      <c r="F263" s="1651"/>
      <c r="G263" s="1651"/>
      <c r="H263" s="1575"/>
      <c r="I263" s="1575"/>
      <c r="J263" s="1575"/>
      <c r="K263" s="1575"/>
    </row>
    <row r="264" spans="1:11" ht="12.75" customHeight="1" thickTop="1" thickBot="1" x14ac:dyDescent="0.25">
      <c r="A264" s="427" t="s">
        <v>374</v>
      </c>
      <c r="B264" s="429">
        <v>4992</v>
      </c>
      <c r="C264" s="1650">
        <v>30322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974855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974855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7252583</v>
      </c>
      <c r="D268" s="1641">
        <f t="shared" si="12"/>
        <v>864544</v>
      </c>
      <c r="E268" s="1641">
        <f t="shared" si="12"/>
        <v>0</v>
      </c>
      <c r="F268" s="1641">
        <f t="shared" si="12"/>
        <v>785913</v>
      </c>
      <c r="G268" s="1641">
        <f t="shared" si="12"/>
        <v>315677</v>
      </c>
      <c r="H268" s="1641">
        <f t="shared" si="12"/>
        <v>401730</v>
      </c>
      <c r="I268" s="1641">
        <f t="shared" si="12"/>
        <v>33389</v>
      </c>
      <c r="J268" s="1641">
        <f t="shared" si="12"/>
        <v>255185</v>
      </c>
      <c r="K268" s="1629">
        <f t="shared" si="12"/>
        <v>32009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sqref="A1:A2"/>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7" t="s">
        <v>294</v>
      </c>
      <c r="B3" s="227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2293804</v>
      </c>
      <c r="D5" s="1573">
        <v>394406</v>
      </c>
      <c r="E5" s="1573">
        <v>14852</v>
      </c>
      <c r="F5" s="1573">
        <v>71616</v>
      </c>
      <c r="G5" s="1573"/>
      <c r="H5" s="1573"/>
      <c r="I5" s="1574"/>
      <c r="J5" s="1574"/>
      <c r="K5" s="1672">
        <f>SUM(C5:J5)</f>
        <v>2774678</v>
      </c>
      <c r="L5" s="1573">
        <v>2758521</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145617</v>
      </c>
      <c r="D7" s="1574">
        <v>19003</v>
      </c>
      <c r="E7" s="1574">
        <v>5456</v>
      </c>
      <c r="F7" s="1574">
        <v>14670</v>
      </c>
      <c r="G7" s="1574">
        <v>2366</v>
      </c>
      <c r="H7" s="1574"/>
      <c r="I7" s="1574"/>
      <c r="J7" s="1574"/>
      <c r="K7" s="1672">
        <f t="shared" ref="K7:K32" si="0">SUM(C7:J7)</f>
        <v>187112</v>
      </c>
      <c r="L7" s="1573">
        <v>188751</v>
      </c>
    </row>
    <row r="8" spans="1:14" x14ac:dyDescent="0.2">
      <c r="A8" s="1274" t="s">
        <v>163</v>
      </c>
      <c r="B8" s="503">
        <v>1200</v>
      </c>
      <c r="C8" s="1573">
        <v>536967</v>
      </c>
      <c r="D8" s="1573">
        <v>106461</v>
      </c>
      <c r="E8" s="1573">
        <v>479</v>
      </c>
      <c r="F8" s="1573">
        <v>4742</v>
      </c>
      <c r="G8" s="1573"/>
      <c r="H8" s="1573"/>
      <c r="I8" s="1574"/>
      <c r="J8" s="1574"/>
      <c r="K8" s="1672">
        <f t="shared" si="0"/>
        <v>648649</v>
      </c>
      <c r="L8" s="1573">
        <v>658698</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116976</v>
      </c>
      <c r="D10" s="1573">
        <v>19240</v>
      </c>
      <c r="E10" s="1573">
        <v>3152</v>
      </c>
      <c r="F10" s="1573">
        <v>28107</v>
      </c>
      <c r="G10" s="1573">
        <v>4353</v>
      </c>
      <c r="H10" s="1573"/>
      <c r="I10" s="1574"/>
      <c r="J10" s="1574"/>
      <c r="K10" s="1672">
        <f t="shared" si="0"/>
        <v>171828</v>
      </c>
      <c r="L10" s="1573">
        <v>201804</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182999</v>
      </c>
      <c r="D13" s="1573">
        <v>34041</v>
      </c>
      <c r="E13" s="1573">
        <v>165</v>
      </c>
      <c r="F13" s="1573">
        <v>15983</v>
      </c>
      <c r="G13" s="1573">
        <v>23815</v>
      </c>
      <c r="H13" s="1573"/>
      <c r="I13" s="1574"/>
      <c r="J13" s="1574"/>
      <c r="K13" s="1672">
        <f t="shared" si="0"/>
        <v>257003</v>
      </c>
      <c r="L13" s="1573">
        <v>263381</v>
      </c>
    </row>
    <row r="14" spans="1:14" x14ac:dyDescent="0.2">
      <c r="A14" s="1274" t="s">
        <v>957</v>
      </c>
      <c r="B14" s="503">
        <v>1500</v>
      </c>
      <c r="C14" s="1573">
        <v>60959</v>
      </c>
      <c r="D14" s="1573">
        <v>1380</v>
      </c>
      <c r="E14" s="1573">
        <v>13987</v>
      </c>
      <c r="F14" s="1573">
        <v>1704</v>
      </c>
      <c r="G14" s="1573">
        <v>6972</v>
      </c>
      <c r="H14" s="1573"/>
      <c r="I14" s="1574"/>
      <c r="J14" s="1574"/>
      <c r="K14" s="1672">
        <f t="shared" si="0"/>
        <v>85002</v>
      </c>
      <c r="L14" s="1573">
        <v>84426</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58130</v>
      </c>
      <c r="D17" s="1574">
        <v>9216</v>
      </c>
      <c r="E17" s="1574"/>
      <c r="F17" s="1574">
        <v>10</v>
      </c>
      <c r="G17" s="1574"/>
      <c r="H17" s="1574"/>
      <c r="I17" s="1574"/>
      <c r="J17" s="1574"/>
      <c r="K17" s="1672">
        <f t="shared" si="0"/>
        <v>67356</v>
      </c>
      <c r="L17" s="1573">
        <v>67701</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3395452</v>
      </c>
      <c r="D33" s="1674">
        <f t="shared" ref="D33:L33" si="1">SUM(D5:D32)</f>
        <v>583747</v>
      </c>
      <c r="E33" s="1674">
        <f t="shared" si="1"/>
        <v>38091</v>
      </c>
      <c r="F33" s="1674">
        <f t="shared" si="1"/>
        <v>136832</v>
      </c>
      <c r="G33" s="1674">
        <f t="shared" si="1"/>
        <v>37506</v>
      </c>
      <c r="H33" s="1674">
        <f t="shared" si="1"/>
        <v>0</v>
      </c>
      <c r="I33" s="1674">
        <f t="shared" si="1"/>
        <v>0</v>
      </c>
      <c r="J33" s="1674">
        <f t="shared" si="1"/>
        <v>0</v>
      </c>
      <c r="K33" s="1674">
        <f t="shared" si="1"/>
        <v>4191628</v>
      </c>
      <c r="L33" s="1674">
        <f t="shared" si="1"/>
        <v>4223282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16599</v>
      </c>
      <c r="D36" s="1586">
        <v>249</v>
      </c>
      <c r="E36" s="1586"/>
      <c r="F36" s="1586"/>
      <c r="G36" s="1586"/>
      <c r="H36" s="1586"/>
      <c r="I36" s="1574"/>
      <c r="J36" s="1574"/>
      <c r="K36" s="1672">
        <f t="shared" ref="K36:K41" si="2">SUM(C36:J36)</f>
        <v>16848</v>
      </c>
      <c r="L36" s="1573">
        <v>16906</v>
      </c>
    </row>
    <row r="37" spans="1:14" x14ac:dyDescent="0.2">
      <c r="A37" s="1274" t="s">
        <v>1081</v>
      </c>
      <c r="B37" s="503">
        <v>2120</v>
      </c>
      <c r="C37" s="1573">
        <v>42798</v>
      </c>
      <c r="D37" s="1573">
        <v>9478</v>
      </c>
      <c r="E37" s="1573"/>
      <c r="F37" s="1573"/>
      <c r="G37" s="1573"/>
      <c r="H37" s="1573"/>
      <c r="I37" s="1574"/>
      <c r="J37" s="1574"/>
      <c r="K37" s="1672">
        <f t="shared" si="2"/>
        <v>52276</v>
      </c>
      <c r="L37" s="1573">
        <v>52384</v>
      </c>
    </row>
    <row r="38" spans="1:14" x14ac:dyDescent="0.2">
      <c r="A38" s="1274" t="s">
        <v>196</v>
      </c>
      <c r="B38" s="503">
        <v>2130</v>
      </c>
      <c r="C38" s="1573">
        <v>83805</v>
      </c>
      <c r="D38" s="1573">
        <v>16982</v>
      </c>
      <c r="E38" s="1573">
        <v>1153</v>
      </c>
      <c r="F38" s="1573">
        <v>848</v>
      </c>
      <c r="G38" s="1573"/>
      <c r="H38" s="1573"/>
      <c r="I38" s="1574"/>
      <c r="J38" s="1574"/>
      <c r="K38" s="1672">
        <f t="shared" si="2"/>
        <v>102788</v>
      </c>
      <c r="L38" s="1573">
        <v>103117</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99989</v>
      </c>
      <c r="D40" s="1573">
        <v>18375</v>
      </c>
      <c r="E40" s="1573">
        <v>482</v>
      </c>
      <c r="F40" s="1573"/>
      <c r="G40" s="1573"/>
      <c r="H40" s="1573"/>
      <c r="I40" s="1574"/>
      <c r="J40" s="1574"/>
      <c r="K40" s="1672">
        <f t="shared" si="2"/>
        <v>118846</v>
      </c>
      <c r="L40" s="1573">
        <v>119904</v>
      </c>
    </row>
    <row r="41" spans="1:14" x14ac:dyDescent="0.2">
      <c r="A41" s="1274" t="s">
        <v>1650</v>
      </c>
      <c r="B41" s="503">
        <v>2190</v>
      </c>
      <c r="C41" s="1573">
        <v>22047</v>
      </c>
      <c r="D41" s="1573">
        <v>144</v>
      </c>
      <c r="E41" s="1573"/>
      <c r="F41" s="1573"/>
      <c r="G41" s="1573"/>
      <c r="H41" s="1573"/>
      <c r="I41" s="1574"/>
      <c r="J41" s="1574"/>
      <c r="K41" s="1672">
        <f t="shared" si="2"/>
        <v>22191</v>
      </c>
      <c r="L41" s="1573">
        <v>22578</v>
      </c>
    </row>
    <row r="42" spans="1:14" ht="12.75" customHeight="1" thickBot="1" x14ac:dyDescent="0.25">
      <c r="A42" s="1380" t="s">
        <v>556</v>
      </c>
      <c r="B42" s="1381" t="s">
        <v>711</v>
      </c>
      <c r="C42" s="1674">
        <f>SUM(C36:C41)</f>
        <v>265238</v>
      </c>
      <c r="D42" s="1674">
        <f t="shared" ref="D42:L42" si="3">SUM(D36:D41)</f>
        <v>45228</v>
      </c>
      <c r="E42" s="1674">
        <f t="shared" si="3"/>
        <v>1635</v>
      </c>
      <c r="F42" s="1674">
        <f t="shared" si="3"/>
        <v>848</v>
      </c>
      <c r="G42" s="1674">
        <f t="shared" si="3"/>
        <v>0</v>
      </c>
      <c r="H42" s="1674">
        <f t="shared" si="3"/>
        <v>0</v>
      </c>
      <c r="I42" s="1674">
        <f t="shared" si="3"/>
        <v>0</v>
      </c>
      <c r="J42" s="1674">
        <f t="shared" si="3"/>
        <v>0</v>
      </c>
      <c r="K42" s="1674">
        <f t="shared" si="3"/>
        <v>312949</v>
      </c>
      <c r="L42" s="1674">
        <f t="shared" si="3"/>
        <v>314889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86625</v>
      </c>
      <c r="D44" s="1586">
        <v>2220</v>
      </c>
      <c r="E44" s="1586">
        <v>20987</v>
      </c>
      <c r="F44" s="1586">
        <v>130089</v>
      </c>
      <c r="G44" s="1586">
        <v>47873</v>
      </c>
      <c r="H44" s="1586"/>
      <c r="I44" s="1574"/>
      <c r="J44" s="1574"/>
      <c r="K44" s="1678">
        <f>SUM(C44:J44)</f>
        <v>287794</v>
      </c>
      <c r="L44" s="1586">
        <v>284351</v>
      </c>
    </row>
    <row r="45" spans="1:14" x14ac:dyDescent="0.2">
      <c r="A45" s="1274" t="s">
        <v>810</v>
      </c>
      <c r="B45" s="503">
        <v>2220</v>
      </c>
      <c r="C45" s="1573">
        <v>55751</v>
      </c>
      <c r="D45" s="1573">
        <v>8938</v>
      </c>
      <c r="E45" s="1573"/>
      <c r="F45" s="1573">
        <v>2905</v>
      </c>
      <c r="G45" s="1573"/>
      <c r="H45" s="1573">
        <v>206</v>
      </c>
      <c r="I45" s="1574"/>
      <c r="J45" s="1574"/>
      <c r="K45" s="1678">
        <f>SUM(C45:J45)</f>
        <v>67800</v>
      </c>
      <c r="L45" s="1573">
        <v>69384</v>
      </c>
    </row>
    <row r="46" spans="1:14" x14ac:dyDescent="0.2">
      <c r="A46" s="1274" t="s">
        <v>811</v>
      </c>
      <c r="B46" s="503">
        <v>2230</v>
      </c>
      <c r="C46" s="1573"/>
      <c r="D46" s="1573"/>
      <c r="E46" s="1573">
        <v>19010</v>
      </c>
      <c r="F46" s="1573"/>
      <c r="G46" s="1573"/>
      <c r="H46" s="1573"/>
      <c r="I46" s="1574"/>
      <c r="J46" s="1574"/>
      <c r="K46" s="1678">
        <f>SUM(C46:J46)</f>
        <v>19010</v>
      </c>
      <c r="L46" s="1573">
        <v>19010</v>
      </c>
    </row>
    <row r="47" spans="1:14" ht="12.75" customHeight="1" thickBot="1" x14ac:dyDescent="0.25">
      <c r="A47" s="1380" t="s">
        <v>557</v>
      </c>
      <c r="B47" s="1381" t="s">
        <v>32</v>
      </c>
      <c r="C47" s="1674">
        <f>SUM(C44:C46)</f>
        <v>142376</v>
      </c>
      <c r="D47" s="1674">
        <f t="shared" ref="D47:K47" si="4">SUM(D44:D46)</f>
        <v>11158</v>
      </c>
      <c r="E47" s="1674">
        <f t="shared" si="4"/>
        <v>39997</v>
      </c>
      <c r="F47" s="1674">
        <f t="shared" si="4"/>
        <v>132994</v>
      </c>
      <c r="G47" s="1674">
        <f t="shared" si="4"/>
        <v>47873</v>
      </c>
      <c r="H47" s="1674">
        <f t="shared" si="4"/>
        <v>206</v>
      </c>
      <c r="I47" s="1674">
        <f t="shared" si="4"/>
        <v>0</v>
      </c>
      <c r="J47" s="1674">
        <f t="shared" si="4"/>
        <v>0</v>
      </c>
      <c r="K47" s="1674">
        <f t="shared" si="4"/>
        <v>374604</v>
      </c>
      <c r="L47" s="1674">
        <f>SUM(L44:L46)</f>
        <v>372745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13454</v>
      </c>
      <c r="F49" s="1586">
        <v>1449</v>
      </c>
      <c r="G49" s="1586"/>
      <c r="H49" s="1586">
        <v>5859</v>
      </c>
      <c r="I49" s="1574"/>
      <c r="J49" s="1574"/>
      <c r="K49" s="1678">
        <f>SUM(C49:J49)</f>
        <v>20762</v>
      </c>
      <c r="L49" s="1586">
        <v>21489</v>
      </c>
    </row>
    <row r="50" spans="1:14" x14ac:dyDescent="0.2">
      <c r="A50" s="1274" t="s">
        <v>813</v>
      </c>
      <c r="B50" s="503">
        <v>2320</v>
      </c>
      <c r="C50" s="1573">
        <v>136140</v>
      </c>
      <c r="D50" s="1573">
        <v>15589</v>
      </c>
      <c r="E50" s="1573">
        <v>3993</v>
      </c>
      <c r="F50" s="1573">
        <v>1196</v>
      </c>
      <c r="G50" s="1573"/>
      <c r="H50" s="1573">
        <v>322</v>
      </c>
      <c r="I50" s="1574"/>
      <c r="J50" s="1574"/>
      <c r="K50" s="1678">
        <f>SUM(C50:J50)</f>
        <v>157240</v>
      </c>
      <c r="L50" s="1573">
        <v>130818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136140</v>
      </c>
      <c r="D53" s="1674">
        <f t="shared" ref="D53:L53" si="5">SUM(D49:D52)</f>
        <v>15589</v>
      </c>
      <c r="E53" s="1674">
        <f t="shared" si="5"/>
        <v>17447</v>
      </c>
      <c r="F53" s="1674">
        <f t="shared" si="5"/>
        <v>2645</v>
      </c>
      <c r="G53" s="1674">
        <f t="shared" si="5"/>
        <v>0</v>
      </c>
      <c r="H53" s="1674">
        <f t="shared" si="5"/>
        <v>6181</v>
      </c>
      <c r="I53" s="1674">
        <f t="shared" si="5"/>
        <v>0</v>
      </c>
      <c r="J53" s="1674">
        <f t="shared" si="5"/>
        <v>0</v>
      </c>
      <c r="K53" s="1674">
        <f t="shared" si="5"/>
        <v>178002</v>
      </c>
      <c r="L53" s="1674">
        <f t="shared" si="5"/>
        <v>152307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488272</v>
      </c>
      <c r="D55" s="1586">
        <v>75353</v>
      </c>
      <c r="E55" s="1586">
        <v>21</v>
      </c>
      <c r="F55" s="1586">
        <v>7995</v>
      </c>
      <c r="G55" s="1586"/>
      <c r="H55" s="1586">
        <v>5</v>
      </c>
      <c r="I55" s="1574"/>
      <c r="J55" s="1574"/>
      <c r="K55" s="1678">
        <f>SUM(C55:J55)</f>
        <v>571646</v>
      </c>
      <c r="L55" s="1586">
        <v>570841</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488272</v>
      </c>
      <c r="D57" s="1679">
        <f t="shared" ref="D57:K57" si="6">SUM(D55:D56)</f>
        <v>75353</v>
      </c>
      <c r="E57" s="1679">
        <f t="shared" si="6"/>
        <v>21</v>
      </c>
      <c r="F57" s="1679">
        <f t="shared" si="6"/>
        <v>7995</v>
      </c>
      <c r="G57" s="1679">
        <f t="shared" si="6"/>
        <v>0</v>
      </c>
      <c r="H57" s="1679">
        <f t="shared" si="6"/>
        <v>5</v>
      </c>
      <c r="I57" s="1679">
        <f t="shared" si="6"/>
        <v>0</v>
      </c>
      <c r="J57" s="1679">
        <f t="shared" si="6"/>
        <v>0</v>
      </c>
      <c r="K57" s="1679">
        <f t="shared" si="6"/>
        <v>571646</v>
      </c>
      <c r="L57" s="1674">
        <f>SUM(L55:L56)</f>
        <v>570841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224</v>
      </c>
      <c r="F60" s="1573"/>
      <c r="G60" s="1573"/>
      <c r="H60" s="1573"/>
      <c r="I60" s="1574"/>
      <c r="J60" s="1574"/>
      <c r="K60" s="1678">
        <f t="shared" si="7"/>
        <v>224</v>
      </c>
      <c r="L60" s="1573">
        <v>27594</v>
      </c>
      <c r="M60" s="501"/>
      <c r="N60" s="501"/>
    </row>
    <row r="61" spans="1:14" s="321" customFormat="1" x14ac:dyDescent="0.2">
      <c r="A61" s="1274" t="s">
        <v>195</v>
      </c>
      <c r="B61" s="503">
        <v>2540</v>
      </c>
      <c r="C61" s="1573"/>
      <c r="D61" s="1573"/>
      <c r="E61" s="1573">
        <v>48626</v>
      </c>
      <c r="F61" s="1573"/>
      <c r="G61" s="1573"/>
      <c r="H61" s="1573"/>
      <c r="I61" s="1574"/>
      <c r="J61" s="1574"/>
      <c r="K61" s="1678">
        <f t="shared" si="7"/>
        <v>48626</v>
      </c>
      <c r="L61" s="1573">
        <v>48549</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184164</v>
      </c>
      <c r="D63" s="1573">
        <v>62740</v>
      </c>
      <c r="E63" s="1573">
        <v>4278</v>
      </c>
      <c r="F63" s="1573">
        <v>198790</v>
      </c>
      <c r="G63" s="1573">
        <v>762</v>
      </c>
      <c r="H63" s="1573"/>
      <c r="I63" s="1574"/>
      <c r="J63" s="1574"/>
      <c r="K63" s="1678">
        <f t="shared" si="7"/>
        <v>450734</v>
      </c>
      <c r="L63" s="1573">
        <v>455311</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184164</v>
      </c>
      <c r="D65" s="1674">
        <f t="shared" ref="D65:L65" si="8">SUM(D59:D64)</f>
        <v>62740</v>
      </c>
      <c r="E65" s="1674">
        <f t="shared" si="8"/>
        <v>53128</v>
      </c>
      <c r="F65" s="1674">
        <f t="shared" si="8"/>
        <v>198790</v>
      </c>
      <c r="G65" s="1674">
        <f t="shared" si="8"/>
        <v>762</v>
      </c>
      <c r="H65" s="1674">
        <f t="shared" si="8"/>
        <v>0</v>
      </c>
      <c r="I65" s="1674">
        <f t="shared" si="8"/>
        <v>0</v>
      </c>
      <c r="J65" s="1674">
        <f t="shared" si="8"/>
        <v>0</v>
      </c>
      <c r="K65" s="1674">
        <f t="shared" si="8"/>
        <v>499584</v>
      </c>
      <c r="L65" s="1674">
        <f t="shared" si="8"/>
        <v>531454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1216190</v>
      </c>
      <c r="D74" s="1681">
        <f t="shared" ref="D74:K74" si="10">SUM(D42,D47,D53,D57,D65,D72,D73)</f>
        <v>210068</v>
      </c>
      <c r="E74" s="1681">
        <f t="shared" si="10"/>
        <v>112228</v>
      </c>
      <c r="F74" s="1681">
        <f t="shared" si="10"/>
        <v>343272</v>
      </c>
      <c r="G74" s="1681">
        <f t="shared" si="10"/>
        <v>48635</v>
      </c>
      <c r="H74" s="1681">
        <f t="shared" si="10"/>
        <v>6392</v>
      </c>
      <c r="I74" s="1681">
        <f t="shared" si="10"/>
        <v>0</v>
      </c>
      <c r="J74" s="1681">
        <f t="shared" si="10"/>
        <v>0</v>
      </c>
      <c r="K74" s="1681">
        <f t="shared" si="10"/>
        <v>1936785</v>
      </c>
      <c r="L74" s="1681">
        <f>SUM(L42,L47,L53,L57,L65,L72,L73)</f>
        <v>1942236</v>
      </c>
    </row>
    <row r="75" spans="1:14" s="254" customFormat="1" ht="15.75" customHeight="1" thickTop="1" thickBot="1" x14ac:dyDescent="0.25">
      <c r="A75" s="1348" t="s">
        <v>47</v>
      </c>
      <c r="B75" s="1349" t="s">
        <v>571</v>
      </c>
      <c r="C75" s="1649">
        <v>8567</v>
      </c>
      <c r="D75" s="1649">
        <v>2823</v>
      </c>
      <c r="E75" s="1649">
        <v>5157</v>
      </c>
      <c r="F75" s="1649">
        <v>1169</v>
      </c>
      <c r="G75" s="1649"/>
      <c r="H75" s="1649"/>
      <c r="I75" s="1627"/>
      <c r="J75" s="1627"/>
      <c r="K75" s="1674">
        <f>SUM(C75:J75)</f>
        <v>17716</v>
      </c>
      <c r="L75" s="1651">
        <v>18874</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243964</v>
      </c>
      <c r="F79" s="1673"/>
      <c r="G79" s="1673"/>
      <c r="H79" s="1573">
        <v>384274</v>
      </c>
      <c r="I79" s="1582"/>
      <c r="J79" s="1582"/>
      <c r="K79" s="1672">
        <f t="shared" si="11"/>
        <v>628238</v>
      </c>
      <c r="L79" s="1573">
        <v>628238</v>
      </c>
    </row>
    <row r="80" spans="1:14" x14ac:dyDescent="0.2">
      <c r="A80" s="1274" t="s">
        <v>302</v>
      </c>
      <c r="B80" s="503">
        <v>4130</v>
      </c>
      <c r="C80" s="1673"/>
      <c r="D80" s="1673"/>
      <c r="E80" s="1573">
        <v>20879</v>
      </c>
      <c r="F80" s="1673"/>
      <c r="G80" s="1673"/>
      <c r="H80" s="1573"/>
      <c r="I80" s="1582"/>
      <c r="J80" s="1582"/>
      <c r="K80" s="1672">
        <f t="shared" si="11"/>
        <v>20879</v>
      </c>
      <c r="L80" s="1573">
        <v>20879</v>
      </c>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528</v>
      </c>
      <c r="F83" s="1673"/>
      <c r="G83" s="1673"/>
      <c r="H83" s="1573"/>
      <c r="I83" s="1582"/>
      <c r="J83" s="1582"/>
      <c r="K83" s="1672">
        <f t="shared" si="11"/>
        <v>528</v>
      </c>
      <c r="L83" s="1573">
        <v>528</v>
      </c>
    </row>
    <row r="84" spans="1:12" ht="13.5" thickBot="1" x14ac:dyDescent="0.25">
      <c r="A84" s="1380" t="s">
        <v>1468</v>
      </c>
      <c r="B84" s="1385">
        <v>4100</v>
      </c>
      <c r="C84" s="1673"/>
      <c r="D84" s="1673"/>
      <c r="E84" s="1674">
        <f>SUM(E78:E83)</f>
        <v>265371</v>
      </c>
      <c r="F84" s="1673"/>
      <c r="G84" s="1673"/>
      <c r="H84" s="1674">
        <f>SUM(H78:H83)</f>
        <v>384274</v>
      </c>
      <c r="I84" s="1582"/>
      <c r="J84" s="1582"/>
      <c r="K84" s="1674">
        <f>SUM(K78:K83)</f>
        <v>649645</v>
      </c>
      <c r="L84" s="1674">
        <f>SUM(L78:L83)</f>
        <v>649645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11387</v>
      </c>
    </row>
    <row r="102" spans="1:14" ht="12.75" customHeight="1" thickTop="1" thickBot="1" x14ac:dyDescent="0.25">
      <c r="A102" s="1380" t="s">
        <v>1470</v>
      </c>
      <c r="B102" s="1385">
        <v>4000</v>
      </c>
      <c r="C102" s="1673"/>
      <c r="D102" s="1673"/>
      <c r="E102" s="1681">
        <f>SUM(E84,E92,E100,E101)</f>
        <v>265371</v>
      </c>
      <c r="F102" s="1673"/>
      <c r="G102" s="1673"/>
      <c r="H102" s="1681">
        <f>SUM(H84,H92,H100,H101)</f>
        <v>384274</v>
      </c>
      <c r="I102" s="1582"/>
      <c r="J102" s="1582"/>
      <c r="K102" s="1681">
        <f>SUM(K84,K92,K100,K101)</f>
        <v>649645</v>
      </c>
      <c r="L102" s="1681">
        <f>SUM(L84,L92,L100,L101)</f>
        <v>661032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4620209</v>
      </c>
      <c r="D114" s="1674">
        <f t="shared" ref="D114:K114" si="13">SUM(D33,D74,D75,D102,D112,D113)</f>
        <v>796638</v>
      </c>
      <c r="E114" s="1674">
        <f t="shared" si="13"/>
        <v>420847</v>
      </c>
      <c r="F114" s="1674">
        <f t="shared" si="13"/>
        <v>481273</v>
      </c>
      <c r="G114" s="1674">
        <f t="shared" si="13"/>
        <v>86141</v>
      </c>
      <c r="H114" s="1674">
        <f>SUM(H33,H74,H75,H102,H112,H113)</f>
        <v>390666</v>
      </c>
      <c r="I114" s="1674">
        <f t="shared" si="13"/>
        <v>0</v>
      </c>
      <c r="J114" s="1674">
        <f t="shared" si="13"/>
        <v>0</v>
      </c>
      <c r="K114" s="1674">
        <f t="shared" si="13"/>
        <v>6795774</v>
      </c>
      <c r="L114" s="1674">
        <f>SUM(L33,L74,L75,L102,L112,L113)</f>
        <v>6845424</v>
      </c>
    </row>
    <row r="115" spans="1:14" ht="13.5" thickTop="1" x14ac:dyDescent="0.2">
      <c r="A115" s="2269" t="s">
        <v>989</v>
      </c>
      <c r="B115" s="2270"/>
      <c r="C115" s="1675"/>
      <c r="D115" s="1675"/>
      <c r="E115" s="1675"/>
      <c r="F115" s="1675"/>
      <c r="G115" s="1675"/>
      <c r="H115" s="1675"/>
      <c r="I115" s="1675"/>
      <c r="J115" s="1675"/>
      <c r="K115" s="1689">
        <f>'Revenues 9-14'!C268-'Expenditures 15-22'!K114</f>
        <v>456809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4" t="s">
        <v>293</v>
      </c>
      <c r="B117" s="227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316835</v>
      </c>
      <c r="D124" s="1573">
        <v>63511</v>
      </c>
      <c r="E124" s="1573">
        <v>117051</v>
      </c>
      <c r="F124" s="1573">
        <v>260588</v>
      </c>
      <c r="G124" s="1573">
        <v>7199</v>
      </c>
      <c r="H124" s="1573"/>
      <c r="I124" s="1574"/>
      <c r="J124" s="1574"/>
      <c r="K124" s="1674">
        <f>SUM(C124:J124)</f>
        <v>765184</v>
      </c>
      <c r="L124" s="1573">
        <v>772791</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316835</v>
      </c>
      <c r="D127" s="1674">
        <f t="shared" ref="D127:L127" si="14">SUM(D122:D126)</f>
        <v>63511</v>
      </c>
      <c r="E127" s="1674">
        <f t="shared" si="14"/>
        <v>117051</v>
      </c>
      <c r="F127" s="1674">
        <f t="shared" si="14"/>
        <v>260588</v>
      </c>
      <c r="G127" s="1674">
        <f t="shared" si="14"/>
        <v>7199</v>
      </c>
      <c r="H127" s="1674">
        <f t="shared" si="14"/>
        <v>0</v>
      </c>
      <c r="I127" s="1674">
        <f t="shared" si="14"/>
        <v>0</v>
      </c>
      <c r="J127" s="1674">
        <f t="shared" si="14"/>
        <v>0</v>
      </c>
      <c r="K127" s="1674">
        <f t="shared" si="14"/>
        <v>765184</v>
      </c>
      <c r="L127" s="1674">
        <f t="shared" si="14"/>
        <v>772791</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316835</v>
      </c>
      <c r="D129" s="1681">
        <f t="shared" ref="D129:L129" si="15">SUM(D120,D127,D128)</f>
        <v>63511</v>
      </c>
      <c r="E129" s="1681">
        <f t="shared" si="15"/>
        <v>117051</v>
      </c>
      <c r="F129" s="1681">
        <f t="shared" si="15"/>
        <v>260588</v>
      </c>
      <c r="G129" s="1681">
        <f t="shared" si="15"/>
        <v>7199</v>
      </c>
      <c r="H129" s="1681">
        <f t="shared" si="15"/>
        <v>0</v>
      </c>
      <c r="I129" s="1681">
        <f t="shared" si="15"/>
        <v>0</v>
      </c>
      <c r="J129" s="1681">
        <f t="shared" si="15"/>
        <v>0</v>
      </c>
      <c r="K129" s="1681">
        <f t="shared" si="15"/>
        <v>765184</v>
      </c>
      <c r="L129" s="1681">
        <f t="shared" si="15"/>
        <v>772791</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6" t="s">
        <v>616</v>
      </c>
      <c r="B151" s="2266"/>
      <c r="C151" s="1674">
        <f>SUM(C129,C130,C139,C149,C150)</f>
        <v>316835</v>
      </c>
      <c r="D151" s="1674">
        <f t="shared" ref="D151:K151" si="16">SUM(D129,D130,D139,D149,D150)</f>
        <v>63511</v>
      </c>
      <c r="E151" s="1674">
        <f t="shared" si="16"/>
        <v>117051</v>
      </c>
      <c r="F151" s="1674">
        <f t="shared" si="16"/>
        <v>260588</v>
      </c>
      <c r="G151" s="1674">
        <f t="shared" si="16"/>
        <v>7199</v>
      </c>
      <c r="H151" s="1674">
        <f t="shared" si="16"/>
        <v>0</v>
      </c>
      <c r="I151" s="1674">
        <f t="shared" si="16"/>
        <v>0</v>
      </c>
      <c r="J151" s="1674">
        <f t="shared" si="16"/>
        <v>0</v>
      </c>
      <c r="K151" s="1674">
        <f t="shared" si="16"/>
        <v>765184</v>
      </c>
      <c r="L151" s="1674">
        <f>SUM(L129,L130,L139,L149,L150)</f>
        <v>772791</v>
      </c>
    </row>
    <row r="152" spans="1:14" ht="12.75" customHeight="1" thickTop="1" x14ac:dyDescent="0.2">
      <c r="A152" s="2289" t="s">
        <v>1168</v>
      </c>
      <c r="B152" s="2290"/>
      <c r="C152" s="1675"/>
      <c r="D152" s="1675"/>
      <c r="E152" s="1675"/>
      <c r="F152" s="1675"/>
      <c r="G152" s="1675"/>
      <c r="H152" s="1675"/>
      <c r="I152" s="1675"/>
      <c r="J152" s="1673"/>
      <c r="K152" s="1689">
        <f>'Revenues 9-14'!D268-'Expenditures 15-22'!K151</f>
        <v>99360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4" t="s">
        <v>617</v>
      </c>
      <c r="B154" s="227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9" t="s">
        <v>989</v>
      </c>
      <c r="B175" s="2270"/>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210864</v>
      </c>
      <c r="D182" s="1573">
        <v>61301</v>
      </c>
      <c r="E182" s="1573">
        <v>136512</v>
      </c>
      <c r="F182" s="1573">
        <v>71996</v>
      </c>
      <c r="G182" s="1573">
        <v>286422</v>
      </c>
      <c r="H182" s="1573"/>
      <c r="I182" s="1574"/>
      <c r="J182" s="1574"/>
      <c r="K182" s="1672">
        <f>SUM(C182:J182)</f>
        <v>767095</v>
      </c>
      <c r="L182" s="1573">
        <v>661558</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210864</v>
      </c>
      <c r="D184" s="1681">
        <f t="shared" ref="D184:J184" si="17">SUM(D180,D182,D183)</f>
        <v>61301</v>
      </c>
      <c r="E184" s="1681">
        <f t="shared" si="17"/>
        <v>136512</v>
      </c>
      <c r="F184" s="1681">
        <f t="shared" si="17"/>
        <v>71996</v>
      </c>
      <c r="G184" s="1681">
        <f t="shared" si="17"/>
        <v>286422</v>
      </c>
      <c r="H184" s="1681">
        <f t="shared" si="17"/>
        <v>0</v>
      </c>
      <c r="I184" s="1681">
        <f t="shared" si="17"/>
        <v>0</v>
      </c>
      <c r="J184" s="1681">
        <f t="shared" si="17"/>
        <v>0</v>
      </c>
      <c r="K184" s="1681">
        <f>SUM(K180,K182,K183)</f>
        <v>767095</v>
      </c>
      <c r="L184" s="1681">
        <f>SUM(L180, L182:L183)</f>
        <v>661558</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210864</v>
      </c>
      <c r="D210" s="1674">
        <f>SUM(D184,D185)</f>
        <v>61301</v>
      </c>
      <c r="E210" s="1674">
        <f>SUM(E184,E185,E196)</f>
        <v>136512</v>
      </c>
      <c r="F210" s="1674">
        <f>SUM(F184,F185)</f>
        <v>71996</v>
      </c>
      <c r="G210" s="1674">
        <f>SUM(G184,G185)</f>
        <v>286422</v>
      </c>
      <c r="H210" s="1674">
        <f>SUM(H184,H185,H196,H208,H209)</f>
        <v>0</v>
      </c>
      <c r="I210" s="1674">
        <f>SUM(I184,I185)</f>
        <v>0</v>
      </c>
      <c r="J210" s="1674">
        <f>SUM(J184,J185)</f>
        <v>0</v>
      </c>
      <c r="K210" s="1672">
        <f>SUM(K184,K185,K196,K208,K209)</f>
        <v>767095</v>
      </c>
      <c r="L210" s="1674">
        <f>SUM(L184,L185,L196,L208,L209)</f>
        <v>661558</v>
      </c>
    </row>
    <row r="211" spans="1:14" ht="13.5" thickTop="1" x14ac:dyDescent="0.2">
      <c r="A211" s="2269" t="s">
        <v>989</v>
      </c>
      <c r="B211" s="2270"/>
      <c r="C211" s="1675"/>
      <c r="D211" s="1675"/>
      <c r="E211" s="1675"/>
      <c r="F211" s="1675"/>
      <c r="G211" s="1675"/>
      <c r="H211" s="1675"/>
      <c r="I211" s="1673"/>
      <c r="J211" s="1673"/>
      <c r="K211" s="1689">
        <f>'Revenues 9-14'!F268-'Expenditures 15-22'!K210</f>
        <v>18818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1" t="s">
        <v>959</v>
      </c>
      <c r="B213" s="229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45500</v>
      </c>
      <c r="E215" s="1673"/>
      <c r="F215" s="1673"/>
      <c r="G215" s="1673"/>
      <c r="H215" s="1673"/>
      <c r="I215" s="1673"/>
      <c r="J215" s="1673"/>
      <c r="K215" s="1672">
        <f>D215</f>
        <v>45500</v>
      </c>
      <c r="L215" s="1573">
        <v>43991</v>
      </c>
    </row>
    <row r="216" spans="1:14" x14ac:dyDescent="0.2">
      <c r="A216" s="1274" t="s">
        <v>162</v>
      </c>
      <c r="B216" s="503" t="s">
        <v>961</v>
      </c>
      <c r="C216" s="1673"/>
      <c r="D216" s="1574">
        <v>8601</v>
      </c>
      <c r="E216" s="1673"/>
      <c r="F216" s="1673"/>
      <c r="G216" s="1673"/>
      <c r="H216" s="1673"/>
      <c r="I216" s="1673"/>
      <c r="J216" s="1673"/>
      <c r="K216" s="1672">
        <f t="shared" ref="K216:K228" si="19">D216</f>
        <v>8601</v>
      </c>
      <c r="L216" s="1573">
        <v>8800</v>
      </c>
    </row>
    <row r="217" spans="1:14" x14ac:dyDescent="0.2">
      <c r="A217" s="1274" t="s">
        <v>163</v>
      </c>
      <c r="B217" s="503">
        <v>1200</v>
      </c>
      <c r="C217" s="1673"/>
      <c r="D217" s="1573">
        <v>27495</v>
      </c>
      <c r="E217" s="1673"/>
      <c r="F217" s="1673"/>
      <c r="G217" s="1673"/>
      <c r="H217" s="1673"/>
      <c r="I217" s="1673"/>
      <c r="J217" s="1673"/>
      <c r="K217" s="1672">
        <f t="shared" si="19"/>
        <v>27495</v>
      </c>
      <c r="L217" s="1573">
        <v>27003</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20692</v>
      </c>
      <c r="E219" s="1673"/>
      <c r="F219" s="1673"/>
      <c r="G219" s="1673"/>
      <c r="H219" s="1673"/>
      <c r="I219" s="1673"/>
      <c r="J219" s="1673"/>
      <c r="K219" s="1672">
        <f t="shared" si="19"/>
        <v>20692</v>
      </c>
      <c r="L219" s="1573">
        <v>19500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2339</v>
      </c>
      <c r="E222" s="1673"/>
      <c r="F222" s="1673"/>
      <c r="G222" s="1673"/>
      <c r="H222" s="1673"/>
      <c r="I222" s="1673"/>
      <c r="J222" s="1673"/>
      <c r="K222" s="1672">
        <f t="shared" si="19"/>
        <v>2339</v>
      </c>
      <c r="L222" s="1573">
        <v>2625</v>
      </c>
    </row>
    <row r="223" spans="1:14" x14ac:dyDescent="0.2">
      <c r="A223" s="1274" t="s">
        <v>957</v>
      </c>
      <c r="B223" s="503">
        <v>1500</v>
      </c>
      <c r="C223" s="1673"/>
      <c r="D223" s="1573">
        <v>2024</v>
      </c>
      <c r="E223" s="1673"/>
      <c r="F223" s="1673"/>
      <c r="G223" s="1673"/>
      <c r="H223" s="1673"/>
      <c r="I223" s="1673"/>
      <c r="J223" s="1673"/>
      <c r="K223" s="1672">
        <f t="shared" si="19"/>
        <v>2024</v>
      </c>
      <c r="L223" s="1573">
        <v>1741</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871</v>
      </c>
      <c r="E226" s="1673"/>
      <c r="F226" s="1673"/>
      <c r="G226" s="1673"/>
      <c r="H226" s="1673"/>
      <c r="I226" s="1673"/>
      <c r="J226" s="1673"/>
      <c r="K226" s="1672">
        <f t="shared" si="19"/>
        <v>871</v>
      </c>
      <c r="L226" s="1573">
        <v>920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107522</v>
      </c>
      <c r="E229" s="1673"/>
      <c r="F229" s="1673"/>
      <c r="G229" s="1673"/>
      <c r="H229" s="1673"/>
      <c r="I229" s="1673"/>
      <c r="J229" s="1673"/>
      <c r="K229" s="1674">
        <f>SUM(K215:K228)</f>
        <v>107522</v>
      </c>
      <c r="L229" s="1674">
        <f>SUM(L215:L228)</f>
        <v>104580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241</v>
      </c>
      <c r="E232" s="1673"/>
      <c r="F232" s="1673"/>
      <c r="G232" s="1673"/>
      <c r="H232" s="1673"/>
      <c r="I232" s="1673"/>
      <c r="J232" s="1673"/>
      <c r="K232" s="1672">
        <f t="shared" ref="K232:K237" si="20">D232</f>
        <v>241</v>
      </c>
      <c r="L232" s="1573">
        <v>229</v>
      </c>
    </row>
    <row r="233" spans="1:12" x14ac:dyDescent="0.2">
      <c r="A233" s="1274" t="s">
        <v>1081</v>
      </c>
      <c r="B233" s="503">
        <v>2120</v>
      </c>
      <c r="C233" s="1673"/>
      <c r="D233" s="1573">
        <v>576</v>
      </c>
      <c r="E233" s="1673"/>
      <c r="F233" s="1673"/>
      <c r="G233" s="1673"/>
      <c r="H233" s="1673"/>
      <c r="I233" s="1673"/>
      <c r="J233" s="1673"/>
      <c r="K233" s="1672">
        <f t="shared" si="20"/>
        <v>576</v>
      </c>
      <c r="L233" s="1573">
        <v>600</v>
      </c>
    </row>
    <row r="234" spans="1:12" x14ac:dyDescent="0.2">
      <c r="A234" s="1274" t="s">
        <v>196</v>
      </c>
      <c r="B234" s="503">
        <v>2130</v>
      </c>
      <c r="C234" s="1673"/>
      <c r="D234" s="1573">
        <v>3958</v>
      </c>
      <c r="E234" s="1673"/>
      <c r="F234" s="1673"/>
      <c r="G234" s="1673"/>
      <c r="H234" s="1673"/>
      <c r="I234" s="1673"/>
      <c r="J234" s="1673"/>
      <c r="K234" s="1672">
        <f t="shared" si="20"/>
        <v>3958</v>
      </c>
      <c r="L234" s="1573">
        <v>4587</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1385</v>
      </c>
      <c r="E236" s="1673"/>
      <c r="F236" s="1673"/>
      <c r="G236" s="1673"/>
      <c r="H236" s="1673"/>
      <c r="I236" s="1673"/>
      <c r="J236" s="1673"/>
      <c r="K236" s="1672">
        <f t="shared" si="20"/>
        <v>1385</v>
      </c>
      <c r="L236" s="1573">
        <v>1500</v>
      </c>
    </row>
    <row r="237" spans="1:12" x14ac:dyDescent="0.2">
      <c r="A237" s="1274" t="s">
        <v>164</v>
      </c>
      <c r="B237" s="503">
        <v>2190</v>
      </c>
      <c r="C237" s="1673"/>
      <c r="D237" s="1573">
        <v>1123</v>
      </c>
      <c r="E237" s="1673"/>
      <c r="F237" s="1673"/>
      <c r="G237" s="1673"/>
      <c r="H237" s="1673"/>
      <c r="I237" s="1673"/>
      <c r="J237" s="1673"/>
      <c r="K237" s="1672">
        <f t="shared" si="20"/>
        <v>1123</v>
      </c>
      <c r="L237" s="1573">
        <v>1600</v>
      </c>
    </row>
    <row r="238" spans="1:12" ht="12.75" customHeight="1" thickBot="1" x14ac:dyDescent="0.25">
      <c r="A238" s="1380" t="s">
        <v>556</v>
      </c>
      <c r="B238" s="1383" t="s">
        <v>711</v>
      </c>
      <c r="C238" s="1673"/>
      <c r="D238" s="1674">
        <f>SUM(D232:D237)</f>
        <v>7283</v>
      </c>
      <c r="E238" s="1673"/>
      <c r="F238" s="1673"/>
      <c r="G238" s="1673"/>
      <c r="H238" s="1673"/>
      <c r="I238" s="1673"/>
      <c r="J238" s="1673"/>
      <c r="K238" s="1674">
        <f>SUM(K232:K237)</f>
        <v>7283</v>
      </c>
      <c r="L238" s="1674">
        <f>SUM(L232:L237)</f>
        <v>8516</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17184</v>
      </c>
      <c r="E240" s="1673"/>
      <c r="F240" s="1673"/>
      <c r="G240" s="1673"/>
      <c r="H240" s="1673"/>
      <c r="I240" s="1673"/>
      <c r="J240" s="1673"/>
      <c r="K240" s="1678">
        <f>D240</f>
        <v>17184</v>
      </c>
      <c r="L240" s="1586">
        <v>18380</v>
      </c>
    </row>
    <row r="241" spans="1:12" x14ac:dyDescent="0.2">
      <c r="A241" s="1274" t="s">
        <v>810</v>
      </c>
      <c r="B241" s="503">
        <v>2220</v>
      </c>
      <c r="C241" s="1673"/>
      <c r="D241" s="1573">
        <v>10887</v>
      </c>
      <c r="E241" s="1673"/>
      <c r="F241" s="1673"/>
      <c r="G241" s="1673"/>
      <c r="H241" s="1673"/>
      <c r="I241" s="1673"/>
      <c r="J241" s="1673"/>
      <c r="K241" s="1678">
        <f>D241</f>
        <v>10887</v>
      </c>
      <c r="L241" s="1573">
        <v>10366</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28071</v>
      </c>
      <c r="E243" s="1673"/>
      <c r="F243" s="1673"/>
      <c r="G243" s="1673"/>
      <c r="H243" s="1673"/>
      <c r="I243" s="1673"/>
      <c r="J243" s="1673"/>
      <c r="K243" s="1674">
        <f>SUM(K240:K242)</f>
        <v>28071</v>
      </c>
      <c r="L243" s="1674">
        <f>SUM(L240:L242)</f>
        <v>28746</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10355</v>
      </c>
      <c r="E246" s="1673"/>
      <c r="F246" s="1673"/>
      <c r="G246" s="1673"/>
      <c r="H246" s="1673"/>
      <c r="I246" s="1673"/>
      <c r="J246" s="1673"/>
      <c r="K246" s="1678">
        <f t="shared" ref="K246:K256" si="21">D246</f>
        <v>10355</v>
      </c>
      <c r="L246" s="1573">
        <v>10700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10355</v>
      </c>
      <c r="E257" s="1673"/>
      <c r="F257" s="1673"/>
      <c r="G257" s="1673"/>
      <c r="H257" s="1673"/>
      <c r="I257" s="1673"/>
      <c r="J257" s="1673"/>
      <c r="K257" s="1674">
        <f>SUM(K245:K256)</f>
        <v>10355</v>
      </c>
      <c r="L257" s="1674">
        <f>SUM(L245:L256)</f>
        <v>10700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48938</v>
      </c>
      <c r="E259" s="1673"/>
      <c r="F259" s="1673"/>
      <c r="G259" s="1673"/>
      <c r="H259" s="1673"/>
      <c r="I259" s="1673"/>
      <c r="J259" s="1673"/>
      <c r="K259" s="1678">
        <f>D259</f>
        <v>48938</v>
      </c>
      <c r="L259" s="1586">
        <v>50750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48938</v>
      </c>
      <c r="E261" s="1673"/>
      <c r="F261" s="1673"/>
      <c r="G261" s="1673"/>
      <c r="H261" s="1673"/>
      <c r="I261" s="1673"/>
      <c r="J261" s="1673"/>
      <c r="K261" s="1674">
        <f>SUM(K259:K260)</f>
        <v>48938</v>
      </c>
      <c r="L261" s="1674">
        <f>SUM(L259:L260)</f>
        <v>50750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5427</v>
      </c>
      <c r="E264" s="1673"/>
      <c r="F264" s="1673"/>
      <c r="G264" s="1673"/>
      <c r="H264" s="1673"/>
      <c r="I264" s="1673"/>
      <c r="J264" s="1673"/>
      <c r="K264" s="1678">
        <f t="shared" ref="K264:K269" si="22">D264</f>
        <v>5427</v>
      </c>
      <c r="L264" s="1573">
        <v>5130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60438</v>
      </c>
      <c r="E266" s="1673"/>
      <c r="F266" s="1673"/>
      <c r="G266" s="1673"/>
      <c r="H266" s="1673"/>
      <c r="I266" s="1673"/>
      <c r="J266" s="1673"/>
      <c r="K266" s="1678">
        <f t="shared" si="22"/>
        <v>60438</v>
      </c>
      <c r="L266" s="1573">
        <v>59501</v>
      </c>
    </row>
    <row r="267" spans="1:14" x14ac:dyDescent="0.2">
      <c r="A267" s="1274" t="s">
        <v>947</v>
      </c>
      <c r="B267" s="503">
        <v>2550</v>
      </c>
      <c r="C267" s="1673"/>
      <c r="D267" s="1573">
        <v>38125</v>
      </c>
      <c r="E267" s="1673"/>
      <c r="F267" s="1673"/>
      <c r="G267" s="1673"/>
      <c r="H267" s="1673"/>
      <c r="I267" s="1673"/>
      <c r="J267" s="1673"/>
      <c r="K267" s="1678">
        <f t="shared" si="22"/>
        <v>38125</v>
      </c>
      <c r="L267" s="1573">
        <v>40205</v>
      </c>
    </row>
    <row r="268" spans="1:14" x14ac:dyDescent="0.2">
      <c r="A268" s="1274" t="s">
        <v>100</v>
      </c>
      <c r="B268" s="503">
        <v>2560</v>
      </c>
      <c r="C268" s="1673"/>
      <c r="D268" s="1573">
        <v>34802</v>
      </c>
      <c r="E268" s="1673"/>
      <c r="F268" s="1673"/>
      <c r="G268" s="1673"/>
      <c r="H268" s="1673"/>
      <c r="I268" s="1673"/>
      <c r="J268" s="1673"/>
      <c r="K268" s="1678">
        <f t="shared" si="22"/>
        <v>34802</v>
      </c>
      <c r="L268" s="1573">
        <v>35334</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138792</v>
      </c>
      <c r="E270" s="1673"/>
      <c r="F270" s="1673"/>
      <c r="G270" s="1673"/>
      <c r="H270" s="1673"/>
      <c r="I270" s="1673"/>
      <c r="J270" s="1673"/>
      <c r="K270" s="1674">
        <f>SUM(K263:K269)</f>
        <v>138792</v>
      </c>
      <c r="L270" s="1674">
        <f>SUM(L263:L269)</f>
        <v>140170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233439</v>
      </c>
      <c r="E279" s="1673"/>
      <c r="F279" s="1673"/>
      <c r="G279" s="1673"/>
      <c r="H279" s="1673"/>
      <c r="I279" s="1673"/>
      <c r="J279" s="1673"/>
      <c r="K279" s="1681">
        <f>SUM(K238,K243,K257,K261,K270,K277,K278)</f>
        <v>233439</v>
      </c>
      <c r="L279" s="1681">
        <f>SUM(L238,L243,L257,L261,L270,L277,L278)</f>
        <v>238882</v>
      </c>
    </row>
    <row r="280" spans="1:12" ht="15.75" customHeight="1" thickTop="1" thickBot="1" x14ac:dyDescent="0.25">
      <c r="A280" s="1362" t="s">
        <v>870</v>
      </c>
      <c r="B280" s="1351">
        <v>3000</v>
      </c>
      <c r="C280" s="1673"/>
      <c r="D280" s="1651">
        <v>1012</v>
      </c>
      <c r="E280" s="1673"/>
      <c r="F280" s="1673"/>
      <c r="G280" s="1673"/>
      <c r="H280" s="1673"/>
      <c r="I280" s="1673"/>
      <c r="J280" s="1673"/>
      <c r="K280" s="1687">
        <f>D280</f>
        <v>1012</v>
      </c>
      <c r="L280" s="1651">
        <v>1078</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7" t="s">
        <v>502</v>
      </c>
      <c r="B295" s="2288"/>
      <c r="C295" s="1673"/>
      <c r="D295" s="1674">
        <f>SUM(D229,D279,D280,D285)</f>
        <v>341973</v>
      </c>
      <c r="E295" s="1673"/>
      <c r="F295" s="1673"/>
      <c r="G295" s="1673"/>
      <c r="H295" s="1674">
        <f>H293</f>
        <v>0</v>
      </c>
      <c r="I295" s="1673"/>
      <c r="J295" s="1673"/>
      <c r="K295" s="1674">
        <f>SUM(K229,K279,K280,K285,K293,K294)</f>
        <v>341973</v>
      </c>
      <c r="L295" s="1674">
        <f>SUM(L229,L279,L280,L285,L293,L294)</f>
        <v>344540</v>
      </c>
    </row>
    <row r="296" spans="1:14" ht="13.5" thickTop="1" x14ac:dyDescent="0.2">
      <c r="A296" s="2269" t="s">
        <v>989</v>
      </c>
      <c r="B296" s="2270"/>
      <c r="C296" s="1673"/>
      <c r="D296" s="1675"/>
      <c r="E296" s="1673"/>
      <c r="F296" s="1673"/>
      <c r="G296" s="1673"/>
      <c r="H296" s="1707"/>
      <c r="I296" s="1673"/>
      <c r="J296" s="1673"/>
      <c r="K296" s="1689">
        <f>'Revenues 9-14'!G268-'Expenditures 15-22'!K295</f>
        <v>-26296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9" t="s">
        <v>142</v>
      </c>
      <c r="B298" s="227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62840</v>
      </c>
      <c r="F301" s="1573">
        <v>4748</v>
      </c>
      <c r="G301" s="1573">
        <v>106667</v>
      </c>
      <c r="H301" s="1573"/>
      <c r="I301" s="1574"/>
      <c r="J301" s="1574"/>
      <c r="K301" s="1672">
        <f>SUM(C301:J301)</f>
        <v>174255</v>
      </c>
      <c r="L301" s="1574">
        <v>204574</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62840</v>
      </c>
      <c r="F303" s="1681">
        <f t="shared" si="23"/>
        <v>4748</v>
      </c>
      <c r="G303" s="1681">
        <f t="shared" si="23"/>
        <v>106667</v>
      </c>
      <c r="H303" s="1681">
        <f t="shared" si="23"/>
        <v>0</v>
      </c>
      <c r="I303" s="1681">
        <f t="shared" si="23"/>
        <v>0</v>
      </c>
      <c r="J303" s="1681">
        <f t="shared" si="23"/>
        <v>0</v>
      </c>
      <c r="K303" s="1681">
        <f t="shared" si="23"/>
        <v>174255</v>
      </c>
      <c r="L303" s="1681">
        <f t="shared" si="23"/>
        <v>204574</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4" t="s">
        <v>275</v>
      </c>
      <c r="B312" s="2285"/>
      <c r="C312" s="1674">
        <f>SUM(C303)</f>
        <v>0</v>
      </c>
      <c r="D312" s="1674">
        <f>SUM(D303)</f>
        <v>0</v>
      </c>
      <c r="E312" s="1674">
        <f>SUM(E303,E310)</f>
        <v>62840</v>
      </c>
      <c r="F312" s="1674">
        <f>SUM(F303)</f>
        <v>4748</v>
      </c>
      <c r="G312" s="1674">
        <f>SUM(G303)</f>
        <v>106667</v>
      </c>
      <c r="H312" s="1674">
        <f>SUM(H303,H310)</f>
        <v>0</v>
      </c>
      <c r="I312" s="1674">
        <f>SUM(I303)</f>
        <v>0</v>
      </c>
      <c r="J312" s="1674">
        <f>SUM(J303)</f>
        <v>0</v>
      </c>
      <c r="K312" s="1674">
        <f>SUM(K303,K310,K311)</f>
        <v>174255</v>
      </c>
      <c r="L312" s="1674">
        <f>SUM(L303,L310,L311)</f>
        <v>204574</v>
      </c>
      <c r="M312" s="539"/>
      <c r="N312" s="539"/>
    </row>
    <row r="313" spans="1:14" ht="13.5" thickTop="1" x14ac:dyDescent="0.2">
      <c r="A313" s="2280" t="s">
        <v>989</v>
      </c>
      <c r="B313" s="2281"/>
      <c r="C313" s="1677"/>
      <c r="D313" s="1677"/>
      <c r="E313" s="1677"/>
      <c r="F313" s="1677"/>
      <c r="G313" s="1677"/>
      <c r="H313" s="1677"/>
      <c r="I313" s="1677"/>
      <c r="J313" s="1677"/>
      <c r="K313" s="1696">
        <f>'Revenues 9-14'!H268-'Expenditures 15-22'!K312</f>
        <v>227475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3" t="s">
        <v>148</v>
      </c>
      <c r="B315" s="229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5" t="s">
        <v>892</v>
      </c>
      <c r="B317" s="229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57271</v>
      </c>
      <c r="F320" s="1574"/>
      <c r="G320" s="1574"/>
      <c r="H320" s="1574"/>
      <c r="I320" s="1574"/>
      <c r="J320" s="1574"/>
      <c r="K320" s="1672">
        <f t="shared" ref="K320:K327" si="24">SUM(C320:J320)</f>
        <v>57271</v>
      </c>
      <c r="L320" s="1574">
        <v>57143</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15977</v>
      </c>
      <c r="F322" s="1574"/>
      <c r="G322" s="1574"/>
      <c r="H322" s="1574"/>
      <c r="I322" s="1574"/>
      <c r="J322" s="1574"/>
      <c r="K322" s="1672">
        <f t="shared" si="24"/>
        <v>15977</v>
      </c>
      <c r="L322" s="1574">
        <v>16677</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80188</v>
      </c>
      <c r="D325" s="1574">
        <v>9574</v>
      </c>
      <c r="E325" s="1574">
        <v>52558</v>
      </c>
      <c r="F325" s="1574"/>
      <c r="G325" s="1574"/>
      <c r="H325" s="1574"/>
      <c r="I325" s="1574"/>
      <c r="J325" s="1574"/>
      <c r="K325" s="1672">
        <f t="shared" si="24"/>
        <v>142320</v>
      </c>
      <c r="L325" s="1574">
        <v>141469</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9763</v>
      </c>
      <c r="F327" s="1574"/>
      <c r="G327" s="1574"/>
      <c r="H327" s="1574"/>
      <c r="I327" s="1574"/>
      <c r="J327" s="1574"/>
      <c r="K327" s="1672">
        <f t="shared" si="24"/>
        <v>9763</v>
      </c>
      <c r="L327" s="1574">
        <v>9763</v>
      </c>
      <c r="M327" s="539"/>
      <c r="N327" s="539"/>
    </row>
    <row r="328" spans="1:14" s="548" customFormat="1" x14ac:dyDescent="0.2">
      <c r="A328" s="1290" t="s">
        <v>469</v>
      </c>
      <c r="B328" s="562" t="s">
        <v>1122</v>
      </c>
      <c r="C328" s="1579"/>
      <c r="D328" s="1579"/>
      <c r="E328" s="1579">
        <v>90536</v>
      </c>
      <c r="F328" s="1579"/>
      <c r="G328" s="1579"/>
      <c r="H328" s="1579"/>
      <c r="I328" s="1579"/>
      <c r="J328" s="1579"/>
      <c r="K328" s="1713">
        <f>SUM(C328:J328)</f>
        <v>90536</v>
      </c>
      <c r="L328" s="1579">
        <v>90538</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80188</v>
      </c>
      <c r="D330" s="1674">
        <f t="shared" ref="D330:J330" si="25">SUM(D319:D329)</f>
        <v>9574</v>
      </c>
      <c r="E330" s="1674">
        <f t="shared" si="25"/>
        <v>226105</v>
      </c>
      <c r="F330" s="1674">
        <f t="shared" si="25"/>
        <v>0</v>
      </c>
      <c r="G330" s="1674">
        <f t="shared" si="25"/>
        <v>0</v>
      </c>
      <c r="H330" s="1674">
        <f t="shared" si="25"/>
        <v>0</v>
      </c>
      <c r="I330" s="1674">
        <f t="shared" si="25"/>
        <v>0</v>
      </c>
      <c r="J330" s="1674">
        <f t="shared" si="25"/>
        <v>0</v>
      </c>
      <c r="K330" s="1674">
        <f>SUM(K319:K329)</f>
        <v>315867</v>
      </c>
      <c r="L330" s="1674">
        <f>SUM(L319:L329)</f>
        <v>315590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80188</v>
      </c>
      <c r="D342" s="1674">
        <f>SUM(D330)</f>
        <v>9574</v>
      </c>
      <c r="E342" s="1674">
        <f>SUM(E330)</f>
        <v>226105</v>
      </c>
      <c r="F342" s="1674">
        <f>SUM(F330)</f>
        <v>0</v>
      </c>
      <c r="G342" s="1674">
        <f>SUM(G330)</f>
        <v>0</v>
      </c>
      <c r="H342" s="1674">
        <f>SUM(H330,H334,H340)</f>
        <v>0</v>
      </c>
      <c r="I342" s="1674">
        <f>SUM(I330)</f>
        <v>0</v>
      </c>
      <c r="J342" s="1674">
        <f>SUM(J330)</f>
        <v>0</v>
      </c>
      <c r="K342" s="1674">
        <f>SUM(K330,K334,K340)</f>
        <v>315867</v>
      </c>
      <c r="L342" s="1681">
        <f>SUM(L330,L334,L340,L341)</f>
        <v>315590</v>
      </c>
    </row>
    <row r="343" spans="1:14" ht="12.75" customHeight="1" thickTop="1" x14ac:dyDescent="0.2">
      <c r="A343" s="2282" t="s">
        <v>989</v>
      </c>
      <c r="B343" s="2283"/>
      <c r="C343" s="1673"/>
      <c r="D343" s="1673"/>
      <c r="E343" s="1673"/>
      <c r="F343" s="1673"/>
      <c r="G343" s="1673"/>
      <c r="H343" s="1673"/>
      <c r="I343" s="1673"/>
      <c r="J343" s="1673"/>
      <c r="K343" s="1689">
        <f>'Revenues 9-14'!J268-'Expenditures 15-22'!K342</f>
        <v>-60682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2" t="s">
        <v>960</v>
      </c>
      <c r="B345" s="227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2235</v>
      </c>
      <c r="F349" s="1573"/>
      <c r="G349" s="1573"/>
      <c r="H349" s="1573"/>
      <c r="I349" s="1574"/>
      <c r="J349" s="1574"/>
      <c r="K349" s="1672">
        <f>SUM(C349:J349)</f>
        <v>2235</v>
      </c>
      <c r="L349" s="1573">
        <v>2235</v>
      </c>
    </row>
    <row r="350" spans="1:14" ht="12.75" customHeight="1" thickBot="1" x14ac:dyDescent="0.25">
      <c r="A350" s="1380" t="s">
        <v>714</v>
      </c>
      <c r="B350" s="1381" t="s">
        <v>35</v>
      </c>
      <c r="C350" s="1674">
        <f>SUM(C348:C349)</f>
        <v>0</v>
      </c>
      <c r="D350" s="1674">
        <f t="shared" ref="D350:L350" si="26">SUM(D348:D349)</f>
        <v>0</v>
      </c>
      <c r="E350" s="1674">
        <f t="shared" si="26"/>
        <v>2235</v>
      </c>
      <c r="F350" s="1674">
        <f t="shared" si="26"/>
        <v>0</v>
      </c>
      <c r="G350" s="1674">
        <f t="shared" si="26"/>
        <v>0</v>
      </c>
      <c r="H350" s="1674">
        <f t="shared" si="26"/>
        <v>0</v>
      </c>
      <c r="I350" s="1674">
        <f t="shared" si="26"/>
        <v>0</v>
      </c>
      <c r="J350" s="1674">
        <f t="shared" si="26"/>
        <v>0</v>
      </c>
      <c r="K350" s="1674">
        <f t="shared" si="26"/>
        <v>2235</v>
      </c>
      <c r="L350" s="1674">
        <f t="shared" si="26"/>
        <v>2235</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2235</v>
      </c>
      <c r="F352" s="1674">
        <f t="shared" si="27"/>
        <v>0</v>
      </c>
      <c r="G352" s="1674">
        <f t="shared" si="27"/>
        <v>0</v>
      </c>
      <c r="H352" s="1674">
        <f t="shared" si="27"/>
        <v>0</v>
      </c>
      <c r="I352" s="1674">
        <f t="shared" si="27"/>
        <v>0</v>
      </c>
      <c r="J352" s="1674">
        <f t="shared" si="27"/>
        <v>0</v>
      </c>
      <c r="K352" s="1674">
        <f t="shared" si="27"/>
        <v>2235</v>
      </c>
      <c r="L352" s="1674">
        <f t="shared" si="27"/>
        <v>2235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2235</v>
      </c>
      <c r="F367" s="1674">
        <f t="shared" si="28"/>
        <v>0</v>
      </c>
      <c r="G367" s="1674">
        <f t="shared" si="28"/>
        <v>0</v>
      </c>
      <c r="H367" s="1674">
        <f t="shared" si="28"/>
        <v>0</v>
      </c>
      <c r="I367" s="1674">
        <f t="shared" si="28"/>
        <v>0</v>
      </c>
      <c r="J367" s="1674">
        <f t="shared" si="28"/>
        <v>0</v>
      </c>
      <c r="K367" s="1674">
        <f t="shared" si="28"/>
        <v>2235</v>
      </c>
      <c r="L367" s="1674">
        <f t="shared" si="28"/>
        <v>2235</v>
      </c>
    </row>
    <row r="368" spans="1:14" ht="13.5" thickTop="1" x14ac:dyDescent="0.2">
      <c r="A368" s="2269" t="s">
        <v>989</v>
      </c>
      <c r="B368" s="2270"/>
      <c r="C368" s="1694"/>
      <c r="D368" s="1694"/>
      <c r="E368" s="1677"/>
      <c r="F368" s="1677"/>
      <c r="G368" s="1677"/>
      <c r="H368" s="1677"/>
      <c r="I368" s="1677"/>
      <c r="J368" s="1676"/>
      <c r="K368" s="1672">
        <f>'Revenues 9-14'!K268-'Expenditures 15-22'!K367</f>
        <v>29774</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schemas.microsoft.com/sharepoint/v3"/>
    <ds:schemaRef ds:uri="http://schemas.microsoft.com/office/2006/metadata/properties"/>
    <ds:schemaRef ds:uri="4d435f69-8686-490b-bd6d-b153bf22ab50"/>
    <ds:schemaRef ds:uri="http://schemas.microsoft.com/office/2006/documentManagement/types"/>
    <ds:schemaRef ds:uri="http://purl.org/dc/terms/"/>
    <ds:schemaRef ds:uri="http://purl.org/dc/elements/1.1/"/>
    <ds:schemaRef ds:uri="http://schemas.microsoft.com/office/infopath/2007/PartnerControls"/>
    <ds:schemaRef ds:uri="d21dc803-237d-4c68-8692-8d731fd29118"/>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2020-12-10T14:27:56Z</cp:lastPrinted>
  <dcterms:created xsi:type="dcterms:W3CDTF">2003-10-29T19:06:34Z</dcterms:created>
  <dcterms:modified xsi:type="dcterms:W3CDTF">2020-12-16T00:22:10Z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