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43AD0BE-5C6B-477F-981C-AF48A0F3AC53}" xr6:coauthVersionLast="36" xr6:coauthVersionMax="36" xr10:uidLastSave="{00000000-0000-0000-0000-000000000000}"/>
  <bookViews>
    <workbookView xWindow="-15" yWindow="13650" windowWidth="25320" windowHeight="6450" tabRatio="83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D14" i="11"/>
  <c r="D8" i="1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26" i="106"/>
  <c r="D7126" i="106" s="1"/>
  <c r="E57" i="184"/>
  <c r="N57" i="184" s="1"/>
  <c r="B2895" i="106"/>
  <c r="D2895" i="106" s="1"/>
  <c r="L33" i="3"/>
  <c r="G33" i="108"/>
  <c r="E17" i="184"/>
  <c r="H17" i="184" s="1"/>
  <c r="H342" i="29"/>
  <c r="B7696" i="106"/>
  <c r="D7696" i="106" s="1"/>
  <c r="E66" i="184"/>
  <c r="N66" i="184" s="1"/>
  <c r="B7189" i="106"/>
  <c r="D7189" i="106" s="1"/>
  <c r="E64" i="184"/>
  <c r="N64" i="184" s="1"/>
  <c r="B7171" i="106"/>
  <c r="D7171" i="106" s="1"/>
  <c r="E62" i="184"/>
  <c r="N62" i="184" s="1"/>
  <c r="B7153" i="106"/>
  <c r="D7153" i="106" s="1"/>
  <c r="E60" i="184"/>
  <c r="N60" i="184" s="1"/>
  <c r="D31" i="108"/>
  <c r="E16" i="184"/>
  <c r="H16" i="184" s="1"/>
  <c r="H12" i="184"/>
  <c r="H19" i="184" s="1"/>
  <c r="L20" i="184" s="1"/>
  <c r="E19" i="184"/>
  <c r="B7162" i="106"/>
  <c r="D7162" i="106" s="1"/>
  <c r="E61" i="184"/>
  <c r="N61" i="184" s="1"/>
  <c r="B7135" i="106"/>
  <c r="D7135" i="106" s="1"/>
  <c r="E58" i="184"/>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L151" i="29"/>
  <c r="C266" i="5"/>
  <c r="J24" i="12"/>
  <c r="B7730" i="106"/>
  <c r="D7730" i="106" s="1"/>
  <c r="B3447" i="106"/>
  <c r="D3447" i="106" s="1"/>
  <c r="E367" i="29" l="1"/>
  <c r="B3635" i="106"/>
  <c r="B7222" i="106"/>
  <c r="D7222" i="106" s="1"/>
  <c r="F76" i="34"/>
  <c r="B7887" i="106" s="1"/>
  <c r="D7887" i="106" s="1"/>
  <c r="B2914" i="106"/>
  <c r="D2914" i="106" s="1"/>
  <c r="L34" i="3"/>
  <c r="B7220" i="106"/>
  <c r="D7220" i="106" s="1"/>
  <c r="F75" i="34"/>
  <c r="B7886" i="106" s="1"/>
  <c r="D7886" i="106" s="1"/>
  <c r="B7623" i="106"/>
  <c r="M19" i="3"/>
  <c r="B276" i="106" s="1"/>
  <c r="D276" i="106" s="1"/>
  <c r="B2057" i="106"/>
  <c r="D2057" i="106" s="1"/>
  <c r="M17" i="3"/>
  <c r="L16" i="11"/>
  <c r="B2061" i="106" s="1"/>
  <c r="D2061" i="106" s="1"/>
  <c r="N58" i="184"/>
  <c r="N68" i="184" s="1"/>
  <c r="E68" i="184"/>
  <c r="B1381" i="106"/>
  <c r="D1381"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2916" i="106" l="1"/>
  <c r="D2916" i="106" s="1"/>
  <c r="L41" i="3"/>
  <c r="B274" i="106"/>
  <c r="D274" i="106" s="1"/>
  <c r="M23" i="3"/>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B2917" i="106" l="1"/>
  <c r="D2917" i="106" s="1"/>
  <c r="D53" i="36"/>
  <c r="B279" i="106"/>
  <c r="D279" i="106" s="1"/>
  <c r="M40" i="3"/>
  <c r="F77" i="34"/>
  <c r="J20" i="4"/>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0" i="106" l="1"/>
  <c r="D280" i="106" s="1"/>
  <c r="M41" i="3"/>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6214" i="106" l="1"/>
  <c r="D6214" i="106" s="1"/>
  <c r="J41" i="3"/>
  <c r="B281" i="106"/>
  <c r="D281" i="106" s="1"/>
  <c r="D54" i="36"/>
  <c r="F78" i="34"/>
  <c r="F80" i="34" s="1"/>
  <c r="B7837" i="106" s="1"/>
  <c r="D7837" i="106" s="1"/>
  <c r="B7822" i="106"/>
  <c r="B3588" i="106"/>
  <c r="D3588" i="106" s="1"/>
  <c r="K81" i="4"/>
  <c r="K38" i="3" s="1"/>
  <c r="F78" i="4"/>
  <c r="B2601" i="106"/>
  <c r="D2601" i="106" s="1"/>
  <c r="B3320" i="106"/>
  <c r="D3320" i="106" s="1"/>
  <c r="I81" i="4"/>
  <c r="K17" i="118"/>
  <c r="B3300" i="106"/>
  <c r="D3300" i="106" s="1"/>
  <c r="H81" i="4"/>
  <c r="H38"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6" i="106" l="1"/>
  <c r="D3566" i="106" s="1"/>
  <c r="K41" i="3"/>
  <c r="D51" i="36"/>
  <c r="B6216" i="106"/>
  <c r="D6216" i="106" s="1"/>
  <c r="B123" i="106"/>
  <c r="D123" i="106" s="1"/>
  <c r="D41" i="3"/>
  <c r="B2535" i="106"/>
  <c r="D2535" i="106" s="1"/>
  <c r="H41" i="3"/>
  <c r="F176" i="34"/>
  <c r="B7878" i="106" s="1"/>
  <c r="D7878" i="106" s="1"/>
  <c r="B7835" i="106"/>
  <c r="D7835" i="106" s="1"/>
  <c r="B3278" i="106"/>
  <c r="D3278" i="106" s="1"/>
  <c r="E81" i="4"/>
  <c r="E38" i="3" s="1"/>
  <c r="D75" i="36" s="1"/>
  <c r="B3233" i="106"/>
  <c r="D3233" i="106" s="1"/>
  <c r="C81" i="4"/>
  <c r="C39" i="3" s="1"/>
  <c r="A7263" i="106"/>
  <c r="D7262" i="106"/>
  <c r="B1700" i="106"/>
  <c r="D1700" i="106" s="1"/>
  <c r="H82" i="4"/>
  <c r="D62" i="36"/>
  <c r="J20" i="118"/>
  <c r="O16" i="118"/>
  <c r="K20"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52" i="36" l="1"/>
  <c r="B3568" i="106"/>
  <c r="D3568" i="106" s="1"/>
  <c r="B170" i="106"/>
  <c r="D170" i="106" s="1"/>
  <c r="F41" i="3"/>
  <c r="B124" i="106"/>
  <c r="D124" i="106" s="1"/>
  <c r="D45" i="36"/>
  <c r="B2504" i="106"/>
  <c r="D2504" i="106" s="1"/>
  <c r="E41" i="3"/>
  <c r="D76" i="36"/>
  <c r="B92" i="106"/>
  <c r="D92" i="106" s="1"/>
  <c r="C41" i="3"/>
  <c r="B213" i="106"/>
  <c r="D213" i="106" s="1"/>
  <c r="D49"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7" i="36" l="1"/>
  <c r="B171" i="106"/>
  <c r="D171" i="106" s="1"/>
  <c r="D46" i="36"/>
  <c r="B141" i="106"/>
  <c r="D141" i="106" s="1"/>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<sst xmlns="http://schemas.openxmlformats.org/spreadsheetml/2006/main" count="5143" uniqueCount="2075">
  <si>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</si>
  <si>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</si>
  <si>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</si>
  <si>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</si>
  <si>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</si>
  <si>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</si>
  <si>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</si>
  <si>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</si>
  <si>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</si>
  <si>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</si>
  <si>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</si>
  <si>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</si>
  <si>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</si>
  <si>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</si>
  <si>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</si>
  <si>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</si>
  <si>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</si>
  <si>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</si>
  <si>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</si>
  <si>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</si>
  <si>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</si>
  <si>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</si>
  <si>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</si>
  <si>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</si>
  <si>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</si>
  <si>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</si>
  <si>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</si>
  <si>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</si>
  <si>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</si>
  <si>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</si>
  <si>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</si>
  <si>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</si>
  <si>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</si>
  <si>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</si>
  <si>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</si>
  <si>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</si>
  <si>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</si>
  <si>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</si>
  <si>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</si>
  <si>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</si>
  <si>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</si>
  <si>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</si>
  <si>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</si>
  <si>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</si>
  <si>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</si>
  <si>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</si>
  <si>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</si>
  <si>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</si>
  <si>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</si>
  <si>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</si>
  <si>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</si>
  <si>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</si>
  <si>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</si>
  <si>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</si>
  <si>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</si>
  <si>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</si>
  <si>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</si>
  <si>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</si>
  <si>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</si>
  <si>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</si>
  <si>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</si>
  <si>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</si>
  <si>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</si>
  <si>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</si>
  <si>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</si>
  <si>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</si>
  <si>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</si>
  <si>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</si>
  <si>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</si>
  <si>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</si>
  <si>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</si>
  <si>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</si>
  <si>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</si>
  <si>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</si>
  <si>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</si>
  <si>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</si>
  <si>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</si>
  <si>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</si>
  <si>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</si>
  <si>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</si>
  <si>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</si>
  <si>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</si>
  <si>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</si>
  <si>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</si>
  <si>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</si>
  <si>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</si>
  <si>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</si>
  <si>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</si>
  <si>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</si>
  <si>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</si>
  <si>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</si>
  <si>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</si>
  <si>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</si>
  <si>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</si>
  <si>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</si>
  <si>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</si>
  <si>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</si>
  <si>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</si>
  <si>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</si>
  <si>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</si>
  <si>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</si>
  <si>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</si>
  <si>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</si>
  <si>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</si>
  <si>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</si>
  <si>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</si>
  <si>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</si>
  <si>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</si>
  <si>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</si>
  <si>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</si>
  <si>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</si>
  <si>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</si>
  <si>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</si>
  <si>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</si>
  <si>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</si>
  <si>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</si>
  <si>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</si>
  <si>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</si>
  <si>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</si>
  <si>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</si>
  <si>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</si>
  <si>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</si>
  <si>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</si>
  <si>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</si>
  <si>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</si>
  <si>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</si>
  <si>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</si>
  <si>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</si>
  <si>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</si>
  <si>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</si>
  <si>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</si>
  <si>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</si>
  <si>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</si>
  <si>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</si>
  <si>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</si>
  <si>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</si>
  <si>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</si>
  <si>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</si>
  <si>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</si>
  <si>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</si>
  <si>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</si>
  <si>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</si>
  <si>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</si>
  <si>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</si>
  <si>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</si>
  <si>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</si>
  <si>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</si>
  <si>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</si>
  <si>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</si>
  <si>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</si>
  <si>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</si>
  <si>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</si>
  <si>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</si>
  <si>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</si>
  <si>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</si>
  <si>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</si>
  <si>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</si>
  <si>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</si>
  <si>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</si>
  <si>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</si>
  <si>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</si>
  <si>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</si>
  <si>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</si>
  <si>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</si>
  <si>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</si>
  <si>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</si>
  <si>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</si>
  <si>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</si>
  <si>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</si>
  <si>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</si>
  <si>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</si>
  <si>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</si>
  <si>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</si>
  <si>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</si>
  <si>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</si>
  <si>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</si>
  <si>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</si>
  <si>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</si>
  <si>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</si>
  <si>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</si>
  <si>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</si>
  <si>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</si>
  <si>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</si>
  <si>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</si>
  <si>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</si>
  <si>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</si>
  <si>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</si>
  <si>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</si>
  <si>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</si>
  <si>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</si>
  <si>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</si>
  <si>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</si>
  <si>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</si>
  <si>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</si>
  <si>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</si>
  <si>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</si>
  <si>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</si>
  <si>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</si>
  <si>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</si>
  <si>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</si>
  <si>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</si>
  <si>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</si>
  <si>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</si>
  <si>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</si>
  <si>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</si>
  <si>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</si>
  <si>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</si>
  <si>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</si>
  <si>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</si>
  <si>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</si>
  <si>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</si>
  <si>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</si>
  <si>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</si>
  <si>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</si>
  <si>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</si>
  <si>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</si>
  <si>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</si>
  <si>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</si>
  <si>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</si>
  <si>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</si>
  <si>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</si>
  <si>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</si>
  <si>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</si>
  <si>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</si>
  <si>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</si>
  <si>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</si>
  <si>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</si>
  <si>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</si>
  <si>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</si>
  <si>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</si>
  <si>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</si>
  <si>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</si>
  <si>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</si>
  <si>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</si>
  <si>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</si>
  <si>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</si>
  <si>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</si>
  <si>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</si>
  <si>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</si>
  <si>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</si>
  <si>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</si>
  <si>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</si>
  <si>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</si>
  <si>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</si>
  <si>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</si>
  <si>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</si>
  <si>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</si>
  <si>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</si>
  <si>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</si>
  <si>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</si>
  <si>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</si>
  <si>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</si>
  <si>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</si>
  <si>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</si>
  <si>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</si>
  <si>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</si>
  <si>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</si>
  <si>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</si>
  <si>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</si>
  <si>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</si>
  <si>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</si>
  <si>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</si>
  <si>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</si>
  <si>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</si>
  <si>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</si>
  <si>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</si>
  <si>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</si>
  <si>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</si>
  <si>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</si>
  <si>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</si>
  <si>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</si>
  <si>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</si>
  <si>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</si>
  <si>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</si>
  <si>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</si>
  <si>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</si>
  <si>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</si>
  <si>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</si>
  <si>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</si>
  <si>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</si>
  <si>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</si>
  <si>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</si>
  <si>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</si>
  <si>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</si>
  <si>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</si>
  <si>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</si>
  <si>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</si>
  <si>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</si>
  <si>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</si>
  <si>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</si>
  <si>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</si>
  <si>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</si>
  <si>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</si>
  <si>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</si>
  <si>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</si>
  <si>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</si>
  <si>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</si>
  <si>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</si>
  <si>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</si>
  <si>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</si>
  <si>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</si>
  <si>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</si>
  <si>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</si>
  <si>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</si>
  <si>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</si>
  <si>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</si>
  <si>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</si>
  <si>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</si>
  <si>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</si>
  <si>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</si>
  <si>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</si>
  <si>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</si>
  <si>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</si>
  <si>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</si>
  <si>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</si>
  <si>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</si>
  <si>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</si>
  <si>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</si>
  <si>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</si>
  <si>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</si>
  <si>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</si>
  <si>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</si>
  <si>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</si>
  <si>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</si>
  <si>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</si>
  <si>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</si>
  <si>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</si>
  <si>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</si>
  <si>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</si>
  <si>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</si>
  <si>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</si>
  <si>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</si>
  <si>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</si>
  <si>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</si>
  <si>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</si>
  <si>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</si>
  <si>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</si>
  <si>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</si>
  <si>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</si>
  <si>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</si>
  <si>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</si>
  <si>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</si>
  <si>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</si>
  <si>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</si>
  <si>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</si>
  <si>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</si>
  <si>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</si>
  <si>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</si>
  <si>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</si>
  <si>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</si>
  <si>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</si>
  <si>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</si>
  <si>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</si>
  <si>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</si>
  <si>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</si>
  <si>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</si>
  <si>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</si>
  <si>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</si>
  <si>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</si>
  <si>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</si>
  <si>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</si>
  <si>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</si>
  <si>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</si>
  <si>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</si>
  <si>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</si>
  <si>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</si>
  <si>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</si>
  <si>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</si>
  <si>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</si>
  <si>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</si>
  <si>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</si>
  <si>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</si>
  <si>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</si>
  <si>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</si>
  <si>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</si>
  <si>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</si>
  <si>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</si>
  <si>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</si>
  <si>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</si>
  <si>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</si>
  <si>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</si>
  <si>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</si>
  <si>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</si>
  <si>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</si>
  <si>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</si>
  <si>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</si>
  <si>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</si>
  <si>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</si>
  <si>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</si>
  <si>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</si>
  <si>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</si>
  <si>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</si>
  <si>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</si>
  <si>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</si>
  <si>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</si>
  <si>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</si>
  <si>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</si>
  <si>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</si>
  <si>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</si>
  <si>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</si>
  <si>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</si>
  <si>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</si>
  <si>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</si>
  <si>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</si>
  <si>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</si>
  <si>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</si>
  <si>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</si>
  <si>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</si>
  <si>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</si>
  <si>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</si>
  <si>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</si>
  <si>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</si>
  <si>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</si>
  <si>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</si>
  <si>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</si>
  <si>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</si>
  <si>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</si>
  <si>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</si>
  <si>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</si>
  <si>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</si>
  <si>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</si>
  <si>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</si>
  <si>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</si>
  <si>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</si>
  <si>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</si>
  <si>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</si>
  <si>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</si>
  <si>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</si>
  <si>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</si>
  <si>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</si>
  <si>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</si>
  <si>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</si>
  <si>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</si>
  <si>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</si>
  <si>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</si>
  <si>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</si>
  <si>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</si>
  <si>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</si>
  <si>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</si>
  <si>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</si>
  <si>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</si>
  <si>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</si>
  <si>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</si>
  <si>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</si>
  <si>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</si>
  <si>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</si>
  <si>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</si>
  <si>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</si>
  <si>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</si>
  <si>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</si>
  <si>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</si>
  <si>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</si>
  <si>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</si>
  <si>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</si>
  <si>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</si>
  <si>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</si>
  <si>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</si>
  <si>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</si>
  <si>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</si>
  <si>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</si>
  <si>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</si>
  <si>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</si>
  <si>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</si>
  <si>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</si>
  <si>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</si>
  <si>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</si>
  <si>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</si>
  <si>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</si>
  <si>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</si>
  <si>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</si>
  <si>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</si>
  <si>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</si>
  <si>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</si>
  <si>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</si>
  <si>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</si>
  <si>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</si>
  <si>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</si>
  <si>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</si>
  <si>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</si>
  <si>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</si>
  <si>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</si>
  <si>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</si>
  <si>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</si>
  <si>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</si>
  <si>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</si>
  <si>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</si>
  <si>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</si>
  <si>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</si>
  <si>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</si>
  <si>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</si>
  <si>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</si>
  <si>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</si>
  <si>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</si>
  <si>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</si>
  <si>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</si>
  <si>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</si>
  <si>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</si>
  <si>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</si>
  <si>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</si>
  <si>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</si>
  <si>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</si>
  <si>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</si>
  <si>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</si>
  <si>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</si>
  <si>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</si>
  <si>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</si>
  <si>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</si>
  <si>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</si>
  <si>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</si>
  <si>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</si>
  <si>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</si>
  <si>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</si>
  <si>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</si>
  <si>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</si>
  <si>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</si>
  <si>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</si>
  <si>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</si>
  <si>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</si>
  <si>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</si>
  <si>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</si>
  <si>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</si>
  <si>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</si>
  <si>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</si>
  <si>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</si>
  <si>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</si>
  <si>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</si>
  <si>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</si>
  <si>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</si>
  <si>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</si>
  <si>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</si>
  <si>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</si>
  <si>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</si>
  <si>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</si>
  <si>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</si>
  <si>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</si>
  <si>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</si>
  <si>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</si>
  <si>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</si>
  <si>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</si>
  <si>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</si>
  <si>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</si>
  <si>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</si>
  <si>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</si>
  <si>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</si>
  <si>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</si>
  <si>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</si>
  <si>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</si>
  <si>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</si>
  <si>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</si>
  <si>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</si>
  <si>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</si>
  <si>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</si>
  <si>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</si>
  <si>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</si>
  <si>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</si>
  <si>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</si>
  <si>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</si>
  <si>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</si>
  <si>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</si>
  <si>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</si>
  <si>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</si>
  <si>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</si>
  <si>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</si>
  <si>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</si>
  <si>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</si>
  <si>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</si>
  <si>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</si>
  <si>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</si>
  <si>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</si>
  <si>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</si>
  <si>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</si>
  <si>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</si>
  <si>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</si>
  <si>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</si>
  <si>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</si>
  <si>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</si>
  <si>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</si>
  <si>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</si>
  <si>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</si>
  <si>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</si>
  <si>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</si>
  <si>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</si>
  <si>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</si>
  <si>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</si>
  <si>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</si>
  <si>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</si>
  <si>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</si>
  <si>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</si>
  <si>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</si>
  <si>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</si>
  <si>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</si>
  <si>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</si>
  <si>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</si>
  <si>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</si>
  <si>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</si>
  <si>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</si>
  <si>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</si>
  <si>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</si>
  <si>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</si>
  <si>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</si>
  <si>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</si>
  <si>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</si>
  <si>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</si>
  <si>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</si>
  <si>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</si>
  <si>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</si>
  <si>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</si>
  <si>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</si>
  <si>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</si>
  <si>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</si>
  <si>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</si>
  <si>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</si>
  <si>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</si>
  <si>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</si>
  <si>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</si>
  <si>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</si>
  <si>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</si>
  <si>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</si>
  <si>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</si>
  <si>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</si>
  <si>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</si>
  <si>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</si>
  <si>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</si>
  <si>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</si>
  <si>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</si>
  <si>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</si>
  <si>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</si>
  <si>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</si>
  <si>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</si>
  <si>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</si>
  <si>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</si>
  <si>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</si>
  <si>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</si>
  <si>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</si>
  <si>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</si>
  <si>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</si>
  <si>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</si>
  <si>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</si>
  <si>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</si>
  <si>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</si>
  <si>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</si>
  <si>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</si>
  <si>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</si>
  <si>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</si>
  <si>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</si>
  <si>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</si>
  <si>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</si>
  <si>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</si>
  <si>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</si>
  <si>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</si>
  <si>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</si>
  <si>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</si>
  <si>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</si>
  <si>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</si>
  <si>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</si>
  <si>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</si>
  <si>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</si>
  <si>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</si>
  <si>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</si>
  <si>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</si>
  <si>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</si>
  <si>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</si>
  <si>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</si>
  <si>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</si>
  <si>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</si>
  <si>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</si>
  <si>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</si>
  <si>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</si>
  <si>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</si>
  <si>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</si>
  <si>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</si>
  <si>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</si>
  <si>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</si>
  <si>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</si>
  <si>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</si>
  <si>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</si>
  <si>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</si>
  <si>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</si>
  <si>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</si>
  <si>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</si>
  <si>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</si>
  <si>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</si>
  <si>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</si>
  <si>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</si>
  <si>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</si>
  <si>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</si>
  <si>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</si>
  <si>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</si>
  <si>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</si>
  <si>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</si>
  <si>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</si>
  <si>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</si>
  <si>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</si>
  <si>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</si>
  <si>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</si>
  <si>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</si>
  <si>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</si>
  <si>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</si>
  <si>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</si>
  <si>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</si>
  <si>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</si>
  <si>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</si>
  <si>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</si>
  <si>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</si>
  <si>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</si>
  <si>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</si>
  <si>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</si>
  <si>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</si>
  <si>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</si>
  <si>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</si>
  <si>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</si>
  <si>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</si>
  <si>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</si>
  <si>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</si>
  <si>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</si>
  <si>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</si>
  <si>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</si>
  <si>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</si>
  <si>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</si>
  <si>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</si>
  <si>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</si>
  <si>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</si>
  <si>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</si>
  <si>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</si>
  <si>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</si>
  <si>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</si>
  <si>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</si>
  <si>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</si>
  <si>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</si>
  <si>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</si>
  <si>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</si>
  <si>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</si>
  <si>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</si>
  <si>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</si>
  <si>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</si>
  <si>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</si>
  <si>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</si>
  <si>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</si>
  <si>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</si>
  <si>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</si>
  <si>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</si>
  <si>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</si>
  <si>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</si>
  <si>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</si>
  <si>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</si>
  <si>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</si>
  <si>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</si>
  <si>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</si>
  <si>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</si>
  <si>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</si>
  <si>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</si>
  <si>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</si>
  <si>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</si>
  <si>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</si>
  <si>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</si>
  <si>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</si>
  <si>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</si>
  <si>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</si>
  <si>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</si>
  <si>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</si>
  <si>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</si>
  <si>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</si>
  <si>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</si>
  <si>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</si>
  <si>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</si>
  <si>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</si>
  <si>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</si>
  <si>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</si>
  <si>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</si>
  <si>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</si>
  <si>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</si>
  <si>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</si>
  <si>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</si>
  <si>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</si>
  <si>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</si>
  <si>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</si>
  <si>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</si>
  <si>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</si>
  <si>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</si>
  <si>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</si>
  <si>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</si>
  <si>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</si>
  <si>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</si>
  <si>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</si>
  <si>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</si>
  <si>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</si>
  <si>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</si>
  <si>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</si>
  <si>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</si>
  <si>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</si>
  <si>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</si>
  <si>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</si>
  <si>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</si>
  <si>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</si>
  <si>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</si>
  <si>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</si>
  <si>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</si>
  <si>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</si>
  <si>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</si>
  <si>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</si>
  <si>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</si>
  <si>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</si>
  <si>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</si>
  <si>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</si>
  <si>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</si>
  <si>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</si>
  <si>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</si>
  <si>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</si>
  <si>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</si>
  <si>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</si>
  <si>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</si>
  <si>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</si>
  <si>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</si>
  <si>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</si>
  <si>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</si>
  <si>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</si>
  <si>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</si>
  <si>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</si>
  <si>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</si>
  <si>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</si>
  <si>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</si>
  <si>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</si>
  <si>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</si>
  <si>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</si>
  <si>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</si>
  <si>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</si>
  <si>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</si>
  <si>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</si>
  <si>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</si>
  <si>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</si>
  <si>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</si>
  <si>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</si>
  <si>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</si>
  <si>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</si>
  <si>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</si>
  <si>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</si>
  <si>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</si>
  <si>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</si>
  <si>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</si>
  <si>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</si>
  <si>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</si>
  <si>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</si>
  <si>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</si>
  <si>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</si>
  <si>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</si>
  <si>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</si>
  <si>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</si>
  <si>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</si>
  <si>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</si>
  <si>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</si>
  <si>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</si>
  <si>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</si>
  <si>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</si>
  <si>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</si>
  <si>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</si>
  <si>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</si>
  <si>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</si>
  <si>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</si>
  <si>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</si>
  <si>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</si>
  <si>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</si>
  <si>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</si>
  <si>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</si>
  <si>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</si>
  <si>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</si>
  <si>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</si>
  <si>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</si>
  <si>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</si>
  <si>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</si>
  <si>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</si>
  <si>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</si>
  <si>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</si>
  <si>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</si>
  <si>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</si>
  <si>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</si>
  <si>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</si>
  <si>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</si>
  <si>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</si>
  <si>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</si>
  <si>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</si>
  <si>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</si>
  <si>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</si>
  <si>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</si>
  <si>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</si>
  <si>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</si>
  <si>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</si>
  <si>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</si>
  <si>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</si>
  <si>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</si>
  <si>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</si>
  <si>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</si>
  <si>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</si>
  <si>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</si>
  <si>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</si>
  <si>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</si>
  <si>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</si>
  <si>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</si>
  <si>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</si>
  <si>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</si>
  <si>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</si>
  <si>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</si>
  <si>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</si>
  <si>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</si>
  <si>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</si>
  <si>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</si>
  <si>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</si>
  <si>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</si>
  <si>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</si>
  <si>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</si>
  <si>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</si>
  <si>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</si>
  <si>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</si>
  <si>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</si>
  <si>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</si>
  <si>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</si>
  <si>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</si>
  <si>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</si>
  <si>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</si>
  <si>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</si>
  <si>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</si>
  <si>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</si>
  <si>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</si>
  <si>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</si>
  <si>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</si>
  <si>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</si>
  <si>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</si>
  <si>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</si>
  <si>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</si>
  <si>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</si>
  <si>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</si>
  <si>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</si>
  <si>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</si>
  <si>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</si>
  <si>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</si>
  <si>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</si>
  <si>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</si>
  <si>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</si>
  <si>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</si>
  <si>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</si>
  <si>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</si>
  <si>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</si>
  <si>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</si>
  <si>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</si>
  <si>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</si>
  <si>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</si>
  <si>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</si>
  <si>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</si>
  <si>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</si>
  <si>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</si>
  <si>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</si>
  <si>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</si>
  <si>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</si>
  <si>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</si>
  <si>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</si>
  <si>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</si>
  <si>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</si>
  <si>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</si>
  <si>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</si>
  <si>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</si>
  <si>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</si>
  <si>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</si>
  <si>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</si>
  <si>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</si>
  <si>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</si>
  <si>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</si>
  <si>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</si>
  <si>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</si>
  <si>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</si>
  <si>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</si>
  <si>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</si>
  <si>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</si>
  <si>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</si>
  <si>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</si>
  <si>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</si>
  <si>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</si>
  <si>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</si>
  <si>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</si>
  <si>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</si>
  <si>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</si>
  <si>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</si>
  <si>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</si>
  <si>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</si>
  <si>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</si>
  <si>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</si>
  <si>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</si>
  <si>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</si>
  <si>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</si>
  <si>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</si>
  <si>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</si>
  <si>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</si>
  <si>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</si>
  <si>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</si>
  <si>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</si>
  <si>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</si>
  <si>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</si>
  <si>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</si>
  <si>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</si>
  <si>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</si>
  <si>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</si>
  <si>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</si>
  <si>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</si>
  <si>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</si>
  <si>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</si>
  <si>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</si>
  <si>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</si>
  <si>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</si>
  <si>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</si>
  <si>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</si>
  <si>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</si>
  <si>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</si>
  <si>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</si>
  <si>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</si>
  <si>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</si>
  <si>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</si>
  <si>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</si>
  <si>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</si>
  <si>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</si>
  <si>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</si>
  <si>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</si>
  <si>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</si>
  <si>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</si>
  <si>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</si>
  <si>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</si>
  <si>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</si>
  <si>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</si>
  <si>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</si>
  <si>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</si>
  <si>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</si>
  <si>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</si>
  <si>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</si>
  <si>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</si>
  <si>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</si>
  <si>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</si>
  <si>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</si>
  <si>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</si>
  <si>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</si>
  <si>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</si>
  <si>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</si>
  <si>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</si>
  <si>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</si>
  <si>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</si>
  <si>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</si>
  <si>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</si>
  <si>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</si>
  <si>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</si>
  <si>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</si>
  <si>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</si>
  <si>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</si>
  <si>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</si>
  <si>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</si>
  <si>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</si>
  <si>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</si>
  <si>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</si>
  <si>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</si>
  <si>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</si>
  <si>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</si>
  <si>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</si>
  <si>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</si>
  <si>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</si>
  <si>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</si>
  <si>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</si>
  <si>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</si>
  <si>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</si>
  <si>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</si>
  <si>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</si>
  <si>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</si>
  <si>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</si>
  <si>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</si>
  <si>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</si>
  <si>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</si>
  <si>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</si>
  <si>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</si>
  <si>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</si>
  <si>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</si>
  <si>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</si>
  <si>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</si>
  <si>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</si>
  <si>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</si>
  <si>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</si>
  <si>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</si>
  <si>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</si>
  <si>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</si>
  <si>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</si>
  <si>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</si>
  <si>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</si>
  <si>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</si>
  <si>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</si>
  <si>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</si>
  <si>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</si>
  <si>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</si>
  <si>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</si>
  <si>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</si>
  <si>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</si>
  <si>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</si>
  <si>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</si>
  <si>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</si>
  <si>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</si>
  <si>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</si>
  <si>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</si>
  <si>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</si>
  <si>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</si>
  <si>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</si>
  <si>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</si>
  <si>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</si>
  <si>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</si>
  <si>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</si>
  <si>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</si>
  <si>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</si>
  <si>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</si>
  <si>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</si>
  <si>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</si>
  <si>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</si>
  <si>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</si>
  <si>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</si>
  <si>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</si>
  <si>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</si>
  <si>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</si>
  <si>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</si>
  <si>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</si>
  <si>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</si>
  <si>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</si>
  <si>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</si>
  <si>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</si>
  <si>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</si>
  <si>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</si>
  <si>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</si>
  <si>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</si>
  <si>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</si>
  <si>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</si>
  <si>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</si>
  <si>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</si>
  <si>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</si>
  <si>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</si>
  <si>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</si>
  <si>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</si>
  <si>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</si>
  <si>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</si>
  <si>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</si>
  <si>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</si>
  <si>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</si>
  <si>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</si>
  <si>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</si>
  <si>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</si>
  <si>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</si>
  <si>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</si>
  <si>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</si>
  <si>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</si>
  <si>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</si>
  <si>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</si>
  <si>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</si>
  <si>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</si>
  <si>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</si>
  <si>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</si>
  <si>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</si>
  <si>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</si>
  <si>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</si>
  <si>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</si>
  <si>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</si>
  <si>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</si>
  <si>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</si>
  <si>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</si>
  <si>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</si>
  <si>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</si>
  <si>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</si>
  <si>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</si>
  <si>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</si>
  <si>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</si>
  <si>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</si>
  <si>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</si>
  <si>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</si>
  <si>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</si>
  <si>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</si>
  <si>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</si>
  <si>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</si>
  <si>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</si>
  <si>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</si>
  <si>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</si>
  <si>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</si>
  <si>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</si>
  <si>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</si>
  <si>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</si>
  <si>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</si>
  <si>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</si>
  <si>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</si>
  <si>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</si>
  <si>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</si>
  <si>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</si>
  <si>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</si>
  <si>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</si>
  <si>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</si>
  <si>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</si>
  <si>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</si>
  <si>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</si>
  <si>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</si>
  <si>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</si>
  <si>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</si>
  <si>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</si>
  <si>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</si>
  <si>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</si>
  <si>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</si>
  <si>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</si>
  <si>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</si>
  <si>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</si>
  <si>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</si>
  <si>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</si>
  <si>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</si>
  <si>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</si>
  <si>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</si>
  <si>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</si>
  <si>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</si>
  <si>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</si>
  <si>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</si>
  <si>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</si>
  <si>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</si>
  <si>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</si>
  <si>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</si>
  <si>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</si>
  <si>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</si>
  <si>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</si>
  <si>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</si>
  <si>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</si>
  <si>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</si>
  <si>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</si>
  <si>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</si>
  <si>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</si>
  <si>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</si>
  <si>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</si>
  <si>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</si>
  <si>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</si>
  <si>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</si>
  <si>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</si>
  <si>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</si>
  <si>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</si>
  <si>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</si>
  <si>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</si>
  <si>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</si>
  <si>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</si>
  <si>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</si>
  <si>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</si>
  <si>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</si>
  <si>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</si>
  <si>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</si>
  <si>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</si>
  <si>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</si>
  <si>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</si>
  <si>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</si>
  <si>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</si>
  <si>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</si>
  <si>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</si>
  <si>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</si>
  <si>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</si>
  <si>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</si>
  <si>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</si>
  <si>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</si>
  <si>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</si>
  <si>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</si>
  <si>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</si>
  <si>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</si>
  <si>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</si>
  <si>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</si>
  <si>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</si>
  <si>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</si>
  <si>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</si>
  <si>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</si>
  <si>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</si>
  <si>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</si>
  <si>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</si>
  <si>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</si>
  <si>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</si>
  <si>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</si>
  <si>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</si>
  <si>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</si>
  <si>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</si>
  <si>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</si>
  <si>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</si>
  <si>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</si>
  <si>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</si>
  <si>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</si>
  <si>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</si>
  <si>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</si>
  <si>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</si>
  <si>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</si>
  <si>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</si>
  <si>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</si>
  <si>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</si>
  <si>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</si>
  <si>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</si>
  <si>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</si>
  <si>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</si>
  <si>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</si>
  <si>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</si>
  <si>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</si>
  <si>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</si>
  <si>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</si>
  <si>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</si>
  <si>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</si>
  <si>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</si>
  <si>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</si>
  <si>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</si>
  <si>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</si>
  <si>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</si>
  <si>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</si>
  <si>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</si>
  <si>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</si>
  <si>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</si>
  <si>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</si>
  <si>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</si>
  <si>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</si>
  <si>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</si>
  <si>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</si>
  <si>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</si>
  <si>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</si>
  <si>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</si>
  <si>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</si>
  <si>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</si>
  <si>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</si>
  <si>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</si>
  <si>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</si>
  <si>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</si>
  <si>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</si>
  <si>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</si>
  <si>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</si>
  <si>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</si>
  <si>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</si>
  <si>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</si>
  <si>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</si>
  <si>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</si>
  <si>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</si>
  <si>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</si>
  <si>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</si>
  <si>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</si>
  <si>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</si>
  <si>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</si>
  <si>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</si>
  <si>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</si>
  <si>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</si>
  <si>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</si>
  <si>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</si>
  <si>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</si>
  <si>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</si>
  <si>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</si>
  <si>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</si>
  <si>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</si>
  <si>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</si>
  <si>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</si>
  <si>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</si>
  <si>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</si>
  <si>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</si>
  <si>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</si>
  <si>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</si>
  <si>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</si>
  <si>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</si>
  <si>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</si>
  <si>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</si>
  <si>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</si>
  <si>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</si>
  <si>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</si>
  <si>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</si>
  <si>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</si>
  <si>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</si>
  <si>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</si>
  <si>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</si>
  <si>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</si>
  <si>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</si>
  <si>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</si>
  <si>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</si>
  <si>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</si>
  <si>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</si>
  <si>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</si>
  <si>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</si>
  <si>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</si>
  <si>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</si>
  <si>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</si>
  <si>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</si>
  <si>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</si>
  <si>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</si>
  <si>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</si>
  <si>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</si>
  <si>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</si>
  <si>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</si>
  <si>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</si>
  <si>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</si>
  <si>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</si>
  <si>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</si>
  <si>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</si>
  <si>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</si>
  <si>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</si>
  <si>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</si>
  <si>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</si>
  <si>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</si>
  <si>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</si>
  <si>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</si>
  <si>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</si>
  <si>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</si>
  <si>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</si>
  <si>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</si>
  <si>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</si>
  <si>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</si>
  <si>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</si>
  <si>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</si>
  <si>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</si>
  <si>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</si>
  <si>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</si>
  <si>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</si>
  <si>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</si>
  <si>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</si>
  <si>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</si>
  <si>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</si>
  <si>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</si>
  <si>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</si>
  <si>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</si>
  <si>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</si>
  <si>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</si>
  <si>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</si>
  <si>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</si>
  <si>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</si>
  <si>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</si>
  <si>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</si>
  <si>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</si>
  <si>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</si>
  <si>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</si>
  <si>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</si>
  <si>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</si>
  <si>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</si>
  <si>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</si>
  <si>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</si>
  <si>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</si>
  <si>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</si>
  <si>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</si>
  <si>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</si>
  <si>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</si>
  <si>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</si>
  <si>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</si>
  <si>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</si>
  <si>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</si>
  <si>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</si>
  <si>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</si>
  <si>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</si>
  <si>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</si>
  <si>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</si>
  <si>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</si>
  <si>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</si>
  <si>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</si>
  <si>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</si>
  <si>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</si>
  <si>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</si>
  <si>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</si>
  <si>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</si>
  <si>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</si>
  <si>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</si>
  <si>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</si>
  <si>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</si>
  <si>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</si>
  <si>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</si>
  <si>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</si>
  <si>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</si>
  <si>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</si>
  <si>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</si>
  <si>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</si>
  <si>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</si>
  <si>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</si>
  <si>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</si>
  <si>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</si>
  <si>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</si>
  <si>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</si>
  <si>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</si>
  <si>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</si>
  <si>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</si>
  <si>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</si>
  <si>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</si>
  <si>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</si>
  <si>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</si>
  <si>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</si>
  <si>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</si>
  <si>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</si>
  <si>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</si>
  <si>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</si>
  <si>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</si>
  <si>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</si>
  <si>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</si>
  <si>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</si>
  <si>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</si>
  <si>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</si>
  <si>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</si>
  <si>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</si>
  <si>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</si>
  <si>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</si>
  <si>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</si>
  <si>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</si>
  <si>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</si>
  <si>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</si>
  <si>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</si>
  <si>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</si>
  <si>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</si>
  <si>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</si>
  <si>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</si>
  <si>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</si>
  <si>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</si>
  <si>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</si>
  <si>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</si>
  <si>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</si>
  <si>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</si>
  <si>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</si>
  <si>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</si>
  <si>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</si>
  <si>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</si>
  <si>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</si>
  <si>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</si>
  <si>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</si>
  <si>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</si>
  <si>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</si>
  <si>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</si>
  <si>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</si>
  <si>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</si>
  <si>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</si>
  <si>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</si>
  <si>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</si>
  <si>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</si>
  <si>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</si>
  <si>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</si>
  <si>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</si>
  <si>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</si>
  <si>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</si>
  <si>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</si>
  <si>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</si>
  <si>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</si>
  <si>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</si>
  <si>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</si>
  <si>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</si>
  <si>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</si>
  <si>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</si>
  <si>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</si>
  <si>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</si>
  <si>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</si>
  <si>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</si>
  <si>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</si>
  <si>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</si>
  <si>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</si>
  <si>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</si>
  <si>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</si>
  <si>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</si>
  <si>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</si>
  <si>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</si>
  <si>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</si>
  <si>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</si>
  <si>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</si>
  <si>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</si>
  <si>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</si>
  <si>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</si>
  <si>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</si>
  <si>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</si>
  <si>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</si>
  <si>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</si>
  <si>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</si>
  <si>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</si>
  <si>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</si>
  <si>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</si>
  <si>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</si>
  <si>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</si>
  <si>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</si>
  <si>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</si>
  <si>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</si>
  <si>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</si>
  <si>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</si>
  <si>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</si>
  <si>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</si>
  <si>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</si>
  <si>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</si>
  <si>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</si>
  <si>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</si>
  <si>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</si>
  <si>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</si>
  <si>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</si>
  <si>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</si>
  <si>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</si>
  <si>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</si>
  <si>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</si>
  <si>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</si>
  <si>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</si>
  <si>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</si>
  <si>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</si>
  <si>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</si>
  <si>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</si>
  <si>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</si>
  <si>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</si>
  <si>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</si>
  <si>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</si>
  <si>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</si>
  <si>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</si>
  <si>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</si>
  <si>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</si>
  <si>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</si>
  <si>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</si>
  <si>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</si>
  <si>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</si>
  <si>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</si>
  <si>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</si>
  <si>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</si>
  <si>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</si>
  <si>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</si>
  <si>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</si>
  <si>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</si>
  <si>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</si>
  <si>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</si>
  <si>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</si>
  <si>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</si>
  <si>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</si>
  <si>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</si>
  <si>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</si>
  <si>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</si>
  <si>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</si>
  <si>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</si>
  <si>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</si>
  <si>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</si>
  <si>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</si>
  <si>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</si>
  <si>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</si>
  <si>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</si>
  <si>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</si>
  <si>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</si>
  <si>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</si>
  <si>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</si>
  <si>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</si>
  <si>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</si>
  <si>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</si>
  <si>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</si>
  <si>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</si>
  <si>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</si>
  <si>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</si>
  <si>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</si>
  <si>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</si>
  <si>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</si>
  <si>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</si>
  <si>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</si>
  <si>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</si>
  <si>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</si>
  <si>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</si>
  <si>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</si>
  <si>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</si>
  <si>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</si>
  <si>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</si>
  <si>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</si>
  <si>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</si>
  <si>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</si>
  <si>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</si>
  <si>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</si>
  <si>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</si>
  <si>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</si>
  <si>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</si>
  <si>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</si>
  <si>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</si>
  <si>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</si>
  <si>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</si>
  <si>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</si>
  <si>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</si>
  <si>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</si>
  <si>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</si>
  <si>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</si>
  <si>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</si>
  <si>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</si>
  <si>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</si>
  <si>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</si>
  <si>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</si>
  <si>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</si>
  <si>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</si>
  <si>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</si>
  <si>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</si>
  <si>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</si>
  <si>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</si>
  <si>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</si>
  <si>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</si>
  <si>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</si>
  <si>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</si>
  <si>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</si>
  <si>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</si>
  <si>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</si>
  <si>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</si>
  <si>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</si>
  <si>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</si>
  <si>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</si>
  <si>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</si>
  <si>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</si>
  <si>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</si>
  <si>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</si>
  <si>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</si>
  <si>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</si>
  <si>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</si>
  <si>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</si>
  <si>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</si>
  <si>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</si>
  <si>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</si>
  <si>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</si>
  <si>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</si>
  <si>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</si>
  <si>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</si>
  <si>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</si>
  <si>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</si>
  <si>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</si>
  <si>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</si>
  <si>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</si>
  <si>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</si>
  <si>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</si>
  <si>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</si>
  <si>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</si>
  <si>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</si>
  <si>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</si>
  <si>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</si>
  <si>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</si>
  <si>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</si>
  <si>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</si>
  <si>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</si>
  <si>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</si>
  <si>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</si>
  <si>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</si>
  <si>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</si>
  <si>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</si>
  <si>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</si>
  <si>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</si>
  <si>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</si>
  <si>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</si>
  <si>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</si>
  <si>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</si>
  <si>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</si>
  <si>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</si>
  <si>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</si>
  <si>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</si>
  <si>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</si>
  <si>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</si>
  <si>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</si>
  <si>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</si>
  <si>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</si>
  <si>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</si>
  <si>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</si>
  <si>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</si>
  <si>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</si>
  <si>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</si>
  <si>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</si>
  <si>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</si>
  <si>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</si>
  <si>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</si>
  <si>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</si>
  <si>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</si>
  <si>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</si>
  <si>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</si>
  <si>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</si>
  <si>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</si>
  <si>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</si>
  <si>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</si>
  <si>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</si>
  <si>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</si>
  <si>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</si>
  <si>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</si>
  <si>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</si>
  <si>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</si>
  <si>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</si>
  <si>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</si>
  <si>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</si>
  <si>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</si>
  <si>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</si>
  <si>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</si>
  <si>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</si>
  <si>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</si>
  <si>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</si>
  <si>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</si>
  <si>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</si>
  <si>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</si>
  <si>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</si>
  <si>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</si>
  <si>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</si>
  <si>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</si>
  <si>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</si>
  <si>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</si>
  <si>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</si>
  <si>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</si>
  <si>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</si>
  <si>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</si>
  <si>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</si>
  <si>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</si>
  <si>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</si>
  <si>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</si>
  <si>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</si>
  <si>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</si>
  <si>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</si>
  <si>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</si>
  <si>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</si>
  <si>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</si>
  <si>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</si>
  <si>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</si>
  <si>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</si>
  <si>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</si>
  <si>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</si>
  <si>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</si>
  <si>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</si>
  <si>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</si>
  <si>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</si>
  <si>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</si>
  <si>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</si>
  <si>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</si>
  <si>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</si>
  <si>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</si>
  <si>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</si>
  <si>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</si>
  <si>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</si>
  <si>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</si>
  <si>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</si>
  <si>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</si>
  <si>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</si>
  <si>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</si>
  <si>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</si>
  <si>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</si>
  <si>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</si>
  <si>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</si>
  <si>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</si>
  <si>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</si>
  <si>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</si>
  <si>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</si>
  <si>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</si>
  <si>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</si>
  <si>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</si>
  <si>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</si>
  <si>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</si>
  <si>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</si>
  <si>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</si>
  <si>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</si>
  <si>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</si>
  <si>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</si>
  <si>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</si>
  <si>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</si>
  <si>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</si>
  <si>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</si>
  <si>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</si>
  <si>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</si>
  <si>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</si>
  <si>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</si>
  <si>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</si>
  <si>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</si>
  <si>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</si>
  <si>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</si>
  <si>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</si>
  <si>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</si>
  <si>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</si>
  <si>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</si>
  <si>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</si>
  <si>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</si>
  <si>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</si>
  <si>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</si>
  <si>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</si>
  <si>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</si>
  <si>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</si>
  <si>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</si>
  <si>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</si>
  <si>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</si>
  <si>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</si>
  <si>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</si>
  <si>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</si>
  <si>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</si>
  <si>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</si>
  <si>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</si>
  <si>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</si>
  <si>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</si>
  <si>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</si>
  <si>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</si>
  <si>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</si>
  <si>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</si>
  <si>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</si>
  <si>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</si>
  <si>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</si>
  <si>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</si>
  <si>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</si>
  <si>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</si>
  <si>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</si>
  <si>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</si>
  <si>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</si>
  <si>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</si>
  <si>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</si>
  <si>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</si>
  <si>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</si>
  <si>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</si>
  <si>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</si>
  <si>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</si>
  <si>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</si>
  <si>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</si>
  <si>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</si>
  <si>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</si>
  <si>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</si>
  <si>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</si>
  <si>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</si>
  <si>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</si>
  <si>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</si>
  <si>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</si>
  <si>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</si>
  <si>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</si>
  <si>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</si>
  <si>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</si>
  <si>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</si>
  <si>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</si>
  <si>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</si>
  <si>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</si>
  <si>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</si>
  <si>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</si>
  <si>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</si>
  <si>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</si>
  <si>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</si>
  <si>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</si>
  <si>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</si>
  <si>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</si>
  <si>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</si>
  <si>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</si>
  <si>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</si>
  <si>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</si>
  <si>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</si>
  <si>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</si>
  <si>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</si>
  <si>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</si>
  <si>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</si>
  <si>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</si>
  <si>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</si>
  <si>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</si>
  <si>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</si>
  <si>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</si>
  <si>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</si>
  <si>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</si>
  <si>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</si>
  <si>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</si>
  <si>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</si>
  <si>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</si>
  <si>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</si>
  <si>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</si>
  <si>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</si>
  <si>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</si>
  <si>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</si>
  <si>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</si>
  <si>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</si>
  <si>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</si>
  <si>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</si>
  <si>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</si>
  <si>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</si>
  <si>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</si>
  <si>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</si>
  <si>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</si>
  <si>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</si>
  <si>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</si>
  <si>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</si>
  <si>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</si>
  <si>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</si>
  <si>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</si>
  <si>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</si>
  <si>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</si>
  <si>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</si>
  <si>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</si>
  <si>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</si>
  <si>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</si>
  <si>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</si>
  <si>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</si>
  <si>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</si>
  <si>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</si>
  <si>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</si>
  <si>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</si>
  <si>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</si>
  <si>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</si>
  <si>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</si>
  <si>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</si>
  <si>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</si>
  <si>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</si>
  <si>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</si>
  <si>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</si>
  <si>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</si>
  <si>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</si>
  <si>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</si>
  <si>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</si>
  <si>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</si>
  <si>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</si>
  <si>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</si>
  <si>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</si>
  <si>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</si>
  <si>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</si>
  <si>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</si>
  <si>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</si>
  <si>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</si>
  <si>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</si>
  <si>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</si>
  <si>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</si>
  <si>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</si>
  <si>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</si>
  <si>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</si>
  <si>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</si>
  <si>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</si>
  <si>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</si>
  <si>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</si>
  <si>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</si>
  <si>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</si>
  <si>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</si>
  <si>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</si>
  <si>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</si>
  <si>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</si>
  <si>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</si>
  <si>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</si>
  <si>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</si>
  <si>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</si>
  <si>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</si>
  <si>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</si>
  <si>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</si>
  <si>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</si>
  <si>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</si>
  <si>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</si>
  <si>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</si>
  <si>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</si>
  <si>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</si>
  <si>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</si>
  <si>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</si>
  <si>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</si>
  <si>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</si>
  <si>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</si>
  <si>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</si>
  <si>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</si>
  <si>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</si>
  <si>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</si>
  <si>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</si>
  <si>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</si>
  <si>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</si>
  <si>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</si>
  <si>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</si>
  <si>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</si>
  <si>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</si>
  <si>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</si>
  <si>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</si>
  <si>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</si>
  <si>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</si>
  <si>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</si>
  <si>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</si>
  <si>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</si>
  <si>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</si>
  <si>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</si>
  <si>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</si>
  <si>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</si>
  <si>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</si>
  <si>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</si>
  <si>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</si>
  <si>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</si>
  <si>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</si>
  <si>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</si>
  <si>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</si>
  <si>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</si>
  <si>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</si>
  <si>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</si>
  <si>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</si>
  <si>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</si>
  <si>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</si>
  <si>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</si>
  <si>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</si>
  <si>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</si>
  <si>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</si>
  <si>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Edgar County</t>
  </si>
  <si>
    <t>23231 Illinois Highway 1</t>
  </si>
  <si>
    <t xml:space="preserve">Chrisman </t>
  </si>
  <si>
    <t>James Acklin</t>
  </si>
  <si>
    <t>jacklin@chrisman.k12.il.us</t>
  </si>
  <si>
    <t>217-269-2823</t>
  </si>
  <si>
    <t>Daughetee and Parks Management Consulting PC</t>
  </si>
  <si>
    <t>Phyllis Parks</t>
  </si>
  <si>
    <t>2200 Kickapoo Drive STE A</t>
  </si>
  <si>
    <t>Danville</t>
  </si>
  <si>
    <t>Il</t>
  </si>
  <si>
    <t>217-431-2727</t>
  </si>
  <si>
    <t>217-431-3273</t>
  </si>
  <si>
    <t>065-019320</t>
  </si>
  <si>
    <t>pparkscpa@gmail.com</t>
  </si>
  <si>
    <t>X</t>
  </si>
  <si>
    <t>None</t>
  </si>
  <si>
    <t>none</t>
  </si>
  <si>
    <t>towel service</t>
  </si>
  <si>
    <t>personal care</t>
  </si>
  <si>
    <t>eastern illinois special education district</t>
  </si>
  <si>
    <t>Quality Network Services</t>
  </si>
  <si>
    <t xml:space="preserve"> Edgar County CUSD 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</si>
</sst>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2028825</xdr:colOff>
          <xdr:row>9</xdr:row>
          <xdr:rowOff>161925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2067</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11023006026</v>
      </c>
      <c r="B13" s="2101"/>
      <c r="C13" s="2101"/>
      <c r="D13" s="2101"/>
      <c r="E13" s="2101"/>
      <c r="F13" s="2101"/>
      <c r="G13" s="2101"/>
      <c r="H13" s="2102"/>
      <c r="I13" s="31"/>
      <c r="J13" s="30"/>
      <c r="K13" s="28"/>
      <c r="L13" s="30"/>
      <c r="M13" s="30"/>
      <c r="N13" s="30"/>
      <c r="O13" s="30"/>
      <c r="P13" s="30"/>
      <c r="Q13" s="30"/>
      <c r="R13" s="30"/>
      <c r="S13" s="30"/>
      <c r="T13" s="2106" t="s">
        <v>2058</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2059</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2074</v>
      </c>
      <c r="B17" s="2074"/>
      <c r="C17" s="2074"/>
      <c r="D17" s="2074"/>
      <c r="E17" s="2074"/>
      <c r="F17" s="2074"/>
      <c r="G17" s="2074"/>
      <c r="H17" s="2099"/>
      <c r="T17" s="2117" t="s">
        <v>2060</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2061</v>
      </c>
      <c r="U19" s="2038"/>
      <c r="V19" s="2038"/>
      <c r="W19" s="2039"/>
      <c r="X19" s="2115" t="s">
        <v>2062</v>
      </c>
      <c r="Y19" s="2116"/>
      <c r="Z19" s="2113">
        <v>61832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2063</v>
      </c>
      <c r="U21" s="2129"/>
      <c r="V21" s="2129"/>
      <c r="W21" s="2129"/>
      <c r="X21" s="2134" t="s">
        <v>2064</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2065</v>
      </c>
      <c r="U23" s="2127"/>
      <c r="V23" s="2127"/>
      <c r="W23" s="2127"/>
      <c r="X23" s="2131">
        <v>44469</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61924</v>
      </c>
      <c r="B25" s="2038"/>
      <c r="C25" s="2038"/>
      <c r="D25" s="2038"/>
      <c r="E25" s="2038"/>
      <c r="F25" s="2038"/>
      <c r="G25" s="2038"/>
      <c r="H25" s="2039"/>
      <c r="I25" s="110"/>
      <c r="J25" s="2062"/>
      <c r="K25" s="2062"/>
      <c r="L25" s="2062"/>
      <c r="M25" s="2062"/>
      <c r="N25" s="2062"/>
      <c r="O25" s="2062"/>
      <c r="P25" s="2062"/>
      <c r="Q25" s="2062"/>
      <c r="R25" s="2062"/>
      <c r="S25" s="2063"/>
      <c r="T25" s="2124" t="s">
        <v>2066</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2055</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2056</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2057</v>
      </c>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2" sqref="E1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1682867</v>
      </c>
      <c r="C4" s="1722"/>
      <c r="D4" s="1723">
        <f>B4-C4</f>
        <v>1682867</v>
      </c>
      <c r="E4" s="1722">
        <v>1769370</v>
      </c>
      <c r="F4" s="1723">
        <f>E4-C4</f>
        <v>1769370</v>
      </c>
    </row>
    <row r="5" spans="1:8" ht="13.7" customHeight="1" x14ac:dyDescent="0.2">
      <c r="A5" s="579" t="s">
        <v>865</v>
      </c>
      <c r="B5" s="1724">
        <f>'Revenues 9-14'!D5</f>
        <v>286202</v>
      </c>
      <c r="C5" s="1664"/>
      <c r="D5" s="1725">
        <f t="shared" ref="D5:D18" si="0">B5-C5</f>
        <v>286202</v>
      </c>
      <c r="E5" s="1664">
        <v>300913</v>
      </c>
      <c r="F5" s="1725">
        <f>E5-C5</f>
        <v>300913</v>
      </c>
    </row>
    <row r="6" spans="1:8" ht="13.7" customHeight="1" x14ac:dyDescent="0.2">
      <c r="A6" s="579" t="s">
        <v>408</v>
      </c>
      <c r="B6" s="1724">
        <f>'Revenues 9-14'!E5</f>
        <v>11</v>
      </c>
      <c r="C6" s="1664"/>
      <c r="D6" s="1725">
        <f t="shared" si="0"/>
        <v>11</v>
      </c>
      <c r="E6" s="1664">
        <v>0</v>
      </c>
      <c r="F6" s="1725">
        <f t="shared" ref="F6:F18" si="1">E6-C6</f>
        <v>0</v>
      </c>
    </row>
    <row r="7" spans="1:8" ht="13.7" customHeight="1" x14ac:dyDescent="0.2">
      <c r="A7" s="579" t="s">
        <v>154</v>
      </c>
      <c r="B7" s="1724">
        <f>'Revenues 9-14'!F5</f>
        <v>114481</v>
      </c>
      <c r="C7" s="1664"/>
      <c r="D7" s="1725">
        <f t="shared" si="0"/>
        <v>114481</v>
      </c>
      <c r="E7" s="1664">
        <v>120365</v>
      </c>
      <c r="F7" s="1725">
        <f t="shared" si="1"/>
        <v>120365</v>
      </c>
    </row>
    <row r="8" spans="1:8" ht="13.7" customHeight="1" x14ac:dyDescent="0.2">
      <c r="A8" s="579" t="s">
        <v>1169</v>
      </c>
      <c r="B8" s="1724">
        <f>'Revenues 9-14'!G5</f>
        <v>53967</v>
      </c>
      <c r="C8" s="1664"/>
      <c r="D8" s="1725">
        <f t="shared" si="0"/>
        <v>53967</v>
      </c>
      <c r="E8" s="1664">
        <v>54001</v>
      </c>
      <c r="F8" s="1725">
        <f t="shared" si="1"/>
        <v>54001</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28620</v>
      </c>
      <c r="C10" s="1664"/>
      <c r="D10" s="1725">
        <f t="shared" si="0"/>
        <v>28620</v>
      </c>
      <c r="E10" s="1664">
        <v>30091</v>
      </c>
      <c r="F10" s="1725">
        <f t="shared" si="1"/>
        <v>30091</v>
      </c>
    </row>
    <row r="11" spans="1:8" x14ac:dyDescent="0.2">
      <c r="A11" s="579" t="s">
        <v>406</v>
      </c>
      <c r="B11" s="1724">
        <f>'Revenues 9-14'!J5</f>
        <v>134910</v>
      </c>
      <c r="C11" s="1664"/>
      <c r="D11" s="1725">
        <f t="shared" si="0"/>
        <v>134910</v>
      </c>
      <c r="E11" s="1664">
        <v>138998</v>
      </c>
      <c r="F11" s="1725">
        <f t="shared" si="1"/>
        <v>138998</v>
      </c>
    </row>
    <row r="12" spans="1:8" ht="13.7" customHeight="1" x14ac:dyDescent="0.2">
      <c r="A12" s="579" t="s">
        <v>156</v>
      </c>
      <c r="B12" s="1724">
        <f>'Revenues 9-14'!K5</f>
        <v>28620</v>
      </c>
      <c r="C12" s="1664"/>
      <c r="D12" s="1725">
        <f t="shared" si="0"/>
        <v>28620</v>
      </c>
      <c r="E12" s="1664">
        <v>30091</v>
      </c>
      <c r="F12" s="1725">
        <f t="shared" si="1"/>
        <v>30091</v>
      </c>
    </row>
    <row r="13" spans="1:8" ht="13.7" customHeight="1" x14ac:dyDescent="0.2">
      <c r="A13" s="579" t="s">
        <v>930</v>
      </c>
      <c r="B13" s="1724">
        <f>SUM('Revenues 9-14'!C6:D6)</f>
        <v>28620</v>
      </c>
      <c r="C13" s="1664"/>
      <c r="D13" s="1725">
        <f t="shared" si="0"/>
        <v>28620</v>
      </c>
      <c r="E13" s="1664">
        <v>30091</v>
      </c>
      <c r="F13" s="1725">
        <f t="shared" si="1"/>
        <v>30091</v>
      </c>
    </row>
    <row r="14" spans="1:8" ht="13.7" customHeight="1" x14ac:dyDescent="0.2">
      <c r="A14" s="579" t="s">
        <v>407</v>
      </c>
      <c r="B14" s="1724">
        <f>SUM('Revenues 9-14'!C7:D7,'Revenues 9-14'!F7:H7)</f>
        <v>22896</v>
      </c>
      <c r="C14" s="1664"/>
      <c r="D14" s="1725">
        <f t="shared" si="0"/>
        <v>22896</v>
      </c>
      <c r="E14" s="1664">
        <v>24073</v>
      </c>
      <c r="F14" s="1725">
        <f t="shared" si="1"/>
        <v>24073</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65959</v>
      </c>
      <c r="C16" s="1664"/>
      <c r="D16" s="1725">
        <f t="shared" si="0"/>
        <v>65959</v>
      </c>
      <c r="E16" s="1664">
        <v>66002</v>
      </c>
      <c r="F16" s="1725">
        <f t="shared" si="1"/>
        <v>66002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2447153</v>
      </c>
      <c r="C19" s="1726">
        <f>SUM(C4:C18)</f>
        <v>0</v>
      </c>
      <c r="D19" s="1726">
        <f>SUM(D4:D18)</f>
        <v>2447153</v>
      </c>
      <c r="E19" s="1726">
        <f>SUM(E4:E18)</f>
        <v>2563995</v>
      </c>
      <c r="F19" s="1726">
        <f>SUM(F4:F18)</f>
        <v>2563995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30" sqref="D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32000</v>
      </c>
      <c r="D5" s="1770"/>
      <c r="E5" s="1770"/>
      <c r="F5" s="1765">
        <f>(C5+D5)-E5</f>
        <v>32000</v>
      </c>
      <c r="G5" s="676"/>
      <c r="H5" s="680"/>
      <c r="I5" s="680"/>
      <c r="J5" s="680"/>
      <c r="K5" s="637"/>
      <c r="L5" s="1442">
        <f>F5-K5</f>
        <v>32000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4218205</v>
      </c>
      <c r="D8" s="1771">
        <f>25764+49476</f>
        <v>75240</v>
      </c>
      <c r="E8" s="1771"/>
      <c r="F8" s="1765">
        <f>(C8+D8)-E8</f>
        <v>4293445</v>
      </c>
      <c r="G8" s="681">
        <v>50</v>
      </c>
      <c r="H8" s="619">
        <v>1571576</v>
      </c>
      <c r="I8" s="619">
        <v>96610</v>
      </c>
      <c r="J8" s="619"/>
      <c r="K8" s="1442">
        <f>(H8+I8)-J8</f>
        <v>1668186</v>
      </c>
      <c r="L8" s="1442">
        <f>F8-K8</f>
        <v>2625259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85325</v>
      </c>
      <c r="D10" s="1772"/>
      <c r="E10" s="1772"/>
      <c r="F10" s="1773">
        <f>(C10+D10)-E10</f>
        <v>85325</v>
      </c>
      <c r="G10" s="681">
        <v>20</v>
      </c>
      <c r="H10" s="683">
        <v>71472</v>
      </c>
      <c r="I10" s="683">
        <v>4314</v>
      </c>
      <c r="J10" s="683"/>
      <c r="K10" s="1442">
        <f>(H10+I10)-J10</f>
        <v>75786</v>
      </c>
      <c r="L10" s="1442">
        <f>F10-K10</f>
        <v>9539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v>0</v>
      </c>
      <c r="I12" s="619"/>
      <c r="J12" s="619"/>
      <c r="K12" s="1442">
        <f>(H12+I12)-J12</f>
        <v>0</v>
      </c>
      <c r="L12" s="1442">
        <f>F12-K12</f>
        <v>0</v>
      </c>
    </row>
    <row r="13" spans="1:14" ht="14.25" thickTop="1" thickBot="1" x14ac:dyDescent="0.25">
      <c r="A13" s="684" t="s">
        <v>1112</v>
      </c>
      <c r="B13" s="679">
        <v>252</v>
      </c>
      <c r="C13" s="1771">
        <v>89623</v>
      </c>
      <c r="D13" s="1771">
        <v>4979</v>
      </c>
      <c r="E13" s="1771"/>
      <c r="F13" s="1765">
        <f>(C13+D13)-E13</f>
        <v>94602</v>
      </c>
      <c r="G13" s="681">
        <v>5</v>
      </c>
      <c r="H13" s="619">
        <v>67924</v>
      </c>
      <c r="I13" s="619">
        <f>830+7278</f>
        <v>8108</v>
      </c>
      <c r="J13" s="619"/>
      <c r="K13" s="1442">
        <f>(H13+I13)-J13</f>
        <v>76032</v>
      </c>
      <c r="L13" s="1442">
        <f>F13-K13</f>
        <v>18570</v>
      </c>
    </row>
    <row r="14" spans="1:14" ht="14.25" thickTop="1" thickBot="1" x14ac:dyDescent="0.25">
      <c r="A14" s="684" t="s">
        <v>1113</v>
      </c>
      <c r="B14" s="679">
        <v>253</v>
      </c>
      <c r="C14" s="1745">
        <v>223038</v>
      </c>
      <c r="D14" s="1745">
        <f>14294+40000</f>
        <v>54294</v>
      </c>
      <c r="E14" s="1745"/>
      <c r="F14" s="1765">
        <f>(C14+D14)-E14</f>
        <v>277332</v>
      </c>
      <c r="G14" s="681">
        <v>3</v>
      </c>
      <c r="H14" s="619">
        <v>207254</v>
      </c>
      <c r="I14" s="619">
        <v>8173</v>
      </c>
      <c r="J14" s="619"/>
      <c r="K14" s="1442">
        <f>(H14+I14)-J14</f>
        <v>215427</v>
      </c>
      <c r="L14" s="1442">
        <f>F14-K14</f>
        <v>61905</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4648191</v>
      </c>
      <c r="D16" s="1765">
        <f>SUM(D3,D5:D6,D8:D10,D12:D15)</f>
        <v>134513</v>
      </c>
      <c r="E16" s="1765">
        <f>SUM(E3,E5:E6,E8:E10,E12:E15)</f>
        <v>0</v>
      </c>
      <c r="F16" s="1765">
        <f>SUM(F3,F5:F6,F8:F10,F12:F15)</f>
        <v>4782704</v>
      </c>
      <c r="G16" s="681"/>
      <c r="H16" s="1435">
        <f>SUM(H3,H6,H8:H10,H12:H14,)</f>
        <v>1918226</v>
      </c>
      <c r="I16" s="1435">
        <f>SUM(I3,I6,I8:I10,I12:I14,)</f>
        <v>117205</v>
      </c>
      <c r="J16" s="1435">
        <f>SUM(J3,J6,J8:J10,J12:J14,)</f>
        <v>0</v>
      </c>
      <c r="K16" s="1435">
        <f>(H16+I16)-J16</f>
        <v>2035431</v>
      </c>
      <c r="L16" s="1435">
        <f>F16-K16</f>
        <v>2747273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30247</v>
      </c>
      <c r="G17" s="676">
        <v>10</v>
      </c>
      <c r="H17" s="621"/>
      <c r="I17" s="1442">
        <f>F17/G17</f>
        <v>3024.7</v>
      </c>
      <c r="J17" s="621"/>
      <c r="K17" s="638"/>
      <c r="L17" s="638"/>
    </row>
    <row r="18" spans="1:12" ht="14.25" thickTop="1" thickBot="1" x14ac:dyDescent="0.25">
      <c r="A18" s="1440" t="s">
        <v>680</v>
      </c>
      <c r="B18" s="1441"/>
      <c r="C18" s="623"/>
      <c r="D18" s="623"/>
      <c r="E18" s="623"/>
      <c r="F18" s="686"/>
      <c r="G18" s="687"/>
      <c r="H18" s="624"/>
      <c r="I18" s="1435">
        <f>SUM(I16,I17)</f>
        <v>120229.7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C12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2715035</v>
      </c>
      <c r="G8" s="701"/>
    </row>
    <row r="9" spans="1:9" x14ac:dyDescent="0.2">
      <c r="A9" s="705" t="s">
        <v>457</v>
      </c>
      <c r="B9" s="706" t="s">
        <v>1848</v>
      </c>
      <c r="C9" s="707"/>
      <c r="D9" s="705" t="s">
        <v>498</v>
      </c>
      <c r="E9" s="704"/>
      <c r="F9" s="1775">
        <f>'Expenditures 15-22'!K151</f>
        <v>278874</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182613</v>
      </c>
      <c r="G11" s="708"/>
    </row>
    <row r="12" spans="1:9" x14ac:dyDescent="0.2">
      <c r="A12" s="705" t="s">
        <v>459</v>
      </c>
      <c r="B12" s="706" t="s">
        <v>1851</v>
      </c>
      <c r="C12" s="707"/>
      <c r="D12" s="705" t="s">
        <v>498</v>
      </c>
      <c r="E12" s="704"/>
      <c r="F12" s="1775">
        <f>'Expenditures 15-22'!K295</f>
        <v>94822</v>
      </c>
      <c r="G12" s="708"/>
    </row>
    <row r="13" spans="1:9" x14ac:dyDescent="0.2">
      <c r="A13" s="705" t="s">
        <v>106</v>
      </c>
      <c r="B13" s="706" t="s">
        <v>1852</v>
      </c>
      <c r="C13" s="707"/>
      <c r="D13" s="705" t="s">
        <v>498</v>
      </c>
      <c r="E13" s="704"/>
      <c r="F13" s="1775">
        <f>'Expenditures 15-22'!K342</f>
        <v>116476</v>
      </c>
      <c r="G13" s="709"/>
    </row>
    <row r="14" spans="1:9" ht="12" customHeight="1" thickBot="1" x14ac:dyDescent="0.25">
      <c r="A14" s="1443"/>
      <c r="B14" s="1444"/>
      <c r="C14" s="1445"/>
      <c r="D14" s="1446" t="s">
        <v>498</v>
      </c>
      <c r="E14" s="1447" t="s">
        <v>952</v>
      </c>
      <c r="F14" s="1776">
        <f>SUM(F8:F13)</f>
        <v>3387820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100961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7870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49749</v>
      </c>
      <c r="G53" s="701"/>
    </row>
    <row r="54" spans="1:7" x14ac:dyDescent="0.2">
      <c r="A54" s="705" t="s">
        <v>456</v>
      </c>
      <c r="B54" s="705" t="s">
        <v>1459</v>
      </c>
      <c r="C54" s="724" t="s">
        <v>975</v>
      </c>
      <c r="D54" s="720" t="s">
        <v>1086</v>
      </c>
      <c r="E54" s="704"/>
      <c r="F54" s="1782">
        <f>'Expenditures 15-22'!G114</f>
        <v>30743</v>
      </c>
      <c r="G54" s="701"/>
    </row>
    <row r="55" spans="1:7" x14ac:dyDescent="0.2">
      <c r="A55" s="705" t="s">
        <v>456</v>
      </c>
      <c r="B55" s="705" t="s">
        <v>1460</v>
      </c>
      <c r="C55" s="724" t="s">
        <v>975</v>
      </c>
      <c r="D55" s="720" t="s">
        <v>288</v>
      </c>
      <c r="E55" s="704"/>
      <c r="F55" s="1782">
        <f>'Expenditures 15-22'!I114</f>
        <v>28296</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14294</v>
      </c>
      <c r="G58" s="701"/>
    </row>
    <row r="59" spans="1:7" x14ac:dyDescent="0.2">
      <c r="A59" s="728" t="s">
        <v>457</v>
      </c>
      <c r="B59" s="692" t="s">
        <v>1855</v>
      </c>
      <c r="C59" s="729" t="s">
        <v>975</v>
      </c>
      <c r="D59" s="692" t="s">
        <v>288</v>
      </c>
      <c r="F59" s="1785">
        <f>'Expenditures 15-22'!I151</f>
        <v>1951</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40000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4247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1044</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279155</v>
      </c>
      <c r="G77" s="701"/>
    </row>
    <row r="78" spans="1:9" s="728" customFormat="1" ht="12" customHeight="1" thickTop="1" thickBot="1" x14ac:dyDescent="0.25">
      <c r="A78" s="1450"/>
      <c r="B78" s="1448"/>
      <c r="C78" s="1445"/>
      <c r="D78" s="1449" t="s">
        <v>2012</v>
      </c>
      <c r="E78" s="1447"/>
      <c r="F78" s="1788">
        <f>(F14-F77)</f>
        <v>3108665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297.7</v>
      </c>
      <c r="G79" s="733"/>
      <c r="H79" s="705"/>
      <c r="I79" s="705"/>
    </row>
    <row r="80" spans="1:9" s="728" customFormat="1" ht="12" customHeight="1" thickBot="1" x14ac:dyDescent="0.25">
      <c r="A80" s="1452"/>
      <c r="B80" s="1448"/>
      <c r="C80" s="1445"/>
      <c r="D80" s="1449" t="s">
        <v>2013</v>
      </c>
      <c r="E80" s="1447" t="s">
        <v>952</v>
      </c>
      <c r="F80" s="1790">
        <f>IF(F79&gt;0,F78/F79," Complete Line 79")</f>
        <v>10442.274101444407</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49199</v>
      </c>
      <c r="G95" s="745"/>
    </row>
    <row r="96" spans="1:7" x14ac:dyDescent="0.2">
      <c r="A96" s="741" t="s">
        <v>139</v>
      </c>
      <c r="B96" s="741" t="s">
        <v>174</v>
      </c>
      <c r="C96" s="743">
        <v>1700</v>
      </c>
      <c r="D96" s="751" t="str">
        <f>'Revenues 9-14'!A82</f>
        <v>Total District/School Activity Income</v>
      </c>
      <c r="E96" s="739"/>
      <c r="F96" s="1793">
        <f>SUM('Revenues 9-14'!C82,'Revenues 9-14'!D82)</f>
        <v>19213</v>
      </c>
      <c r="G96" s="745"/>
    </row>
    <row r="97" spans="1:7" x14ac:dyDescent="0.2">
      <c r="A97" s="741" t="s">
        <v>456</v>
      </c>
      <c r="B97" s="741" t="s">
        <v>175</v>
      </c>
      <c r="C97" s="743">
        <f>'Revenues 9-14'!B84</f>
        <v>1811</v>
      </c>
      <c r="D97" s="744" t="str">
        <f>'Revenues 9-14'!A84</f>
        <v>Rentals - Regular Textbooks</v>
      </c>
      <c r="E97" s="739"/>
      <c r="F97" s="1793">
        <f>'Revenues 9-14'!C84</f>
        <v>17350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23735</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6640</v>
      </c>
      <c r="G105" s="745"/>
    </row>
    <row r="106" spans="1:7" x14ac:dyDescent="0.2">
      <c r="A106" s="741" t="s">
        <v>500</v>
      </c>
      <c r="B106" s="741" t="s">
        <v>1910</v>
      </c>
      <c r="C106" s="746">
        <v>3100</v>
      </c>
      <c r="D106" s="752" t="str">
        <f>'Revenues 9-14'!A132</f>
        <v>Total Special Education</v>
      </c>
      <c r="E106" s="739"/>
      <c r="F106" s="1793">
        <f>SUM('Revenues 9-14'!C132:D132,'Revenues 9-14'!F132)</f>
        <v>3453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9131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1162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2078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74788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24346</v>
      </c>
      <c r="G121" s="763"/>
    </row>
    <row r="122" spans="1:7" x14ac:dyDescent="0.2">
      <c r="A122" s="760" t="s">
        <v>497</v>
      </c>
      <c r="B122" s="760" t="s">
        <v>1926</v>
      </c>
      <c r="C122" s="761">
        <f>'Revenues 9-14'!B168</f>
        <v>3999</v>
      </c>
      <c r="D122" s="762" t="s">
        <v>540</v>
      </c>
      <c r="E122" s="764"/>
      <c r="F122" s="1793">
        <f>SUM('Revenues 9-14'!C168:G168,'Revenues 9-14'!J168)</f>
        <v>36311</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89168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182950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23000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7121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23661</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120437</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713743</v>
      </c>
    </row>
    <row r="176" spans="1:7" ht="12" customHeight="1" x14ac:dyDescent="0.2">
      <c r="A176" s="1443"/>
      <c r="B176" s="1453"/>
      <c r="C176" s="1454"/>
      <c r="D176" s="1455" t="s">
        <v>2014</v>
      </c>
      <c r="E176" s="1456"/>
      <c r="F176" s="1793">
        <f>'PCTC-OEPP 27-28'!F78-F175</f>
        <v>2394922</v>
      </c>
    </row>
    <row r="177" spans="1:9" ht="12" customHeight="1" x14ac:dyDescent="0.2">
      <c r="A177" s="1443"/>
      <c r="B177" s="1453"/>
      <c r="C177" s="1454"/>
      <c r="D177" s="1455" t="s">
        <v>1794</v>
      </c>
      <c r="E177" s="1456"/>
      <c r="F177" s="1793">
        <f>'Cap Outlay Deprec 26'!I18</f>
        <v>120229.7</v>
      </c>
    </row>
    <row r="178" spans="1:9" ht="12" customHeight="1" x14ac:dyDescent="0.2">
      <c r="A178" s="1443"/>
      <c r="B178" s="1453"/>
      <c r="C178" s="1454"/>
      <c r="D178" s="1455" t="s">
        <v>2015</v>
      </c>
      <c r="E178" s="1456"/>
      <c r="F178" s="1793">
        <f>F176+F177</f>
        <v>2515151.7000000002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297.7</v>
      </c>
      <c r="G179" s="763"/>
      <c r="I179" s="701"/>
    </row>
    <row r="180" spans="1:9" ht="12" customHeight="1" thickBot="1" x14ac:dyDescent="0.25">
      <c r="A180" s="1443"/>
      <c r="B180" s="1457"/>
      <c r="C180" s="1454"/>
      <c r="D180" s="1455" t="s">
        <v>2017</v>
      </c>
      <c r="E180" s="1456" t="s">
        <v>1528</v>
      </c>
      <c r="F180" s="1798">
        <f>F178/F179</f>
        <v>8448.6116896204239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2068</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0" sqref="E10: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89416</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10337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1807724</v>
      </c>
      <c r="F19" s="1802"/>
      <c r="G19" s="1804">
        <f>'Expenditures 15-22'!K33-SUM('Expenditures 15-22'!G33,'Expenditures 15-22'!I33)+'Expenditures 15-22'!D229</f>
        <v>1807724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192178</v>
      </c>
      <c r="F21" s="1805"/>
      <c r="G21" s="1808">
        <f>'Expenditures 15-22'!K42-SUM('Expenditures 15-22'!G42,'Expenditures 15-22'!I42)+'Expenditures 15-22'!K120-SUM('Expenditures 15-22'!G120,'Expenditures 15-22'!I120)+'Expenditures 15-22'!K180-SUM('Expenditures 15-22'!G180,'Expenditures 15-22'!I180)+'Expenditures 15-22'!D238</f>
        <v>192178</v>
      </c>
      <c r="H21" s="817"/>
      <c r="I21" s="157"/>
    </row>
    <row r="22" spans="1:9" s="542" customFormat="1" ht="12" customHeight="1" x14ac:dyDescent="0.2">
      <c r="A22" s="824" t="s">
        <v>560</v>
      </c>
      <c r="B22" s="825"/>
      <c r="C22" s="823">
        <v>2200</v>
      </c>
      <c r="D22" s="1805"/>
      <c r="E22" s="1807">
        <f>'Expenditures 15-22'!K47-SUM('Expenditures 15-22'!G47,'Expenditures 15-22'!I47)+'Expenditures 15-22'!D243</f>
        <v>58198</v>
      </c>
      <c r="F22" s="1805"/>
      <c r="G22" s="1808">
        <f>'Expenditures 15-22'!K47-SUM('Expenditures 15-22'!G47,'Expenditures 15-22'!I47)+'Expenditures 15-22'!D243</f>
        <v>58198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304973</v>
      </c>
      <c r="F23" s="1805"/>
      <c r="G23" s="1807">
        <f>'Expenditures 15-22'!K53-SUM('Expenditures 15-22'!G53,'Expenditures 15-22'!I53)+'Expenditures 15-22'!D257+'Expenditures 15-22'!K330-SUM('Expenditures 15-22'!G330,'Expenditures 15-22'!I330)</f>
        <v>304973</v>
      </c>
      <c r="H23" s="817"/>
      <c r="I23" s="157"/>
    </row>
    <row r="24" spans="1:9" s="542" customFormat="1" ht="12" customHeight="1" x14ac:dyDescent="0.2">
      <c r="A24" s="824" t="s">
        <v>562</v>
      </c>
      <c r="B24" s="825"/>
      <c r="C24" s="823">
        <v>2400</v>
      </c>
      <c r="D24" s="1805"/>
      <c r="E24" s="1807">
        <f>'Expenditures 15-22'!K57-SUM('Expenditures 15-22'!G57,'Expenditures 15-22'!I57)+'Expenditures 15-22'!D261</f>
        <v>191463</v>
      </c>
      <c r="F24" s="1805"/>
      <c r="G24" s="1808">
        <f>'Expenditures 15-22'!K57-SUM('Expenditures 15-22'!G57,'Expenditures 15-22'!I57)+'Expenditures 15-22'!D261</f>
        <v>191463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279446</v>
      </c>
      <c r="F28" s="1809">
        <f>'Expenditures 15-22'!K61-SUM('Expenditures 15-22'!G61,'Expenditures 15-22'!I61)+'Expenditures 15-22'!K124-SUM('Expenditures 15-22'!G124,'Expenditures 15-22'!I124)+'Expenditures 15-22'!D266-E9</f>
        <v>279446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150341</v>
      </c>
      <c r="F29" s="1805"/>
      <c r="G29" s="1808">
        <f>'Expenditures 15-22'!K62-SUM('Expenditures 15-22'!G62,'Expenditures 15-22'!I62)+'Expenditures 15-22'!K125-SUM('Expenditures 15-22'!G125,'Expenditures 15-22'!I125)+'Expenditures 15-22'!K182-SUM('Expenditures 15-22'!G182,'Expenditures 15-22'!I182)+'Expenditures 15-22'!D267</f>
        <v>150341</v>
      </c>
      <c r="H29" s="815"/>
    </row>
    <row r="30" spans="1:9" ht="12" customHeight="1" x14ac:dyDescent="0.2">
      <c r="A30" s="824" t="s">
        <v>100</v>
      </c>
      <c r="B30" s="827"/>
      <c r="C30" s="823">
        <v>2560</v>
      </c>
      <c r="D30" s="1805"/>
      <c r="E30" s="1807">
        <f>'Expenditures 15-22'!K63-SUM('Expenditures 15-22'!G63,'Expenditures 15-22'!I63)+'Expenditures 15-22'!D268-E10</f>
        <v>65721</v>
      </c>
      <c r="F30" s="1805"/>
      <c r="G30" s="1807">
        <f>'Expenditures 15-22'!K63-SUM('Expenditures 15-22'!G63,'Expenditures 15-22'!I63)+'Expenditures 15-22'!D268-E10</f>
        <v>65721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83327</v>
      </c>
      <c r="F35" s="1805"/>
      <c r="G35" s="1807">
        <f>'Expenditures 15-22'!K69-SUM('Expenditures 15-22'!G69,'Expenditures 15-22'!I69)+'Expenditures 15-22'!D274</f>
        <v>83327</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3133371</v>
      </c>
      <c r="F41" s="1809">
        <f>SUM(F19:F39)</f>
        <v>279446</v>
      </c>
      <c r="G41" s="1809">
        <f>SUM(G19:G40)</f>
        <v>2853925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279446</v>
      </c>
    </row>
    <row r="44" spans="1:7" ht="12" customHeight="1" x14ac:dyDescent="0.2">
      <c r="A44" s="817"/>
      <c r="B44" s="157"/>
      <c r="C44" s="831"/>
      <c r="D44" s="1458" t="s">
        <v>471</v>
      </c>
      <c r="E44" s="1810">
        <f>E41</f>
        <v>3133371</v>
      </c>
      <c r="F44" s="1458" t="s">
        <v>471</v>
      </c>
      <c r="G44" s="1810">
        <f>G41</f>
        <v>2853925</v>
      </c>
    </row>
    <row r="45" spans="1:7" ht="12" customHeight="1" x14ac:dyDescent="0.2">
      <c r="A45" s="817"/>
      <c r="B45" s="157"/>
      <c r="C45" s="157"/>
      <c r="D45" s="1459" t="s">
        <v>999</v>
      </c>
      <c r="E45" s="1811">
        <f>(E43/E44)</f>
        <v>0</v>
      </c>
      <c r="F45" s="1459" t="s">
        <v>999</v>
      </c>
      <c r="G45" s="1811">
        <f>(G43/G44)</f>
        <v>9.7916378321084116E-2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C1" zoomScale="110" zoomScaleNormal="110" workbookViewId="0">
      <selection activeCell="F30" sqref="F3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Edgar County CUSD 6 </v>
      </c>
      <c r="D6" s="2415"/>
      <c r="E6" s="2415"/>
      <c r="F6" s="1482"/>
      <c r="G6" s="1507"/>
      <c r="L6" s="1507"/>
      <c r="M6" s="1855"/>
      <c r="N6" s="1855"/>
      <c r="O6" s="1855"/>
    </row>
    <row r="7" spans="1:15" ht="11.25" customHeight="1" thickBot="1" x14ac:dyDescent="0.3">
      <c r="A7" s="1480"/>
      <c r="B7" s="1481"/>
      <c r="C7" s="2416">
        <f>COVER!A13</f>
        <v>11023006026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2051</v>
      </c>
      <c r="D12" s="1495" t="s">
        <v>2051</v>
      </c>
      <c r="E12" s="1498" t="s">
        <v>2069</v>
      </c>
      <c r="F12" s="1497" t="s">
        <v>2070</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t="s">
        <v>2068</v>
      </c>
      <c r="F19" s="1497" t="s">
        <v>2071</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2069</v>
      </c>
      <c r="F26" s="1497" t="s">
        <v>2072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2051</v>
      </c>
      <c r="D29" s="1495" t="s">
        <v>2051</v>
      </c>
      <c r="E29" s="1498" t="s">
        <v>2069</v>
      </c>
      <c r="F29" s="1497" t="s">
        <v>2073</v>
      </c>
      <c r="G29" s="1507"/>
      <c r="H29" s="1507">
        <f t="shared" si="0"/>
        <v>5</v>
      </c>
      <c r="I29" s="1507">
        <f t="shared" si="1"/>
        <v>5</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Edgar County CUSD 6 </v>
      </c>
      <c r="K6" s="2437"/>
      <c r="L6" s="2451"/>
      <c r="M6" s="838"/>
      <c r="N6" s="1999"/>
    </row>
    <row r="7" spans="1:14" x14ac:dyDescent="0.2">
      <c r="A7" s="2452" t="s">
        <v>864</v>
      </c>
      <c r="B7" s="2453"/>
      <c r="C7" s="2453"/>
      <c r="D7" s="2453"/>
      <c r="E7" s="2454"/>
      <c r="F7" s="839"/>
      <c r="G7" s="838"/>
      <c r="H7" s="838"/>
      <c r="I7" s="1925" t="s">
        <v>369</v>
      </c>
      <c r="J7" s="2439">
        <f>COVER!A13</f>
        <v>11023006026</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129858</v>
      </c>
      <c r="F12" s="1943"/>
      <c r="G12" s="1969">
        <f>G68</f>
        <v>0</v>
      </c>
      <c r="H12" s="1945">
        <f t="shared" ref="H12:H18" si="0">SUM(E12:G12)</f>
        <v>129858</v>
      </c>
      <c r="I12" s="1944">
        <v>132564</v>
      </c>
      <c r="J12" s="1943"/>
      <c r="K12" s="1944"/>
      <c r="L12" s="1945">
        <f t="shared" ref="L12:L18" si="1">SUM(I12:K12)</f>
        <v>132564</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129858</v>
      </c>
      <c r="F19" s="1951">
        <f t="shared" si="2"/>
        <v>0</v>
      </c>
      <c r="G19" s="1951">
        <f t="shared" ref="G19" si="3">SUM(G12:G17)-G18</f>
        <v>0</v>
      </c>
      <c r="H19" s="1951">
        <f t="shared" si="2"/>
        <v>129858</v>
      </c>
      <c r="I19" s="1951">
        <f t="shared" si="2"/>
        <v>132564</v>
      </c>
      <c r="J19" s="1951">
        <f t="shared" si="2"/>
        <v>0</v>
      </c>
      <c r="K19" s="1951">
        <f t="shared" si="2"/>
        <v>0</v>
      </c>
      <c r="L19" s="1951">
        <f t="shared" si="2"/>
        <v>132564</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2.0838146282862818E-2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Edgar County CUSD 6 </v>
      </c>
      <c r="M52" s="2437"/>
      <c r="N52" s="2438"/>
    </row>
    <row r="53" spans="1:14" x14ac:dyDescent="0.2">
      <c r="A53" s="1983"/>
      <c r="B53" s="1984"/>
      <c r="C53" s="1984"/>
      <c r="D53" s="1984"/>
      <c r="E53" s="1984"/>
      <c r="F53" s="1984"/>
      <c r="G53" s="1984"/>
      <c r="H53" s="1984"/>
      <c r="I53" s="1984"/>
      <c r="J53" s="1984"/>
      <c r="K53" s="1925" t="s">
        <v>369</v>
      </c>
      <c r="L53" s="2439">
        <f>J7</f>
        <v>11023006026</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10414</v>
      </c>
      <c r="F58" s="1973"/>
      <c r="G58" s="2032"/>
      <c r="H58" s="2033"/>
      <c r="I58" s="2033"/>
      <c r="J58" s="2033"/>
      <c r="K58" s="2033"/>
      <c r="L58" s="2033"/>
      <c r="M58" s="2033"/>
      <c r="N58" s="1976" t="str">
        <f>IF((SUM(G58:M58))=E58,SUM(G58:M58),"Column N does not agree with Column E")</f>
        <v>Column N does not agree with Column E</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19" t="s">
        <v>697</v>
      </c>
      <c r="B61" s="2420"/>
      <c r="C61" s="2420"/>
      <c r="D61" s="1968">
        <v>2365</v>
      </c>
      <c r="E61" s="1978">
        <f>'Expenditures 15-22'!K323</f>
        <v>106062</v>
      </c>
      <c r="F61" s="1973"/>
      <c r="G61" s="2032"/>
      <c r="H61" s="2033"/>
      <c r="I61" s="2033"/>
      <c r="J61" s="2033"/>
      <c r="K61" s="2033"/>
      <c r="L61" s="2033"/>
      <c r="M61" s="2033"/>
      <c r="N61" s="1976" t="str">
        <f t="shared" si="4"/>
        <v>Column N does not agree with Column E</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116476</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42" sqref="B4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Edgar County CUSD 6 </v>
      </c>
    </row>
    <row r="65" spans="2:2" x14ac:dyDescent="0.2">
      <c r="B65" s="849">
        <f>COVER!A13</f>
        <v>11023006026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10" sqref="J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autoPict="0" r:id="rId5">
            <anchor moveWithCells="1">
              <from>
                <xdr:col>0</xdr:col>
                <xdr:colOff>0</xdr:colOff>
                <xdr:row>0</xdr:row>
                <xdr:rowOff>0</xdr:rowOff>
              </from>
              <to>
                <xdr:col>1</xdr:col>
                <xdr:colOff>2028825</xdr:colOff>
                <xdr:row>9</xdr:row>
                <xdr:rowOff>161925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3034348</v>
      </c>
      <c r="C8" s="1813">
        <f>'Acct Summary 7-8'!D8</f>
        <v>354981</v>
      </c>
      <c r="D8" s="1813">
        <f>'Acct Summary 7-8'!F8</f>
        <v>239129</v>
      </c>
      <c r="E8" s="1813">
        <f>'Acct Summary 7-8'!I8</f>
        <v>28620</v>
      </c>
      <c r="F8" s="1813">
        <f>SUM(B8:E8)</f>
        <v>3657078</v>
      </c>
    </row>
    <row r="9" spans="1:8" s="858" customFormat="1" ht="14.25" customHeight="1" thickBot="1" x14ac:dyDescent="0.25">
      <c r="A9" s="857" t="s">
        <v>1353</v>
      </c>
      <c r="B9" s="1814">
        <f>'Acct Summary 7-8'!C17</f>
        <v>2715035</v>
      </c>
      <c r="C9" s="1814">
        <f>'Acct Summary 7-8'!D17</f>
        <v>278874</v>
      </c>
      <c r="D9" s="1814">
        <f>'Acct Summary 7-8'!F17</f>
        <v>182613</v>
      </c>
      <c r="E9" s="1813"/>
      <c r="F9" s="1813">
        <f>SUM(B9:E9)</f>
        <v>3176522</v>
      </c>
    </row>
    <row r="10" spans="1:8" s="858" customFormat="1" ht="14.25" thickTop="1" thickBot="1" x14ac:dyDescent="0.25">
      <c r="A10" s="859" t="s">
        <v>1354</v>
      </c>
      <c r="B10" s="1815">
        <f>(B8-B9)</f>
        <v>319313</v>
      </c>
      <c r="C10" s="1815">
        <f>(C8-C9)</f>
        <v>76107</v>
      </c>
      <c r="D10" s="1815">
        <f>(D8-D9)</f>
        <v>56516</v>
      </c>
      <c r="E10" s="1814">
        <f>(E8-E9)</f>
        <v>28620</v>
      </c>
      <c r="F10" s="1816">
        <f>SUM(F8-F9)</f>
        <v>480556</v>
      </c>
    </row>
    <row r="11" spans="1:8" s="858" customFormat="1" ht="14.25" thickTop="1" thickBot="1" x14ac:dyDescent="0.25">
      <c r="A11" s="860" t="s">
        <v>1903</v>
      </c>
      <c r="B11" s="1817">
        <f>'Acct Summary 7-8'!C81</f>
        <v>2120342</v>
      </c>
      <c r="C11" s="1817">
        <f>'Acct Summary 7-8'!D81</f>
        <v>381495</v>
      </c>
      <c r="D11" s="1817">
        <f>'Acct Summary 7-8'!F81</f>
        <v>262517</v>
      </c>
      <c r="E11" s="1817">
        <f>'Acct Summary 7-8'!I81</f>
        <v>0</v>
      </c>
      <c r="F11" s="1818">
        <f>SUM(B11:E11)</f>
        <v>2764354</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11023006026</v>
      </c>
      <c r="E2" s="1542">
        <v>2020</v>
      </c>
      <c r="F2" s="1542">
        <v>1</v>
      </c>
      <c r="G2" s="1899">
        <v>101000300</v>
      </c>
    </row>
    <row r="3" spans="1:7" ht="15" x14ac:dyDescent="0.25">
      <c r="A3" t="s">
        <v>950</v>
      </c>
      <c r="B3" s="135" t="str">
        <f>COVER!A15</f>
        <v>Edgar County</v>
      </c>
      <c r="E3" s="1830" t="s">
        <v>1971</v>
      </c>
      <c r="F3" s="1830" t="s">
        <v>1970</v>
      </c>
      <c r="G3" s="1899">
        <v>101000400</v>
      </c>
    </row>
    <row r="4" spans="1:7" ht="15" x14ac:dyDescent="0.25">
      <c r="A4" t="s">
        <v>1000</v>
      </c>
      <c r="B4" s="135" t="str">
        <f>COVER!A17</f>
        <v xml:space="preserve"> Edgar County CUSD 6 </v>
      </c>
      <c r="E4" s="1828">
        <v>44119</v>
      </c>
      <c r="F4" s="1829">
        <v>44151</v>
      </c>
      <c r="G4" s="1899">
        <v>101000600</v>
      </c>
    </row>
    <row r="5" spans="1:7" ht="15" x14ac:dyDescent="0.25">
      <c r="A5" t="s">
        <v>699</v>
      </c>
      <c r="B5" s="135" t="str">
        <f>COVER!A38</f>
        <v>James Acklin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065-019320</v>
      </c>
      <c r="G15" s="1899">
        <v>402100400</v>
      </c>
    </row>
    <row r="16" spans="1:7" ht="15" x14ac:dyDescent="0.25">
      <c r="A16" t="s">
        <v>419</v>
      </c>
      <c r="B16" s="135" t="str">
        <f>COVER!T13</f>
        <v>Daughetee and Parks Management Consulting PC</v>
      </c>
      <c r="G16" s="1899">
        <v>402100600</v>
      </c>
    </row>
    <row r="17" spans="1:7" ht="15" x14ac:dyDescent="0.25">
      <c r="A17" t="s">
        <v>878</v>
      </c>
      <c r="B17" s="135" t="str">
        <f>COVER!T15</f>
        <v>Phyllis Parks</v>
      </c>
      <c r="G17" s="1899">
        <v>402100800</v>
      </c>
    </row>
    <row r="18" spans="1:7" ht="15" x14ac:dyDescent="0.25">
      <c r="A18" t="s">
        <v>1140</v>
      </c>
      <c r="B18" s="135" t="str">
        <f>COVER!T17</f>
        <v>2200 Kickapoo Drive STE A</v>
      </c>
      <c r="G18" s="1899">
        <v>102200300</v>
      </c>
    </row>
    <row r="19" spans="1:7" ht="15" x14ac:dyDescent="0.25">
      <c r="A19" t="s">
        <v>880</v>
      </c>
      <c r="B19" s="135" t="str">
        <f>COVER!T25</f>
        <v>pparkscpa@gmail.com</v>
      </c>
      <c r="G19" s="1899">
        <v>102200400</v>
      </c>
    </row>
    <row r="20" spans="1:7" ht="15" x14ac:dyDescent="0.25">
      <c r="A20" t="s">
        <v>881</v>
      </c>
      <c r="B20" s="135" t="str">
        <f>COVER!T19</f>
        <v>Danville</v>
      </c>
      <c r="G20" s="1899">
        <v>102200600</v>
      </c>
    </row>
    <row r="21" spans="1:7" ht="15" x14ac:dyDescent="0.25">
      <c r="A21" t="s">
        <v>476</v>
      </c>
      <c r="B21" s="135" t="str">
        <f>COVER!X19</f>
        <v>Il</v>
      </c>
      <c r="G21" s="1899">
        <v>102200800</v>
      </c>
    </row>
    <row r="22" spans="1:7" ht="15" x14ac:dyDescent="0.25">
      <c r="A22" t="s">
        <v>882</v>
      </c>
      <c r="B22" s="135">
        <f>COVER!Z19</f>
        <v>61832</v>
      </c>
      <c r="G22" s="1899">
        <v>102300300</v>
      </c>
    </row>
    <row r="23" spans="1:7" ht="15" x14ac:dyDescent="0.25">
      <c r="A23" t="s">
        <v>1142</v>
      </c>
      <c r="B23" s="135" t="str">
        <f>COVER!T21</f>
        <v>217-431-2727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2120901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559</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559</v>
      </c>
      <c r="C91" s="2" t="s">
        <v>569</v>
      </c>
      <c r="D91" s="2" t="str">
        <f t="shared" si="0"/>
        <v>Error?</v>
      </c>
      <c r="G91" s="1899">
        <v>102640400</v>
      </c>
    </row>
    <row r="92" spans="1:7" ht="15" x14ac:dyDescent="0.25">
      <c r="A92" s="5">
        <v>31</v>
      </c>
      <c r="B92" s="1832">
        <f>'Assets-Liab 5-6'!C39</f>
        <v>2120342</v>
      </c>
      <c r="D92" s="2" t="str">
        <f t="shared" si="0"/>
        <v>Error?</v>
      </c>
      <c r="G92" s="1899">
        <v>102640600</v>
      </c>
    </row>
    <row r="93" spans="1:7" ht="15" x14ac:dyDescent="0.25">
      <c r="A93" s="5">
        <v>32</v>
      </c>
      <c r="B93" s="1832">
        <f>'Assets-Liab 5-6'!C41</f>
        <v>2120901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381495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381495</v>
      </c>
      <c r="D123" s="2" t="str">
        <f t="shared" si="0"/>
        <v>Error?</v>
      </c>
      <c r="G123" s="1899">
        <v>203000400</v>
      </c>
    </row>
    <row r="124" spans="1:7" ht="15" x14ac:dyDescent="0.25">
      <c r="A124" s="5">
        <v>63</v>
      </c>
      <c r="B124" s="1832">
        <f>'Assets-Liab 5-6'!D41</f>
        <v>381495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388565</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397981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397981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262517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262517</v>
      </c>
      <c r="D170" s="2" t="str">
        <f t="shared" si="1"/>
        <v>Error?</v>
      </c>
    </row>
    <row r="171" spans="1:4" x14ac:dyDescent="0.2">
      <c r="A171" s="5">
        <v>110</v>
      </c>
      <c r="B171" s="1832">
        <f>'Assets-Liab 5-6'!F41</f>
        <v>262517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140183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140183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212045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212045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32000</v>
      </c>
      <c r="D273" s="2" t="str">
        <f t="shared" si="3"/>
        <v>Error?</v>
      </c>
    </row>
    <row r="274" spans="1:4" x14ac:dyDescent="0.2">
      <c r="A274" s="5">
        <v>213</v>
      </c>
      <c r="B274" s="1832">
        <f>'Assets-Liab 5-6'!M17</f>
        <v>2634798</v>
      </c>
      <c r="D274" s="2" t="str">
        <f t="shared" si="3"/>
        <v>Error?</v>
      </c>
    </row>
    <row r="275" spans="1:4" x14ac:dyDescent="0.2">
      <c r="A275" s="5">
        <v>214</v>
      </c>
      <c r="B275" s="1832">
        <f>'Assets-Liab 5-6'!M18</f>
        <v>0</v>
      </c>
      <c r="D275" s="2" t="str">
        <f t="shared" si="3"/>
        <v>Error?</v>
      </c>
    </row>
    <row r="276" spans="1:4" x14ac:dyDescent="0.2">
      <c r="A276" s="5">
        <v>215</v>
      </c>
      <c r="B276" s="1832">
        <f>'Assets-Liab 5-6'!M19</f>
        <v>80475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2747273</v>
      </c>
      <c r="C279" s="2" t="s">
        <v>569</v>
      </c>
      <c r="D279" s="2" t="str">
        <f t="shared" si="3"/>
        <v>Error?</v>
      </c>
    </row>
    <row r="280" spans="1:4" x14ac:dyDescent="0.2">
      <c r="A280" s="5">
        <v>219</v>
      </c>
      <c r="B280" s="1832">
        <f>'Assets-Liab 5-6'!M40</f>
        <v>2747273</v>
      </c>
      <c r="D280" s="2" t="str">
        <f t="shared" si="3"/>
        <v>Error?</v>
      </c>
    </row>
    <row r="281" spans="1:4" x14ac:dyDescent="0.2">
      <c r="A281" s="5">
        <v>220</v>
      </c>
      <c r="B281" s="1832">
        <f>'Assets-Liab 5-6'!M41</f>
        <v>2747273</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28620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871616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37364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1293099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35082</v>
      </c>
      <c r="D722" s="2" t="str">
        <f t="shared" si="10"/>
        <v>Error?</v>
      </c>
    </row>
    <row r="723" spans="1:4" x14ac:dyDescent="0.2">
      <c r="A723" s="5">
        <v>662</v>
      </c>
      <c r="B723" s="1832">
        <f>'Expenditures 15-22'!C38</f>
        <v>19666</v>
      </c>
      <c r="D723" s="2" t="str">
        <f t="shared" si="10"/>
        <v>Error?</v>
      </c>
    </row>
    <row r="724" spans="1:4" x14ac:dyDescent="0.2">
      <c r="A724" s="5">
        <v>663</v>
      </c>
      <c r="B724" s="1832">
        <f>'Expenditures 15-22'!C39</f>
        <v>50612</v>
      </c>
      <c r="D724" s="2" t="str">
        <f t="shared" si="10"/>
        <v>Error?</v>
      </c>
    </row>
    <row r="725" spans="1:4" x14ac:dyDescent="0.2">
      <c r="A725" s="5">
        <v>664</v>
      </c>
      <c r="B725" s="1832">
        <f>'Expenditures 15-22'!C40</f>
        <v>37917</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143277</v>
      </c>
      <c r="C727" s="2" t="s">
        <v>569</v>
      </c>
      <c r="D727" s="2" t="str">
        <f t="shared" si="10"/>
        <v>Error?</v>
      </c>
    </row>
    <row r="728" spans="1:4" x14ac:dyDescent="0.2">
      <c r="A728" s="5">
        <v>667</v>
      </c>
      <c r="B728" s="1832">
        <f>'Expenditures 15-22'!C44</f>
        <v>48046</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48046</v>
      </c>
      <c r="C731" s="2" t="s">
        <v>569</v>
      </c>
      <c r="D731" s="2" t="str">
        <f t="shared" si="10"/>
        <v>Error?</v>
      </c>
    </row>
    <row r="732" spans="1:4" x14ac:dyDescent="0.2">
      <c r="A732" s="5">
        <v>671</v>
      </c>
      <c r="B732" s="1832">
        <f>'Expenditures 15-22'!C49</f>
        <v>2552</v>
      </c>
      <c r="D732" s="2" t="str">
        <f t="shared" si="10"/>
        <v>Error?</v>
      </c>
    </row>
    <row r="733" spans="1:4" x14ac:dyDescent="0.2">
      <c r="A733" s="5">
        <v>672</v>
      </c>
      <c r="B733" s="1832">
        <f>'Expenditures 15-22'!C50</f>
        <v>118291</v>
      </c>
      <c r="D733" s="2" t="str">
        <f t="shared" si="10"/>
        <v>Error?</v>
      </c>
    </row>
    <row r="734" spans="1:4" x14ac:dyDescent="0.2">
      <c r="A734" s="5">
        <v>673</v>
      </c>
      <c r="B734" s="1832">
        <f>'Expenditures 15-22'!C53</f>
        <v>120843</v>
      </c>
      <c r="C734" s="2" t="s">
        <v>569</v>
      </c>
      <c r="D734" s="2" t="str">
        <f t="shared" si="10"/>
        <v>Error?</v>
      </c>
    </row>
    <row r="735" spans="1:4" x14ac:dyDescent="0.2">
      <c r="A735" s="5">
        <v>674</v>
      </c>
      <c r="B735" s="1832">
        <f>'Expenditures 15-22'!C55</f>
        <v>146643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146643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51620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51620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7500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7500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517929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1811028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153520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3655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221137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8695</v>
      </c>
      <c r="D780" s="2" t="str">
        <f t="shared" si="11"/>
        <v>Error?</v>
      </c>
    </row>
    <row r="781" spans="1:4" x14ac:dyDescent="0.2">
      <c r="A781" s="5">
        <v>720</v>
      </c>
      <c r="B781" s="1832">
        <f>'Expenditures 15-22'!D38</f>
        <v>54</v>
      </c>
      <c r="D781" s="2" t="str">
        <f t="shared" si="11"/>
        <v>Error?</v>
      </c>
    </row>
    <row r="782" spans="1:4" x14ac:dyDescent="0.2">
      <c r="A782" s="5">
        <v>721</v>
      </c>
      <c r="B782" s="1832">
        <f>'Expenditures 15-22'!D39</f>
        <v>11224</v>
      </c>
      <c r="D782" s="2" t="str">
        <f t="shared" si="11"/>
        <v>Error?</v>
      </c>
    </row>
    <row r="783" spans="1:4" x14ac:dyDescent="0.2">
      <c r="A783" s="5">
        <v>722</v>
      </c>
      <c r="B783" s="1832">
        <f>'Expenditures 15-22'!D40</f>
        <v>9257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29230</v>
      </c>
      <c r="C785" s="2" t="s">
        <v>569</v>
      </c>
      <c r="D785" s="2" t="str">
        <f t="shared" si="11"/>
        <v>Error?</v>
      </c>
    </row>
    <row r="786" spans="1:4" x14ac:dyDescent="0.2">
      <c r="A786" s="5">
        <v>725</v>
      </c>
      <c r="B786" s="1832">
        <f>'Expenditures 15-22'!D44</f>
        <v>4876</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4876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519</v>
      </c>
      <c r="D791" s="2" t="str">
        <f t="shared" si="11"/>
        <v>Error?</v>
      </c>
    </row>
    <row r="792" spans="1:4" x14ac:dyDescent="0.2">
      <c r="A792" s="5">
        <v>731</v>
      </c>
      <c r="B792" s="1832">
        <f>'Expenditures 15-22'!D53</f>
        <v>519</v>
      </c>
      <c r="C792" s="2" t="s">
        <v>569</v>
      </c>
      <c r="D792" s="2" t="str">
        <f t="shared" si="11"/>
        <v>Error?</v>
      </c>
    </row>
    <row r="793" spans="1:4" x14ac:dyDescent="0.2">
      <c r="A793" s="5">
        <v>732</v>
      </c>
      <c r="B793" s="1832">
        <f>'Expenditures 15-22'!D55</f>
        <v>19496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19496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6978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6978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1367</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1367</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62466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283603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38198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8983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190112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10764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10764</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36278</v>
      </c>
      <c r="D848" s="2" t="str">
        <f t="shared" si="12"/>
        <v>Error?</v>
      </c>
    </row>
    <row r="849" spans="1:4" x14ac:dyDescent="0.2">
      <c r="A849" s="5">
        <v>788</v>
      </c>
      <c r="B849" s="1832">
        <f>'Expenditures 15-22'!E50</f>
        <v>5847</v>
      </c>
      <c r="D849" s="2" t="str">
        <f t="shared" si="12"/>
        <v>Error?</v>
      </c>
    </row>
    <row r="850" spans="1:4" x14ac:dyDescent="0.2">
      <c r="A850" s="5">
        <v>789</v>
      </c>
      <c r="B850" s="1832">
        <f>'Expenditures 15-22'!E53</f>
        <v>42125</v>
      </c>
      <c r="C850" s="2" t="s">
        <v>569</v>
      </c>
      <c r="D850" s="2" t="str">
        <f t="shared" si="12"/>
        <v>Error?</v>
      </c>
    </row>
    <row r="851" spans="1:4" x14ac:dyDescent="0.2">
      <c r="A851" s="5">
        <v>790</v>
      </c>
      <c r="B851" s="1832">
        <f>'Expenditures 15-22'!E55</f>
        <v>12266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12266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6245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6245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51877</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51877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123277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313389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16539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2272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43988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117</v>
      </c>
      <c r="D897" s="2" t="str">
        <f t="shared" si="13"/>
        <v>Error?</v>
      </c>
    </row>
    <row r="898" spans="1:4" x14ac:dyDescent="0.2">
      <c r="A898" s="5">
        <v>837</v>
      </c>
      <c r="B898" s="1832">
        <f>'Expenditures 15-22'!F39</f>
        <v>2869</v>
      </c>
      <c r="D898" s="2" t="str">
        <f t="shared" si="13"/>
        <v>Error?</v>
      </c>
    </row>
    <row r="899" spans="1:4" x14ac:dyDescent="0.2">
      <c r="A899" s="5">
        <v>838</v>
      </c>
      <c r="B899" s="1832">
        <f>'Expenditures 15-22'!F40</f>
        <v>285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3271</v>
      </c>
      <c r="C901" s="2" t="s">
        <v>569</v>
      </c>
      <c r="D901" s="2" t="str">
        <f t="shared" si="13"/>
        <v>Error?</v>
      </c>
    </row>
    <row r="902" spans="1:4" x14ac:dyDescent="0.2">
      <c r="A902" s="5">
        <v>841</v>
      </c>
      <c r="B902" s="1832">
        <f>'Expenditures 15-22'!F44</f>
        <v>1197</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1197</v>
      </c>
      <c r="C905" s="2" t="s">
        <v>569</v>
      </c>
      <c r="D905" s="2" t="str">
        <f t="shared" si="13"/>
        <v>Error?</v>
      </c>
    </row>
    <row r="906" spans="1:4" x14ac:dyDescent="0.2">
      <c r="A906" s="5">
        <v>845</v>
      </c>
      <c r="B906" s="1832">
        <f>'Expenditures 15-22'!F49</f>
        <v>519</v>
      </c>
      <c r="D906" s="2" t="str">
        <f t="shared" si="13"/>
        <v>Error?</v>
      </c>
    </row>
    <row r="907" spans="1:4" x14ac:dyDescent="0.2">
      <c r="A907" s="5">
        <v>846</v>
      </c>
      <c r="B907" s="1832">
        <f>'Expenditures 15-22'!F50</f>
        <v>5037</v>
      </c>
      <c r="D907" s="2" t="str">
        <f t="shared" si="13"/>
        <v>Error?</v>
      </c>
    </row>
    <row r="908" spans="1:4" x14ac:dyDescent="0.2">
      <c r="A908" s="5">
        <v>847</v>
      </c>
      <c r="B908" s="1832">
        <f>'Expenditures 15-22'!F53</f>
        <v>5556</v>
      </c>
      <c r="C908" s="2" t="s">
        <v>569</v>
      </c>
      <c r="D908" s="2" t="str">
        <f t="shared" si="13"/>
        <v>Error?</v>
      </c>
    </row>
    <row r="909" spans="1:4" x14ac:dyDescent="0.2">
      <c r="A909" s="5">
        <v>848</v>
      </c>
      <c r="B909" s="1832">
        <f>'Expenditures 15-22'!F55</f>
        <v>1878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1878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89416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89416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2304</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2304</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103622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147610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4979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4979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25764</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25764</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30743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30743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9014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5583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21065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1225</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1225</v>
      </c>
      <c r="C1017" s="2" t="s">
        <v>569</v>
      </c>
      <c r="D1017" s="2" t="str">
        <f t="shared" si="14"/>
        <v>Error?</v>
      </c>
    </row>
    <row r="1018" spans="1:4" x14ac:dyDescent="0.2">
      <c r="A1018" s="5">
        <v>957</v>
      </c>
      <c r="B1018" s="1832">
        <f>'Expenditures 15-22'!H44</f>
        <v>2028</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2028</v>
      </c>
      <c r="C1021" s="2" t="s">
        <v>569</v>
      </c>
      <c r="D1021" s="2" t="str">
        <f t="shared" si="14"/>
        <v>Error?</v>
      </c>
    </row>
    <row r="1022" spans="1:4" x14ac:dyDescent="0.2">
      <c r="A1022" s="5">
        <v>961</v>
      </c>
      <c r="B1022" s="1832">
        <f>'Expenditures 15-22'!H49</f>
        <v>3040</v>
      </c>
      <c r="D1022" s="2" t="str">
        <f t="shared" si="14"/>
        <v>Error?</v>
      </c>
    </row>
    <row r="1023" spans="1:4" x14ac:dyDescent="0.2">
      <c r="A1023" s="5">
        <v>962</v>
      </c>
      <c r="B1023" s="1832">
        <f>'Expenditures 15-22'!H50</f>
        <v>164</v>
      </c>
      <c r="D1023" s="2" t="str">
        <f t="shared" ref="D1023:D1086" si="15">IF(ISBLANK(B1023),"OK",IF(A1023-B1023=0,"OK","Error?"))</f>
        <v>Error?</v>
      </c>
    </row>
    <row r="1024" spans="1:4" x14ac:dyDescent="0.2">
      <c r="A1024" s="5">
        <v>963</v>
      </c>
      <c r="B1024" s="1832">
        <f>'Expenditures 15-22'!H53</f>
        <v>3204</v>
      </c>
      <c r="C1024" s="2" t="s">
        <v>569</v>
      </c>
      <c r="D1024" s="2" t="str">
        <f t="shared" si="15"/>
        <v>Error?</v>
      </c>
    </row>
    <row r="1025" spans="1:4" x14ac:dyDescent="0.2">
      <c r="A1025" s="5">
        <v>964</v>
      </c>
      <c r="B1025" s="1832">
        <f>'Expenditures 15-22'!H55</f>
        <v>2314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2314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610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610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20171</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20171</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29552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49749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100366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1088887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57857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1769401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43777</v>
      </c>
      <c r="C1110" s="2" t="s">
        <v>569</v>
      </c>
      <c r="D1110" s="2" t="str">
        <f t="shared" si="16"/>
        <v>Error?</v>
      </c>
    </row>
    <row r="1111" spans="1:4" x14ac:dyDescent="0.2">
      <c r="A1111" s="5">
        <v>1050</v>
      </c>
      <c r="B1111" s="1832">
        <f>'Expenditures 15-22'!K38</f>
        <v>19837</v>
      </c>
      <c r="C1111" s="2" t="s">
        <v>569</v>
      </c>
      <c r="D1111" s="2" t="str">
        <f t="shared" si="16"/>
        <v>Error?</v>
      </c>
    </row>
    <row r="1112" spans="1:4" x14ac:dyDescent="0.2">
      <c r="A1112" s="5">
        <v>1051</v>
      </c>
      <c r="B1112" s="1832">
        <f>'Expenditures 15-22'!K39</f>
        <v>64705</v>
      </c>
      <c r="C1112" s="2" t="s">
        <v>569</v>
      </c>
      <c r="D1112" s="2" t="str">
        <f t="shared" si="16"/>
        <v>Error?</v>
      </c>
    </row>
    <row r="1113" spans="1:4" x14ac:dyDescent="0.2">
      <c r="A1113" s="5">
        <v>1052</v>
      </c>
      <c r="B1113" s="1832">
        <f>'Expenditures 15-22'!K40</f>
        <v>59448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187767</v>
      </c>
      <c r="C1115" s="2" t="s">
        <v>569</v>
      </c>
      <c r="D1115" s="2" t="str">
        <f t="shared" si="16"/>
        <v>Error?</v>
      </c>
    </row>
    <row r="1116" spans="1:4" x14ac:dyDescent="0.2">
      <c r="A1116" s="5">
        <v>1055</v>
      </c>
      <c r="B1116" s="1832">
        <f>'Expenditures 15-22'!K44</f>
        <v>56147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56147</v>
      </c>
      <c r="C1119" s="2" t="s">
        <v>569</v>
      </c>
      <c r="D1119" s="2" t="str">
        <f t="shared" si="16"/>
        <v>Error?</v>
      </c>
    </row>
    <row r="1120" spans="1:4" x14ac:dyDescent="0.2">
      <c r="A1120" s="5">
        <v>1059</v>
      </c>
      <c r="B1120" s="1832">
        <f>'Expenditures 15-22'!K49</f>
        <v>42389</v>
      </c>
      <c r="C1120" s="2" t="s">
        <v>569</v>
      </c>
      <c r="D1120" s="2" t="str">
        <f t="shared" si="16"/>
        <v>Error?</v>
      </c>
    </row>
    <row r="1121" spans="1:4" x14ac:dyDescent="0.2">
      <c r="A1121" s="5">
        <v>1060</v>
      </c>
      <c r="B1121" s="1832">
        <f>'Expenditures 15-22'!K50</f>
        <v>129858</v>
      </c>
      <c r="C1121" s="2" t="s">
        <v>569</v>
      </c>
      <c r="D1121" s="2" t="str">
        <f t="shared" si="16"/>
        <v>Error?</v>
      </c>
    </row>
    <row r="1122" spans="1:4" x14ac:dyDescent="0.2">
      <c r="A1122" s="5">
        <v>1061</v>
      </c>
      <c r="B1122" s="1832">
        <f>'Expenditures 15-22'!K53</f>
        <v>172247</v>
      </c>
      <c r="C1122" s="2" t="s">
        <v>569</v>
      </c>
      <c r="D1122" s="2" t="str">
        <f t="shared" si="16"/>
        <v>Error?</v>
      </c>
    </row>
    <row r="1123" spans="1:4" x14ac:dyDescent="0.2">
      <c r="A1123" s="5">
        <v>1062</v>
      </c>
      <c r="B1123" s="1832">
        <f>'Expenditures 15-22'!K55</f>
        <v>182597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182597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6245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153603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159848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137279</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137279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895885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49749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2715035</v>
      </c>
      <c r="C1152" s="2" t="s">
        <v>569</v>
      </c>
      <c r="D1152" s="2" t="str">
        <f t="shared" si="17"/>
        <v>Error?</v>
      </c>
    </row>
    <row r="1153" spans="1:4" x14ac:dyDescent="0.2">
      <c r="A1153" s="5">
        <v>1092</v>
      </c>
      <c r="B1153" s="1832">
        <f>'Expenditures 15-22'!K115</f>
        <v>319313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80841</v>
      </c>
      <c r="D1221" s="2" t="str">
        <f t="shared" si="18"/>
        <v>Error?</v>
      </c>
    </row>
    <row r="1222" spans="1:4" x14ac:dyDescent="0.2">
      <c r="A1222" s="10">
        <v>1161</v>
      </c>
      <c r="B1222" s="1832"/>
      <c r="D1222" s="2" t="str">
        <f t="shared" si="18"/>
        <v>OK</v>
      </c>
    </row>
    <row r="1223" spans="1:4" x14ac:dyDescent="0.2">
      <c r="A1223" s="5">
        <v>1162</v>
      </c>
      <c r="B1223" s="1832">
        <f>'Expenditures 15-22'!C127</f>
        <v>80841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80841</v>
      </c>
      <c r="C1225" s="2" t="s">
        <v>569</v>
      </c>
      <c r="D1225" s="2" t="str">
        <f t="shared" si="18"/>
        <v>Error?</v>
      </c>
    </row>
    <row r="1226" spans="1:4" x14ac:dyDescent="0.2">
      <c r="A1226" s="5">
        <v>1165</v>
      </c>
      <c r="B1226" s="1832">
        <f>'Expenditures 15-22'!C151</f>
        <v>80841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9891</v>
      </c>
      <c r="D1229" s="2" t="str">
        <f t="shared" si="18"/>
        <v>Error?</v>
      </c>
    </row>
    <row r="1230" spans="1:4" x14ac:dyDescent="0.2">
      <c r="A1230" s="10">
        <v>1169</v>
      </c>
      <c r="B1230" s="1832"/>
      <c r="D1230" s="2" t="str">
        <f t="shared" si="18"/>
        <v>OK</v>
      </c>
    </row>
    <row r="1231" spans="1:4" x14ac:dyDescent="0.2">
      <c r="A1231" s="5">
        <v>1170</v>
      </c>
      <c r="B1231" s="1832">
        <f>'Expenditures 15-22'!D127</f>
        <v>9891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9891</v>
      </c>
      <c r="C1233" s="2" t="s">
        <v>569</v>
      </c>
      <c r="D1233" s="2" t="str">
        <f t="shared" si="18"/>
        <v>Error?</v>
      </c>
    </row>
    <row r="1234" spans="1:4" x14ac:dyDescent="0.2">
      <c r="A1234" s="5">
        <v>1173</v>
      </c>
      <c r="B1234" s="1832">
        <f>'Expenditures 15-22'!D151</f>
        <v>9891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80663</v>
      </c>
      <c r="D1237" s="2" t="str">
        <f t="shared" si="18"/>
        <v>Error?</v>
      </c>
    </row>
    <row r="1238" spans="1:4" x14ac:dyDescent="0.2">
      <c r="A1238" s="10">
        <v>1177</v>
      </c>
      <c r="B1238" s="1832"/>
      <c r="D1238" s="2" t="str">
        <f t="shared" si="18"/>
        <v>OK</v>
      </c>
    </row>
    <row r="1239" spans="1:4" x14ac:dyDescent="0.2">
      <c r="A1239" s="5">
        <v>1178</v>
      </c>
      <c r="B1239" s="1832">
        <f>'Expenditures 15-22'!E127</f>
        <v>80663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80663</v>
      </c>
      <c r="C1241" s="2" t="s">
        <v>569</v>
      </c>
      <c r="D1241" s="2" t="str">
        <f t="shared" si="18"/>
        <v>Error?</v>
      </c>
    </row>
    <row r="1242" spans="1:4" x14ac:dyDescent="0.2">
      <c r="A1242" s="5">
        <v>1181</v>
      </c>
      <c r="B1242" s="1832">
        <f>'Expenditures 15-22'!E151</f>
        <v>80663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91208</v>
      </c>
      <c r="D1245" s="2" t="str">
        <f t="shared" si="18"/>
        <v>Error?</v>
      </c>
    </row>
    <row r="1246" spans="1:4" x14ac:dyDescent="0.2">
      <c r="A1246" s="10">
        <v>1185</v>
      </c>
      <c r="B1246" s="1832"/>
      <c r="D1246" s="2" t="str">
        <f t="shared" si="18"/>
        <v>OK</v>
      </c>
    </row>
    <row r="1247" spans="1:4" x14ac:dyDescent="0.2">
      <c r="A1247" s="5">
        <v>1186</v>
      </c>
      <c r="B1247" s="1832">
        <f>'Expenditures 15-22'!F127</f>
        <v>91234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91234</v>
      </c>
      <c r="C1249" s="2" t="s">
        <v>569</v>
      </c>
      <c r="D1249" s="2" t="str">
        <f t="shared" si="18"/>
        <v>Error?</v>
      </c>
    </row>
    <row r="1250" spans="1:4" x14ac:dyDescent="0.2">
      <c r="A1250" s="5">
        <v>1189</v>
      </c>
      <c r="B1250" s="1832">
        <f>'Expenditures 15-22'!F151</f>
        <v>91234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14294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14294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14294</v>
      </c>
      <c r="C1258" s="2" t="s">
        <v>569</v>
      </c>
      <c r="D1258" s="2" t="str">
        <f t="shared" si="18"/>
        <v>Error?</v>
      </c>
    </row>
    <row r="1259" spans="1:4" x14ac:dyDescent="0.2">
      <c r="A1259" s="5">
        <v>1198</v>
      </c>
      <c r="B1259" s="1832">
        <f>'Expenditures 15-22'!G151</f>
        <v>14294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278848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278874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278874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278874</v>
      </c>
      <c r="C1288" s="2" t="s">
        <v>569</v>
      </c>
      <c r="D1288" s="2" t="str">
        <f t="shared" si="19"/>
        <v>Error?</v>
      </c>
    </row>
    <row r="1289" spans="1:4" x14ac:dyDescent="0.2">
      <c r="A1289" s="5">
        <v>1228</v>
      </c>
      <c r="B1289" s="1832">
        <f>'Expenditures 15-22'!K152</f>
        <v>76107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8574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67128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67128</v>
      </c>
      <c r="C1339" s="2" t="s">
        <v>569</v>
      </c>
      <c r="D1339" s="2" t="str">
        <f t="shared" si="19"/>
        <v>Error?</v>
      </c>
    </row>
    <row r="1340" spans="1:4" x14ac:dyDescent="0.2">
      <c r="A1340" s="5">
        <v>1279</v>
      </c>
      <c r="B1340" s="1832">
        <f>'Expenditures 15-22'!C210</f>
        <v>67128</v>
      </c>
      <c r="C1340" s="2" t="s">
        <v>569</v>
      </c>
      <c r="D1340" s="2" t="str">
        <f t="shared" si="19"/>
        <v>Error?</v>
      </c>
    </row>
    <row r="1341" spans="1:4" x14ac:dyDescent="0.2">
      <c r="A1341" s="5">
        <v>1280</v>
      </c>
      <c r="B1341" s="1832">
        <f>'Expenditures 15-22'!D182</f>
        <v>4459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4459</v>
      </c>
      <c r="C1345" s="2" t="s">
        <v>569</v>
      </c>
      <c r="D1345" s="2" t="str">
        <f t="shared" si="20"/>
        <v>Error?</v>
      </c>
    </row>
    <row r="1346" spans="1:4" x14ac:dyDescent="0.2">
      <c r="A1346" s="5">
        <v>1285</v>
      </c>
      <c r="B1346" s="1832">
        <f>'Expenditures 15-22'!D210</f>
        <v>4459</v>
      </c>
      <c r="C1346" s="2" t="s">
        <v>569</v>
      </c>
      <c r="D1346" s="2" t="str">
        <f t="shared" si="20"/>
        <v>Error?</v>
      </c>
    </row>
    <row r="1347" spans="1:4" x14ac:dyDescent="0.2">
      <c r="A1347" s="5">
        <v>1286</v>
      </c>
      <c r="B1347" s="1832">
        <f>'Expenditures 15-22'!E182</f>
        <v>47372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47372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47372</v>
      </c>
      <c r="C1353" s="2" t="s">
        <v>569</v>
      </c>
      <c r="D1353" s="2" t="str">
        <f t="shared" si="20"/>
        <v>Error?</v>
      </c>
    </row>
    <row r="1354" spans="1:4" x14ac:dyDescent="0.2">
      <c r="A1354" s="5">
        <v>1293</v>
      </c>
      <c r="B1354" s="1832">
        <f>'Expenditures 15-22'!F182</f>
        <v>23196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23196</v>
      </c>
      <c r="C1358" s="2" t="s">
        <v>569</v>
      </c>
      <c r="D1358" s="2" t="str">
        <f t="shared" si="20"/>
        <v>Error?</v>
      </c>
    </row>
    <row r="1359" spans="1:4" x14ac:dyDescent="0.2">
      <c r="A1359" s="5">
        <v>1298</v>
      </c>
      <c r="B1359" s="1832">
        <f>'Expenditures 15-22'!F210</f>
        <v>23196</v>
      </c>
      <c r="C1359" s="2" t="s">
        <v>569</v>
      </c>
      <c r="D1359" s="2" t="str">
        <f t="shared" si="20"/>
        <v>Error?</v>
      </c>
    </row>
    <row r="1360" spans="1:4" x14ac:dyDescent="0.2">
      <c r="A1360" s="5">
        <v>1299</v>
      </c>
      <c r="B1360" s="1832">
        <f>'Expenditures 15-22'!G182</f>
        <v>40000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40000</v>
      </c>
      <c r="C1364" s="2" t="s">
        <v>569</v>
      </c>
      <c r="D1364" s="2" t="str">
        <f t="shared" si="20"/>
        <v>Error?</v>
      </c>
    </row>
    <row r="1365" spans="1:4" x14ac:dyDescent="0.2">
      <c r="A1365" s="5">
        <v>1304</v>
      </c>
      <c r="B1365" s="1832">
        <f>'Expenditures 15-22'!G210</f>
        <v>40000</v>
      </c>
      <c r="C1365" s="2" t="s">
        <v>569</v>
      </c>
      <c r="D1365" s="2" t="str">
        <f t="shared" si="20"/>
        <v>Error?</v>
      </c>
    </row>
    <row r="1366" spans="1:4" x14ac:dyDescent="0.2">
      <c r="A1366" s="5">
        <v>1305</v>
      </c>
      <c r="B1366" s="1832">
        <f>'Expenditures 15-22'!H182</f>
        <v>458</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458</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458</v>
      </c>
      <c r="C1376" s="2" t="s">
        <v>569</v>
      </c>
      <c r="D1376" s="2" t="str">
        <f t="shared" si="20"/>
        <v>Error?</v>
      </c>
    </row>
    <row r="1377" spans="1:4" x14ac:dyDescent="0.2">
      <c r="A1377" s="5">
        <v>1316</v>
      </c>
      <c r="B1377" s="1832">
        <f>'Expenditures 15-22'!K182</f>
        <v>182613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182613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182613</v>
      </c>
      <c r="C1388" s="2" t="s">
        <v>569</v>
      </c>
      <c r="D1388" s="2" t="str">
        <f t="shared" si="20"/>
        <v>Error?</v>
      </c>
    </row>
    <row r="1389" spans="1:4" x14ac:dyDescent="0.2">
      <c r="A1389" s="5">
        <v>1328</v>
      </c>
      <c r="B1389" s="1832">
        <f>'Expenditures 15-22'!K211</f>
        <v>56516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1565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38323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509</v>
      </c>
      <c r="D1412" s="2" t="str">
        <f t="shared" si="21"/>
        <v>Error?</v>
      </c>
    </row>
    <row r="1413" spans="1:4" x14ac:dyDescent="0.2">
      <c r="A1413" s="5">
        <v>1352</v>
      </c>
      <c r="B1413" s="1832">
        <f>'Expenditures 15-22'!D234</f>
        <v>2618</v>
      </c>
      <c r="D1413" s="2" t="str">
        <f t="shared" si="21"/>
        <v>Error?</v>
      </c>
    </row>
    <row r="1414" spans="1:4" x14ac:dyDescent="0.2">
      <c r="A1414" s="5">
        <v>1353</v>
      </c>
      <c r="B1414" s="1832">
        <f>'Expenditures 15-22'!D235</f>
        <v>734</v>
      </c>
      <c r="D1414" s="2" t="str">
        <f t="shared" si="21"/>
        <v>Error?</v>
      </c>
    </row>
    <row r="1415" spans="1:4" x14ac:dyDescent="0.2">
      <c r="A1415" s="5">
        <v>1354</v>
      </c>
      <c r="B1415" s="1832">
        <f>'Expenditures 15-22'!D236</f>
        <v>550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4411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2051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2051</v>
      </c>
      <c r="C1421" s="2" t="s">
        <v>569</v>
      </c>
      <c r="D1421" s="2" t="str">
        <f t="shared" si="21"/>
        <v>Error?</v>
      </c>
    </row>
    <row r="1422" spans="1:4" x14ac:dyDescent="0.2">
      <c r="A1422" s="5">
        <v>1361</v>
      </c>
      <c r="B1422" s="1832">
        <f>'Expenditures 15-22'!D245</f>
        <v>195</v>
      </c>
      <c r="D1422" s="2" t="str">
        <f t="shared" si="21"/>
        <v>Error?</v>
      </c>
    </row>
    <row r="1423" spans="1:4" x14ac:dyDescent="0.2">
      <c r="A1423" s="5">
        <v>1362</v>
      </c>
      <c r="B1423" s="1832">
        <f>'Expenditures 15-22'!D246</f>
        <v>9298</v>
      </c>
      <c r="D1423" s="2" t="str">
        <f t="shared" si="21"/>
        <v>Error?</v>
      </c>
    </row>
    <row r="1424" spans="1:4" x14ac:dyDescent="0.2">
      <c r="A1424" s="5">
        <v>1363</v>
      </c>
      <c r="B1424" s="1832">
        <f>'Expenditures 15-22'!D257</f>
        <v>16250</v>
      </c>
      <c r="C1424" s="2" t="s">
        <v>569</v>
      </c>
      <c r="D1424" s="2" t="str">
        <f t="shared" si="21"/>
        <v>Error?</v>
      </c>
    </row>
    <row r="1425" spans="1:4" x14ac:dyDescent="0.2">
      <c r="A1425" s="5">
        <v>1364</v>
      </c>
      <c r="B1425" s="1832">
        <f>'Expenditures 15-22'!D259</f>
        <v>8866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8866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10598</v>
      </c>
      <c r="D1431" s="2" t="str">
        <f t="shared" si="21"/>
        <v>Error?</v>
      </c>
    </row>
    <row r="1432" spans="1:4" x14ac:dyDescent="0.2">
      <c r="A1432" s="5">
        <v>1371</v>
      </c>
      <c r="B1432" s="1832">
        <f>'Expenditures 15-22'!D267</f>
        <v>7702</v>
      </c>
      <c r="D1432" s="2" t="str">
        <f t="shared" si="21"/>
        <v>Error?</v>
      </c>
    </row>
    <row r="1433" spans="1:4" x14ac:dyDescent="0.2">
      <c r="A1433" s="5">
        <v>1372</v>
      </c>
      <c r="B1433" s="1832">
        <f>'Expenditures 15-22'!D268</f>
        <v>6513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24813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108</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108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56499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94822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1565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38323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509</v>
      </c>
      <c r="C1476" s="2" t="s">
        <v>569</v>
      </c>
      <c r="D1476" s="2" t="str">
        <f t="shared" si="22"/>
        <v>Error?</v>
      </c>
    </row>
    <row r="1477" spans="1:4" x14ac:dyDescent="0.2">
      <c r="A1477" s="5">
        <v>1416</v>
      </c>
      <c r="B1477" s="1832">
        <f>'Expenditures 15-22'!K234</f>
        <v>2618</v>
      </c>
      <c r="C1477" s="2" t="s">
        <v>569</v>
      </c>
      <c r="D1477" s="2" t="str">
        <f t="shared" si="22"/>
        <v>Error?</v>
      </c>
    </row>
    <row r="1478" spans="1:4" x14ac:dyDescent="0.2">
      <c r="A1478" s="5">
        <v>1417</v>
      </c>
      <c r="B1478" s="1832">
        <f>'Expenditures 15-22'!K235</f>
        <v>734</v>
      </c>
      <c r="C1478" s="2" t="s">
        <v>569</v>
      </c>
      <c r="D1478" s="2" t="str">
        <f t="shared" si="22"/>
        <v>Error?</v>
      </c>
    </row>
    <row r="1479" spans="1:4" x14ac:dyDescent="0.2">
      <c r="A1479" s="5">
        <v>1418</v>
      </c>
      <c r="B1479" s="1832">
        <f>'Expenditures 15-22'!K236</f>
        <v>550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4411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2051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2051</v>
      </c>
      <c r="C1485" s="2" t="s">
        <v>569</v>
      </c>
      <c r="D1485" s="2" t="str">
        <f t="shared" si="22"/>
        <v>Error?</v>
      </c>
    </row>
    <row r="1486" spans="1:4" x14ac:dyDescent="0.2">
      <c r="A1486" s="5">
        <v>1425</v>
      </c>
      <c r="B1486" s="1832">
        <f>'Expenditures 15-22'!K245</f>
        <v>195</v>
      </c>
      <c r="C1486" s="2" t="s">
        <v>569</v>
      </c>
      <c r="D1486" s="2" t="str">
        <f t="shared" si="22"/>
        <v>Error?</v>
      </c>
    </row>
    <row r="1487" spans="1:4" x14ac:dyDescent="0.2">
      <c r="A1487" s="5">
        <v>1426</v>
      </c>
      <c r="B1487" s="1832">
        <f>'Expenditures 15-22'!K246</f>
        <v>9298</v>
      </c>
      <c r="C1487" s="2" t="s">
        <v>569</v>
      </c>
      <c r="D1487" s="2" t="str">
        <f t="shared" si="22"/>
        <v>Error?</v>
      </c>
    </row>
    <row r="1488" spans="1:4" x14ac:dyDescent="0.2">
      <c r="A1488" s="5">
        <v>1427</v>
      </c>
      <c r="B1488" s="1832">
        <f>'Expenditures 15-22'!K257</f>
        <v>16250</v>
      </c>
      <c r="C1488" s="2" t="s">
        <v>569</v>
      </c>
      <c r="D1488" s="2" t="str">
        <f t="shared" si="22"/>
        <v>Error?</v>
      </c>
    </row>
    <row r="1489" spans="1:4" x14ac:dyDescent="0.2">
      <c r="A1489" s="5">
        <v>1428</v>
      </c>
      <c r="B1489" s="1832">
        <f>'Expenditures 15-22'!K259</f>
        <v>8866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8866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10598</v>
      </c>
      <c r="C1495" s="2" t="s">
        <v>569</v>
      </c>
      <c r="D1495" s="2" t="str">
        <f t="shared" si="22"/>
        <v>Error?</v>
      </c>
    </row>
    <row r="1496" spans="1:4" x14ac:dyDescent="0.2">
      <c r="A1496" s="5">
        <v>1435</v>
      </c>
      <c r="B1496" s="1832">
        <f>'Expenditures 15-22'!K267</f>
        <v>7702</v>
      </c>
      <c r="C1496" s="2" t="s">
        <v>569</v>
      </c>
      <c r="D1496" s="2" t="str">
        <f t="shared" si="22"/>
        <v>Error?</v>
      </c>
    </row>
    <row r="1497" spans="1:4" x14ac:dyDescent="0.2">
      <c r="A1497" s="5">
        <v>1436</v>
      </c>
      <c r="B1497" s="1832">
        <f>'Expenditures 15-22'!K268</f>
        <v>6513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24813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108</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108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56499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94822</v>
      </c>
      <c r="C1517" s="2" t="s">
        <v>569</v>
      </c>
      <c r="D1517" s="2" t="str">
        <f t="shared" si="22"/>
        <v>Error?</v>
      </c>
    </row>
    <row r="1518" spans="1:4" x14ac:dyDescent="0.2">
      <c r="A1518" s="5">
        <v>1457</v>
      </c>
      <c r="B1518" s="1832">
        <f>'Expenditures 15-22'!K296</f>
        <v>25104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49476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49476</v>
      </c>
      <c r="C1535" s="2" t="s">
        <v>569</v>
      </c>
      <c r="D1535" s="2" t="str">
        <f t="shared" ref="D1535:D1598" si="23">IF(ISBLANK(B1535),"OK",IF(A1535-B1535=0,"OK","Error?"))</f>
        <v>Error?</v>
      </c>
    </row>
    <row r="1536" spans="1:4" x14ac:dyDescent="0.2">
      <c r="A1536" s="5">
        <v>1475</v>
      </c>
      <c r="B1536" s="1832">
        <f>'Expenditures 15-22'!E312</f>
        <v>49476</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49476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49476</v>
      </c>
      <c r="C1559" s="2" t="s">
        <v>569</v>
      </c>
      <c r="D1559" s="2" t="str">
        <f t="shared" si="23"/>
        <v>Error?</v>
      </c>
    </row>
    <row r="1560" spans="1:4" x14ac:dyDescent="0.2">
      <c r="A1560" s="5">
        <v>1499</v>
      </c>
      <c r="B1560" s="1832">
        <f>'Expenditures 15-22'!K312</f>
        <v>49476</v>
      </c>
      <c r="C1560" s="2" t="s">
        <v>569</v>
      </c>
      <c r="D1560" s="2" t="str">
        <f t="shared" si="23"/>
        <v>Error?</v>
      </c>
    </row>
    <row r="1561" spans="1:4" x14ac:dyDescent="0.2">
      <c r="A1561" s="5">
        <v>1500</v>
      </c>
      <c r="B1561" s="1832">
        <f>'Expenditures 15-22'!K313</f>
        <v>69256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1772409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2120342</v>
      </c>
      <c r="C1630" s="2" t="s">
        <v>569</v>
      </c>
      <c r="D1630" s="2" t="str">
        <f t="shared" si="24"/>
        <v>Error?</v>
      </c>
    </row>
    <row r="1631" spans="1:4" x14ac:dyDescent="0.2">
      <c r="A1631" s="5">
        <v>1570</v>
      </c>
      <c r="B1631" s="1832">
        <f>'Acct Summary 7-8'!D79</f>
        <v>305388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381495</v>
      </c>
      <c r="C1644" s="2" t="s">
        <v>569</v>
      </c>
      <c r="D1644" s="2" t="str">
        <f t="shared" si="24"/>
        <v>Error?</v>
      </c>
    </row>
    <row r="1645" spans="1:4" x14ac:dyDescent="0.2">
      <c r="A1645" s="5">
        <v>1584</v>
      </c>
      <c r="B1645" s="1832">
        <f>'Acct Summary 7-8'!E79</f>
        <v>389407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397981</v>
      </c>
      <c r="C1658" s="2" t="s">
        <v>569</v>
      </c>
      <c r="D1658" s="2" t="str">
        <f t="shared" si="24"/>
        <v>Error?</v>
      </c>
    </row>
    <row r="1659" spans="1:4" x14ac:dyDescent="0.2">
      <c r="A1659" s="5">
        <v>1598</v>
      </c>
      <c r="B1659" s="1832">
        <f>'Acct Summary 7-8'!F79</f>
        <v>206001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262517</v>
      </c>
      <c r="C1672" s="2" t="s">
        <v>569</v>
      </c>
      <c r="D1672" s="2" t="str">
        <f t="shared" si="25"/>
        <v>Error?</v>
      </c>
    </row>
    <row r="1673" spans="1:4" x14ac:dyDescent="0.2">
      <c r="A1673" s="5">
        <v>1612</v>
      </c>
      <c r="B1673" s="1832">
        <f>'Acct Summary 7-8'!G79</f>
        <v>115079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140183</v>
      </c>
      <c r="C1686" s="2" t="s">
        <v>569</v>
      </c>
      <c r="D1686" s="2" t="str">
        <f t="shared" si="25"/>
        <v>Error?</v>
      </c>
    </row>
    <row r="1687" spans="1:4" x14ac:dyDescent="0.2">
      <c r="A1687" s="5">
        <v>1626</v>
      </c>
      <c r="B1687" s="1832">
        <f>'Acct Summary 7-8'!H79</f>
        <v>142789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212045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1682867</v>
      </c>
      <c r="C1744" s="2" t="s">
        <v>569</v>
      </c>
      <c r="D1744" s="2" t="str">
        <f t="shared" si="26"/>
        <v>Error?</v>
      </c>
    </row>
    <row r="1745" spans="1:5" x14ac:dyDescent="0.2">
      <c r="A1745" s="5">
        <v>1684</v>
      </c>
      <c r="B1745" s="1832">
        <f>'Tax Sched 23'!B5</f>
        <v>286202</v>
      </c>
      <c r="C1745" s="2" t="s">
        <v>569</v>
      </c>
      <c r="D1745" s="2" t="str">
        <f t="shared" si="26"/>
        <v>Error?</v>
      </c>
    </row>
    <row r="1746" spans="1:5" x14ac:dyDescent="0.2">
      <c r="A1746" s="5">
        <v>1685</v>
      </c>
      <c r="B1746" s="1832">
        <f>'Tax Sched 23'!B6</f>
        <v>11</v>
      </c>
      <c r="C1746" s="2" t="s">
        <v>569</v>
      </c>
      <c r="D1746" s="2" t="str">
        <f t="shared" si="26"/>
        <v>Error?</v>
      </c>
    </row>
    <row r="1747" spans="1:5" x14ac:dyDescent="0.2">
      <c r="A1747" s="5">
        <v>1686</v>
      </c>
      <c r="B1747" s="1832">
        <f>'Tax Sched 23'!B7</f>
        <v>114481</v>
      </c>
      <c r="C1747" s="2" t="s">
        <v>569</v>
      </c>
      <c r="D1747" s="2" t="str">
        <f t="shared" si="26"/>
        <v>Error?</v>
      </c>
    </row>
    <row r="1748" spans="1:5" x14ac:dyDescent="0.2">
      <c r="A1748" s="5">
        <v>1687</v>
      </c>
      <c r="B1748" s="1832">
        <f>'Tax Sched 23'!B8</f>
        <v>53967</v>
      </c>
      <c r="C1748" s="2" t="s">
        <v>569</v>
      </c>
      <c r="D1748" s="2" t="str">
        <f t="shared" si="26"/>
        <v>Error?</v>
      </c>
    </row>
    <row r="1749" spans="1:5" x14ac:dyDescent="0.2">
      <c r="A1749" s="5">
        <v>1688</v>
      </c>
      <c r="B1749" s="1832">
        <f>'Tax Sched 23'!B10</f>
        <v>28620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134910</v>
      </c>
      <c r="C1752" s="2" t="s">
        <v>569</v>
      </c>
      <c r="D1752" s="2" t="str">
        <f t="shared" si="26"/>
        <v>Error?</v>
      </c>
    </row>
    <row r="1753" spans="1:5" x14ac:dyDescent="0.2">
      <c r="A1753" s="5">
        <v>1692</v>
      </c>
      <c r="B1753" s="1832">
        <f>'Tax Sched 23'!B12</f>
        <v>28620</v>
      </c>
      <c r="C1753" s="2" t="s">
        <v>569</v>
      </c>
      <c r="D1753" s="2" t="str">
        <f t="shared" si="26"/>
        <v>Error?</v>
      </c>
    </row>
    <row r="1754" spans="1:5" x14ac:dyDescent="0.2">
      <c r="A1754" s="5">
        <v>1693</v>
      </c>
      <c r="B1754" s="1832">
        <f>'Tax Sched 23'!B14</f>
        <v>22896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2447153</v>
      </c>
      <c r="C1759" s="2" t="s">
        <v>569</v>
      </c>
      <c r="D1759" s="2" t="str">
        <f t="shared" si="26"/>
        <v>Error?</v>
      </c>
    </row>
    <row r="1760" spans="1:5" x14ac:dyDescent="0.2">
      <c r="A1760" s="5">
        <v>1699</v>
      </c>
      <c r="B1760" s="1832">
        <f>'Tax Sched 23'!D4</f>
        <v>1682867</v>
      </c>
      <c r="C1760" s="2" t="s">
        <v>569</v>
      </c>
      <c r="D1760" s="2" t="str">
        <f t="shared" si="26"/>
        <v>Error?</v>
      </c>
    </row>
    <row r="1761" spans="1:7" x14ac:dyDescent="0.2">
      <c r="A1761" s="5">
        <v>1700</v>
      </c>
      <c r="B1761" s="1832">
        <f>'Tax Sched 23'!D5</f>
        <v>286202</v>
      </c>
      <c r="C1761" s="2" t="s">
        <v>569</v>
      </c>
      <c r="D1761" s="2" t="str">
        <f t="shared" si="26"/>
        <v>Error?</v>
      </c>
    </row>
    <row r="1762" spans="1:7" s="8" customFormat="1" x14ac:dyDescent="0.2">
      <c r="A1762" s="5">
        <v>1701</v>
      </c>
      <c r="B1762" s="1832">
        <f>'Tax Sched 23'!D6</f>
        <v>11</v>
      </c>
      <c r="C1762" s="2" t="s">
        <v>569</v>
      </c>
      <c r="D1762" s="2" t="str">
        <f t="shared" si="26"/>
        <v>Error?</v>
      </c>
      <c r="E1762" s="9"/>
      <c r="G1762"/>
    </row>
    <row r="1763" spans="1:7" x14ac:dyDescent="0.2">
      <c r="A1763" s="5">
        <v>1702</v>
      </c>
      <c r="B1763" s="1832">
        <f>'Tax Sched 23'!D7</f>
        <v>114481</v>
      </c>
      <c r="C1763" s="2" t="s">
        <v>569</v>
      </c>
      <c r="D1763" s="2" t="str">
        <f t="shared" si="26"/>
        <v>Error?</v>
      </c>
    </row>
    <row r="1764" spans="1:7" x14ac:dyDescent="0.2">
      <c r="A1764" s="5">
        <v>1703</v>
      </c>
      <c r="B1764" s="1832">
        <f>'Tax Sched 23'!D8</f>
        <v>53967</v>
      </c>
      <c r="C1764" s="2" t="s">
        <v>569</v>
      </c>
      <c r="D1764" s="2" t="str">
        <f t="shared" si="26"/>
        <v>Error?</v>
      </c>
    </row>
    <row r="1765" spans="1:7" x14ac:dyDescent="0.2">
      <c r="A1765" s="5">
        <v>1704</v>
      </c>
      <c r="B1765" s="1832">
        <f>'Tax Sched 23'!D10</f>
        <v>28620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134910</v>
      </c>
      <c r="C1768" s="2" t="s">
        <v>569</v>
      </c>
      <c r="D1768" s="2" t="str">
        <f t="shared" si="26"/>
        <v>Error?</v>
      </c>
    </row>
    <row r="1769" spans="1:7" x14ac:dyDescent="0.2">
      <c r="A1769" s="5">
        <v>1708</v>
      </c>
      <c r="B1769" s="1832">
        <f>'Tax Sched 23'!D12</f>
        <v>28620</v>
      </c>
      <c r="C1769" s="2" t="s">
        <v>569</v>
      </c>
      <c r="D1769" s="2" t="str">
        <f t="shared" si="26"/>
        <v>Error?</v>
      </c>
    </row>
    <row r="1770" spans="1:7" x14ac:dyDescent="0.2">
      <c r="A1770" s="5">
        <v>1709</v>
      </c>
      <c r="B1770" s="1832">
        <f>'Tax Sched 23'!D14</f>
        <v>22896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2447153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1769370</v>
      </c>
      <c r="C1792" s="2" t="s">
        <v>569</v>
      </c>
      <c r="D1792" s="2" t="str">
        <f t="shared" si="27"/>
        <v>Error?</v>
      </c>
    </row>
    <row r="1793" spans="1:4" x14ac:dyDescent="0.2">
      <c r="A1793" s="5">
        <v>1732</v>
      </c>
      <c r="B1793" s="1832">
        <f>'Tax Sched 23'!F5</f>
        <v>300913</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120365</v>
      </c>
      <c r="C1795" s="2" t="s">
        <v>569</v>
      </c>
      <c r="D1795" s="2" t="str">
        <f t="shared" si="27"/>
        <v>Error?</v>
      </c>
    </row>
    <row r="1796" spans="1:4" x14ac:dyDescent="0.2">
      <c r="A1796" s="5">
        <v>1735</v>
      </c>
      <c r="B1796" s="1832">
        <f>'Tax Sched 23'!F8</f>
        <v>54001</v>
      </c>
      <c r="C1796" s="2" t="s">
        <v>569</v>
      </c>
      <c r="D1796" s="2" t="str">
        <f t="shared" si="27"/>
        <v>Error?</v>
      </c>
    </row>
    <row r="1797" spans="1:4" x14ac:dyDescent="0.2">
      <c r="A1797" s="5">
        <v>1736</v>
      </c>
      <c r="B1797" s="1832">
        <f>'Tax Sched 23'!F10</f>
        <v>30091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138998</v>
      </c>
      <c r="C1800" s="2" t="s">
        <v>569</v>
      </c>
      <c r="D1800" s="2" t="str">
        <f t="shared" si="27"/>
        <v>Error?</v>
      </c>
    </row>
    <row r="1801" spans="1:4" x14ac:dyDescent="0.2">
      <c r="A1801" s="5">
        <v>1740</v>
      </c>
      <c r="B1801" s="1832">
        <f>'Tax Sched 23'!F12</f>
        <v>30091</v>
      </c>
      <c r="C1801" s="2" t="s">
        <v>569</v>
      </c>
      <c r="D1801" s="2" t="str">
        <f t="shared" si="27"/>
        <v>Error?</v>
      </c>
    </row>
    <row r="1802" spans="1:4" x14ac:dyDescent="0.2">
      <c r="A1802" s="5">
        <v>1741</v>
      </c>
      <c r="B1802" s="1832">
        <f>'Tax Sched 23'!F14</f>
        <v>24073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2563995</v>
      </c>
      <c r="C1807" s="2" t="s">
        <v>569</v>
      </c>
      <c r="D1807" s="2" t="str">
        <f t="shared" si="27"/>
        <v>Error?</v>
      </c>
    </row>
    <row r="1808" spans="1:4" x14ac:dyDescent="0.2">
      <c r="A1808" s="5">
        <v>1747</v>
      </c>
      <c r="B1808" s="1832">
        <f>'Tax Sched 23'!E4</f>
        <v>1769370</v>
      </c>
      <c r="D1808" s="2" t="str">
        <f t="shared" si="27"/>
        <v>Error?</v>
      </c>
    </row>
    <row r="1809" spans="1:4" x14ac:dyDescent="0.2">
      <c r="A1809" s="5">
        <v>1748</v>
      </c>
      <c r="B1809" s="1832">
        <f>'Tax Sched 23'!E5</f>
        <v>300913</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120365</v>
      </c>
      <c r="D1811" s="2" t="str">
        <f t="shared" si="27"/>
        <v>Error?</v>
      </c>
    </row>
    <row r="1812" spans="1:4" x14ac:dyDescent="0.2">
      <c r="A1812" s="5">
        <v>1751</v>
      </c>
      <c r="B1812" s="1832">
        <f>'Tax Sched 23'!E8</f>
        <v>54001</v>
      </c>
      <c r="D1812" s="2" t="str">
        <f t="shared" si="27"/>
        <v>Error?</v>
      </c>
    </row>
    <row r="1813" spans="1:4" x14ac:dyDescent="0.2">
      <c r="A1813" s="5">
        <v>1752</v>
      </c>
      <c r="B1813" s="1832">
        <f>'Tax Sched 23'!E10</f>
        <v>30091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138998</v>
      </c>
      <c r="D1816" s="2" t="str">
        <f t="shared" si="27"/>
        <v>Error?</v>
      </c>
    </row>
    <row r="1817" spans="1:4" x14ac:dyDescent="0.2">
      <c r="A1817" s="5">
        <v>1756</v>
      </c>
      <c r="B1817" s="1832">
        <f>'Tax Sched 23'!E12</f>
        <v>30091</v>
      </c>
      <c r="D1817" s="2" t="str">
        <f t="shared" si="27"/>
        <v>Error?</v>
      </c>
    </row>
    <row r="1818" spans="1:4" x14ac:dyDescent="0.2">
      <c r="A1818" s="5">
        <v>1757</v>
      </c>
      <c r="B1818" s="1832">
        <f>'Tax Sched 23'!E14</f>
        <v>24073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2563995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32000</v>
      </c>
      <c r="D2008" s="2" t="str">
        <f t="shared" si="30"/>
        <v>Error?</v>
      </c>
    </row>
    <row r="2009" spans="1:4" x14ac:dyDescent="0.2">
      <c r="A2009" s="5">
        <v>1948</v>
      </c>
      <c r="B2009" s="1832">
        <f>'Cap Outlay Deprec 26'!C8</f>
        <v>4218205</v>
      </c>
      <c r="D2009" s="2" t="str">
        <f t="shared" si="30"/>
        <v>Error?</v>
      </c>
    </row>
    <row r="2010" spans="1:4" x14ac:dyDescent="0.2">
      <c r="A2010" s="5">
        <v>1949</v>
      </c>
      <c r="B2010" s="1832">
        <f>'Cap Outlay Deprec 26'!C10</f>
        <v>85325</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89623</v>
      </c>
      <c r="D2012" s="2" t="str">
        <f t="shared" si="30"/>
        <v>Error?</v>
      </c>
    </row>
    <row r="2013" spans="1:4" x14ac:dyDescent="0.2">
      <c r="A2013" s="5">
        <v>1952</v>
      </c>
      <c r="B2013" s="1832">
        <f>'Cap Outlay Deprec 26'!C16</f>
        <v>4648191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75240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4979</v>
      </c>
      <c r="D2018" s="2" t="str">
        <f t="shared" si="30"/>
        <v>Error?</v>
      </c>
    </row>
    <row r="2019" spans="1:4" x14ac:dyDescent="0.2">
      <c r="A2019" s="5">
        <v>1958</v>
      </c>
      <c r="B2019" s="1832">
        <f>'Cap Outlay Deprec 26'!D16</f>
        <v>134513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32000</v>
      </c>
      <c r="C2026" s="2" t="s">
        <v>569</v>
      </c>
      <c r="D2026" s="2" t="str">
        <f t="shared" si="30"/>
        <v>Error?</v>
      </c>
    </row>
    <row r="2027" spans="1:4" x14ac:dyDescent="0.2">
      <c r="A2027" s="5">
        <v>1966</v>
      </c>
      <c r="B2027" s="1832">
        <f>'Cap Outlay Deprec 26'!F8</f>
        <v>4293445</v>
      </c>
      <c r="C2027" s="2" t="s">
        <v>569</v>
      </c>
      <c r="D2027" s="2" t="str">
        <f t="shared" si="30"/>
        <v>Error?</v>
      </c>
    </row>
    <row r="2028" spans="1:4" x14ac:dyDescent="0.2">
      <c r="A2028" s="5">
        <v>1967</v>
      </c>
      <c r="B2028" s="1832">
        <f>'Cap Outlay Deprec 26'!F10</f>
        <v>85325</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94602</v>
      </c>
      <c r="C2030" s="2" t="s">
        <v>569</v>
      </c>
      <c r="D2030" s="2" t="str">
        <f t="shared" si="30"/>
        <v>Error?</v>
      </c>
    </row>
    <row r="2031" spans="1:4" x14ac:dyDescent="0.2">
      <c r="A2031" s="5">
        <v>1970</v>
      </c>
      <c r="B2031" s="1832">
        <f>'Cap Outlay Deprec 26'!F16</f>
        <v>4782704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1571576</v>
      </c>
      <c r="D2033" s="2" t="str">
        <f t="shared" si="30"/>
        <v>Error?</v>
      </c>
    </row>
    <row r="2034" spans="1:4" x14ac:dyDescent="0.2">
      <c r="A2034" s="5">
        <v>1973</v>
      </c>
      <c r="B2034" s="1832">
        <f>'Cap Outlay Deprec 26'!H10</f>
        <v>71472</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67924</v>
      </c>
      <c r="D2036" s="2" t="str">
        <f t="shared" si="30"/>
        <v>Error?</v>
      </c>
    </row>
    <row r="2037" spans="1:4" x14ac:dyDescent="0.2">
      <c r="A2037" s="5">
        <v>1976</v>
      </c>
      <c r="B2037" s="1832">
        <f>'Cap Outlay Deprec 26'!H16</f>
        <v>1918226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96610</v>
      </c>
      <c r="D2039" s="2" t="str">
        <f t="shared" si="30"/>
        <v>Error?</v>
      </c>
    </row>
    <row r="2040" spans="1:4" x14ac:dyDescent="0.2">
      <c r="A2040" s="5">
        <v>1979</v>
      </c>
      <c r="B2040" s="1832">
        <f>'Cap Outlay Deprec 26'!I10</f>
        <v>4314</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8108</v>
      </c>
      <c r="D2042" s="2" t="str">
        <f t="shared" si="30"/>
        <v>Error?</v>
      </c>
    </row>
    <row r="2043" spans="1:4" x14ac:dyDescent="0.2">
      <c r="A2043" s="5">
        <v>1982</v>
      </c>
      <c r="B2043" s="1832">
        <f>'Cap Outlay Deprec 26'!I16</f>
        <v>117205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1668186</v>
      </c>
      <c r="C2051" s="2" t="s">
        <v>569</v>
      </c>
      <c r="D2051" s="2" t="str">
        <f t="shared" si="31"/>
        <v>Error?</v>
      </c>
    </row>
    <row r="2052" spans="1:4" x14ac:dyDescent="0.2">
      <c r="A2052" s="5">
        <v>1991</v>
      </c>
      <c r="B2052" s="1832">
        <f>'Cap Outlay Deprec 26'!K10</f>
        <v>75786</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76032</v>
      </c>
      <c r="C2054" s="2" t="s">
        <v>569</v>
      </c>
      <c r="D2054" s="2" t="str">
        <f t="shared" si="31"/>
        <v>Error?</v>
      </c>
    </row>
    <row r="2055" spans="1:4" x14ac:dyDescent="0.2">
      <c r="A2055" s="5">
        <v>1994</v>
      </c>
      <c r="B2055" s="1832">
        <f>'Cap Outlay Deprec 26'!K16</f>
        <v>2035431</v>
      </c>
      <c r="C2055" s="2" t="s">
        <v>569</v>
      </c>
      <c r="D2055" s="2" t="str">
        <f t="shared" si="31"/>
        <v>Error?</v>
      </c>
    </row>
    <row r="2056" spans="1:4" x14ac:dyDescent="0.2">
      <c r="A2056" s="5">
        <v>1995</v>
      </c>
      <c r="B2056" s="1832">
        <f>'Cap Outlay Deprec 26'!L5</f>
        <v>32000</v>
      </c>
      <c r="C2056" s="2" t="s">
        <v>569</v>
      </c>
      <c r="D2056" s="2" t="str">
        <f t="shared" si="31"/>
        <v>Error?</v>
      </c>
    </row>
    <row r="2057" spans="1:4" x14ac:dyDescent="0.2">
      <c r="A2057" s="5">
        <v>1996</v>
      </c>
      <c r="B2057" s="1832">
        <f>'Cap Outlay Deprec 26'!L8</f>
        <v>2625259</v>
      </c>
      <c r="C2057" s="2" t="s">
        <v>569</v>
      </c>
      <c r="D2057" s="2" t="str">
        <f t="shared" si="31"/>
        <v>Error?</v>
      </c>
    </row>
    <row r="2058" spans="1:4" x14ac:dyDescent="0.2">
      <c r="A2058" s="5">
        <v>1997</v>
      </c>
      <c r="B2058" s="1832">
        <f>'Cap Outlay Deprec 26'!L10</f>
        <v>9539</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18570</v>
      </c>
      <c r="C2060" s="2" t="s">
        <v>569</v>
      </c>
      <c r="D2060" s="2" t="str">
        <f t="shared" si="31"/>
        <v>Error?</v>
      </c>
    </row>
    <row r="2061" spans="1:4" x14ac:dyDescent="0.2">
      <c r="A2061" s="5">
        <v>2000</v>
      </c>
      <c r="B2061" s="1832">
        <f>'Cap Outlay Deprec 26'!L16</f>
        <v>2747273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49749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28620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140183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397981</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212045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2002172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706276</v>
      </c>
      <c r="C2553" s="2" t="s">
        <v>569</v>
      </c>
      <c r="D2553" s="2" t="str">
        <f t="shared" si="38"/>
        <v>Error?</v>
      </c>
    </row>
    <row r="2554" spans="1:4" x14ac:dyDescent="0.2">
      <c r="A2554" s="5">
        <v>2493</v>
      </c>
      <c r="B2554" s="1832">
        <f>'Acct Summary 7-8'!C7</f>
        <v>325900</v>
      </c>
      <c r="C2554" s="2" t="s">
        <v>569</v>
      </c>
      <c r="D2554" s="2" t="str">
        <f t="shared" si="38"/>
        <v>Error?</v>
      </c>
    </row>
    <row r="2555" spans="1:4" x14ac:dyDescent="0.2">
      <c r="A2555" s="5">
        <v>2494</v>
      </c>
      <c r="B2555" s="1832">
        <f>'Acct Summary 7-8'!C8</f>
        <v>3034348</v>
      </c>
      <c r="C2555" s="2" t="s">
        <v>569</v>
      </c>
      <c r="D2555" s="2" t="str">
        <f t="shared" si="38"/>
        <v>Error?</v>
      </c>
    </row>
    <row r="2556" spans="1:4" x14ac:dyDescent="0.2">
      <c r="A2556" s="5">
        <v>2495</v>
      </c>
      <c r="B2556" s="1832">
        <f>'Acct Summary 7-8'!C12</f>
        <v>1769401</v>
      </c>
      <c r="C2556" s="2" t="s">
        <v>569</v>
      </c>
      <c r="D2556" s="2" t="str">
        <f t="shared" si="38"/>
        <v>Error?</v>
      </c>
    </row>
    <row r="2557" spans="1:4" x14ac:dyDescent="0.2">
      <c r="A2557" s="5">
        <v>2496</v>
      </c>
      <c r="B2557" s="1832">
        <f>'Acct Summary 7-8'!C13</f>
        <v>895885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49749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2715035</v>
      </c>
      <c r="C2561" s="2" t="s">
        <v>569</v>
      </c>
      <c r="D2561" s="2" t="str">
        <f t="shared" si="39"/>
        <v>Error?</v>
      </c>
    </row>
    <row r="2562" spans="1:4" x14ac:dyDescent="0.2">
      <c r="A2562" s="5">
        <v>2501</v>
      </c>
      <c r="B2562" s="1832">
        <f>'Acct Summary 7-8'!C20</f>
        <v>319313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296388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58593</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354981</v>
      </c>
      <c r="C2568" s="2" t="s">
        <v>569</v>
      </c>
      <c r="D2568" s="2" t="str">
        <f t="shared" si="39"/>
        <v>Error?</v>
      </c>
    </row>
    <row r="2569" spans="1:4" x14ac:dyDescent="0.2">
      <c r="A2569" s="5">
        <v>2508</v>
      </c>
      <c r="B2569" s="1832">
        <f>'Acct Summary 7-8'!D13</f>
        <v>278874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278874</v>
      </c>
      <c r="C2573" s="2" t="s">
        <v>569</v>
      </c>
      <c r="D2573" s="2" t="str">
        <f t="shared" si="39"/>
        <v>Error?</v>
      </c>
    </row>
    <row r="2574" spans="1:4" x14ac:dyDescent="0.2">
      <c r="A2574" s="5">
        <v>2513</v>
      </c>
      <c r="B2574" s="1832">
        <f>'Acct Summary 7-8'!D20</f>
        <v>76107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115141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123988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239129</v>
      </c>
      <c r="C2595" s="2" t="s">
        <v>569</v>
      </c>
      <c r="D2595" s="2" t="str">
        <f t="shared" si="39"/>
        <v>Error?</v>
      </c>
    </row>
    <row r="2596" spans="1:4" x14ac:dyDescent="0.2">
      <c r="A2596" s="5">
        <v>2535</v>
      </c>
      <c r="B2596" s="1832">
        <f>'Acct Summary 7-8'!F13</f>
        <v>182613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182613</v>
      </c>
      <c r="C2600" s="2" t="s">
        <v>569</v>
      </c>
      <c r="D2600" s="2" t="str">
        <f t="shared" si="39"/>
        <v>Error?</v>
      </c>
    </row>
    <row r="2601" spans="1:4" x14ac:dyDescent="0.2">
      <c r="A2601" s="5">
        <v>2540</v>
      </c>
      <c r="B2601" s="1832">
        <f>'Acct Summary 7-8'!F20</f>
        <v>56516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119926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119926</v>
      </c>
      <c r="C2606" s="2" t="s">
        <v>569</v>
      </c>
      <c r="D2606" s="2" t="str">
        <f t="shared" si="39"/>
        <v>Error?</v>
      </c>
    </row>
    <row r="2607" spans="1:4" x14ac:dyDescent="0.2">
      <c r="A2607" s="5">
        <v>2546</v>
      </c>
      <c r="B2607" s="1832">
        <f>'Acct Summary 7-8'!G12</f>
        <v>38323</v>
      </c>
      <c r="C2607" s="2" t="s">
        <v>569</v>
      </c>
      <c r="D2607" s="2" t="str">
        <f t="shared" si="39"/>
        <v>Error?</v>
      </c>
    </row>
    <row r="2608" spans="1:4" x14ac:dyDescent="0.2">
      <c r="A2608" s="5">
        <v>2547</v>
      </c>
      <c r="B2608" s="1832">
        <f>'Acct Summary 7-8'!G13</f>
        <v>56499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94822</v>
      </c>
      <c r="C2612" s="2" t="s">
        <v>569</v>
      </c>
      <c r="D2612" s="2" t="str">
        <f t="shared" si="39"/>
        <v>Error?</v>
      </c>
    </row>
    <row r="2613" spans="1:4" x14ac:dyDescent="0.2">
      <c r="A2613" s="5">
        <v>2552</v>
      </c>
      <c r="B2613" s="1832">
        <f>'Acct Summary 7-8'!G20</f>
        <v>25104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8574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8574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8574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118732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118732</v>
      </c>
      <c r="C2658" s="2" t="s">
        <v>569</v>
      </c>
      <c r="D2658" s="2" t="str">
        <f t="shared" si="40"/>
        <v>Error?</v>
      </c>
    </row>
    <row r="2659" spans="1:4" x14ac:dyDescent="0.2">
      <c r="A2659" s="5">
        <v>2598</v>
      </c>
      <c r="B2659" s="1832">
        <f>'Acct Summary 7-8'!H13</f>
        <v>49476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49476</v>
      </c>
      <c r="C2661" s="2" t="s">
        <v>569</v>
      </c>
      <c r="D2661" s="2" t="str">
        <f t="shared" si="40"/>
        <v>Error?</v>
      </c>
    </row>
    <row r="2662" spans="1:4" x14ac:dyDescent="0.2">
      <c r="A2662" s="5">
        <v>2601</v>
      </c>
      <c r="B2662" s="1832">
        <f>'Acct Summary 7-8'!H20</f>
        <v>69256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7000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85894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85894</v>
      </c>
      <c r="D2914" s="2" t="str">
        <f t="shared" si="44"/>
        <v>Error?</v>
      </c>
    </row>
    <row r="2915" spans="1:4" x14ac:dyDescent="0.2">
      <c r="A2915" s="10">
        <v>2854</v>
      </c>
      <c r="B2915" s="1832"/>
      <c r="D2915" s="2" t="str">
        <f t="shared" si="44"/>
        <v>OK</v>
      </c>
    </row>
    <row r="2916" spans="1:4" x14ac:dyDescent="0.2">
      <c r="A2916" s="5">
        <v>2855</v>
      </c>
      <c r="B2916" s="1832">
        <f>'Assets-Liab 5-6'!L34</f>
        <v>85894</v>
      </c>
      <c r="C2916" s="2" t="s">
        <v>569</v>
      </c>
      <c r="D2916" s="2" t="str">
        <f t="shared" si="44"/>
        <v>Error?</v>
      </c>
    </row>
    <row r="2917" spans="1:4" x14ac:dyDescent="0.2">
      <c r="A2917" s="5">
        <v>2856</v>
      </c>
      <c r="B2917" s="1832">
        <f>'Assets-Liab 5-6'!L41</f>
        <v>85894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45337</v>
      </c>
      <c r="D3055" s="2" t="str">
        <f t="shared" si="46"/>
        <v>Error?</v>
      </c>
    </row>
    <row r="3056" spans="1:4" x14ac:dyDescent="0.2">
      <c r="A3056" s="5">
        <v>2995</v>
      </c>
      <c r="B3056" s="1832">
        <f>'Expenditures 15-22'!D10</f>
        <v>9255</v>
      </c>
      <c r="D3056" s="2" t="str">
        <f t="shared" si="46"/>
        <v>Error?</v>
      </c>
    </row>
    <row r="3057" spans="1:4" x14ac:dyDescent="0.2">
      <c r="A3057" s="5">
        <v>2996</v>
      </c>
      <c r="B3057" s="1832">
        <f>'Expenditures 15-22'!E10</f>
        <v>142931</v>
      </c>
      <c r="D3057" s="2" t="str">
        <f t="shared" si="46"/>
        <v>Error?</v>
      </c>
    </row>
    <row r="3058" spans="1:4" x14ac:dyDescent="0.2">
      <c r="A3058" s="5">
        <v>2997</v>
      </c>
      <c r="B3058" s="1832">
        <f>'Expenditures 15-22'!F10</f>
        <v>12306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712</v>
      </c>
      <c r="D3060" s="2" t="str">
        <f t="shared" si="46"/>
        <v>Error?</v>
      </c>
    </row>
    <row r="3061" spans="1:4" x14ac:dyDescent="0.2">
      <c r="A3061" s="10">
        <v>3000</v>
      </c>
      <c r="B3061" s="1832"/>
      <c r="D3061" s="2" t="str">
        <f t="shared" si="46"/>
        <v>OK</v>
      </c>
    </row>
    <row r="3062" spans="1:4" x14ac:dyDescent="0.2">
      <c r="A3062" s="5">
        <v>3001</v>
      </c>
      <c r="B3062" s="1832">
        <f>'Expenditures 15-22'!K10</f>
        <v>210541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1630</v>
      </c>
      <c r="D3064" s="2" t="str">
        <f t="shared" si="46"/>
        <v>Error?</v>
      </c>
    </row>
    <row r="3065" spans="1:4" x14ac:dyDescent="0.2">
      <c r="A3065" s="5">
        <v>3004</v>
      </c>
      <c r="B3065" s="1832">
        <f>'Expenditures 15-22'!K219</f>
        <v>1630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28620</v>
      </c>
      <c r="C3225" s="2" t="s">
        <v>569</v>
      </c>
      <c r="D3225" s="2" t="str">
        <f t="shared" si="49"/>
        <v>Error?</v>
      </c>
    </row>
    <row r="3226" spans="1:4" x14ac:dyDescent="0.2">
      <c r="A3226" s="5">
        <v>3165</v>
      </c>
      <c r="B3226" s="1832">
        <f>'Acct Summary 7-8'!I8</f>
        <v>28620</v>
      </c>
      <c r="C3226" s="2" t="s">
        <v>569</v>
      </c>
      <c r="D3226" s="2" t="str">
        <f t="shared" si="49"/>
        <v>Error?</v>
      </c>
    </row>
    <row r="3227" spans="1:4" x14ac:dyDescent="0.2">
      <c r="A3227" s="5">
        <v>3166</v>
      </c>
      <c r="B3227" s="1832">
        <f>'Acct Summary 7-8'!I20</f>
        <v>28620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28620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28620</v>
      </c>
      <c r="C3232" s="2" t="s">
        <v>569</v>
      </c>
      <c r="D3232" s="2" t="str">
        <f t="shared" si="49"/>
        <v>Error?</v>
      </c>
    </row>
    <row r="3233" spans="1:4" x14ac:dyDescent="0.2">
      <c r="A3233" s="5">
        <v>3172</v>
      </c>
      <c r="B3233" s="1832">
        <f>'Acct Summary 7-8'!C78</f>
        <v>347933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76107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56516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25104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8574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69256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28620</v>
      </c>
      <c r="C3318" s="2" t="s">
        <v>569</v>
      </c>
      <c r="D3318" s="2" t="str">
        <f t="shared" si="50"/>
        <v>Error?</v>
      </c>
    </row>
    <row r="3319" spans="1:4" x14ac:dyDescent="0.2">
      <c r="A3319" s="5">
        <v>3258</v>
      </c>
      <c r="B3319" s="1832">
        <f>'Acct Summary 7-8'!I77</f>
        <v>-28620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254795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38826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1687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451</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295759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15988</v>
      </c>
      <c r="D3387" s="2" t="str">
        <f t="shared" si="51"/>
        <v>Error?</v>
      </c>
    </row>
    <row r="3388" spans="1:4" x14ac:dyDescent="0.2">
      <c r="A3388" s="5">
        <v>3327</v>
      </c>
      <c r="B3388" s="1832">
        <f>'Expenditures 15-22'!D217</f>
        <v>13750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15988</v>
      </c>
      <c r="C3390" s="2" t="s">
        <v>569</v>
      </c>
      <c r="D3390" s="2" t="str">
        <f t="shared" si="51"/>
        <v>Error?</v>
      </c>
    </row>
    <row r="3391" spans="1:4" x14ac:dyDescent="0.2">
      <c r="A3391" s="5">
        <v>3330</v>
      </c>
      <c r="B3391" s="1832">
        <f>'Expenditures 15-22'!K217</f>
        <v>13750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2120901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381495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9416</v>
      </c>
      <c r="D3417" s="2" t="str">
        <f t="shared" si="52"/>
        <v>Error?</v>
      </c>
    </row>
    <row r="3418" spans="1:4" x14ac:dyDescent="0.2">
      <c r="A3418" s="10">
        <v>3357</v>
      </c>
      <c r="B3418" s="1832"/>
      <c r="D3418" s="2" t="str">
        <f t="shared" si="52"/>
        <v>OK</v>
      </c>
    </row>
    <row r="3419" spans="1:4" x14ac:dyDescent="0.2">
      <c r="A3419" s="5">
        <v>3358</v>
      </c>
      <c r="B3419" s="1832">
        <f>'Assets-Liab 5-6'!F4</f>
        <v>262517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140183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212045</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78894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65959</v>
      </c>
      <c r="C3446" s="2" t="s">
        <v>569</v>
      </c>
      <c r="D3446" s="2" t="str">
        <f t="shared" si="52"/>
        <v>Error?</v>
      </c>
    </row>
    <row r="3447" spans="1:4" x14ac:dyDescent="0.2">
      <c r="A3447" s="5">
        <v>3386</v>
      </c>
      <c r="B3447" s="1832">
        <f>'Tax Sched 23'!D16</f>
        <v>65959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66002</v>
      </c>
      <c r="C3449" s="2" t="s">
        <v>569</v>
      </c>
      <c r="D3449" s="2" t="str">
        <f t="shared" si="52"/>
        <v>Error?</v>
      </c>
    </row>
    <row r="3450" spans="1:4" x14ac:dyDescent="0.2">
      <c r="A3450" s="5">
        <v>3389</v>
      </c>
      <c r="B3450" s="1832">
        <f>'Tax Sched 23'!E16</f>
        <v>66002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26</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26</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87623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87623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87623</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87623</v>
      </c>
      <c r="C3568" s="2" t="s">
        <v>569</v>
      </c>
      <c r="D3568" s="2" t="str">
        <f t="shared" si="54"/>
        <v>Error?</v>
      </c>
    </row>
    <row r="3569" spans="1:4" x14ac:dyDescent="0.2">
      <c r="A3569" s="5">
        <v>3508</v>
      </c>
      <c r="B3569" s="1832">
        <f>'Acct Summary 7-8'!K4</f>
        <v>28620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28620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28620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28620</v>
      </c>
      <c r="C3588" s="2" t="s">
        <v>569</v>
      </c>
      <c r="D3588" s="2" t="str">
        <f t="shared" si="55"/>
        <v>Error?</v>
      </c>
    </row>
    <row r="3589" spans="1:4" x14ac:dyDescent="0.2">
      <c r="A3589" s="5">
        <v>3528</v>
      </c>
      <c r="B3589" s="1832">
        <f>'Acct Summary 7-8'!K79</f>
        <v>59003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87623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28620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28620</v>
      </c>
      <c r="C3725" s="2" t="s">
        <v>569</v>
      </c>
      <c r="D3725" s="2" t="str">
        <f t="shared" si="57"/>
        <v>Error?</v>
      </c>
    </row>
    <row r="3726" spans="1:4" x14ac:dyDescent="0.2">
      <c r="A3726" s="5">
        <v>3665</v>
      </c>
      <c r="B3726" s="1832">
        <f>'Tax Sched 23'!D13</f>
        <v>28620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30091</v>
      </c>
      <c r="C3728" s="2" t="s">
        <v>569</v>
      </c>
      <c r="D3728" s="2" t="str">
        <f t="shared" si="57"/>
        <v>Error?</v>
      </c>
    </row>
    <row r="3729" spans="1:4" x14ac:dyDescent="0.2">
      <c r="A3729" s="5">
        <v>3668</v>
      </c>
      <c r="B3729" s="1832">
        <f>'Tax Sched 23'!E13</f>
        <v>30091</v>
      </c>
      <c r="D3729" s="2" t="str">
        <f t="shared" si="57"/>
        <v>Error?</v>
      </c>
    </row>
    <row r="3730" spans="1:4" x14ac:dyDescent="0.2">
      <c r="A3730" s="5">
        <v>3669</v>
      </c>
      <c r="B3730" s="1832">
        <f>'ICR Computation 30'!E10</f>
        <v>89416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1173905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4208253</v>
      </c>
      <c r="C4122" s="2" t="s">
        <v>569</v>
      </c>
      <c r="D4122" s="2" t="str">
        <f t="shared" si="63"/>
        <v>Error?</v>
      </c>
    </row>
    <row r="4123" spans="1:4" x14ac:dyDescent="0.2">
      <c r="A4123" s="5">
        <v>4062</v>
      </c>
      <c r="B4123" s="1832">
        <f>'Acct Summary 7-8'!D10</f>
        <v>354981</v>
      </c>
      <c r="C4123" s="2" t="s">
        <v>569</v>
      </c>
      <c r="D4123" s="2" t="str">
        <f t="shared" si="63"/>
        <v>Error?</v>
      </c>
    </row>
    <row r="4124" spans="1:4" x14ac:dyDescent="0.2">
      <c r="A4124" s="5">
        <v>4063</v>
      </c>
      <c r="B4124" s="1832">
        <f>'Acct Summary 7-8'!E10</f>
        <v>8574</v>
      </c>
      <c r="C4124" s="2" t="s">
        <v>569</v>
      </c>
      <c r="D4124" s="2" t="str">
        <f t="shared" si="63"/>
        <v>Error?</v>
      </c>
    </row>
    <row r="4125" spans="1:4" x14ac:dyDescent="0.2">
      <c r="A4125" s="5">
        <v>4064</v>
      </c>
      <c r="B4125" s="1832">
        <f>'Acct Summary 7-8'!F10</f>
        <v>239129</v>
      </c>
      <c r="C4125" s="2" t="s">
        <v>569</v>
      </c>
      <c r="D4125" s="2" t="str">
        <f t="shared" si="63"/>
        <v>Error?</v>
      </c>
    </row>
    <row r="4126" spans="1:4" x14ac:dyDescent="0.2">
      <c r="A4126" s="5">
        <v>4065</v>
      </c>
      <c r="B4126" s="1832">
        <f>'Acct Summary 7-8'!G10</f>
        <v>119926</v>
      </c>
      <c r="C4126" s="2" t="s">
        <v>569</v>
      </c>
      <c r="D4126" s="2" t="str">
        <f t="shared" si="63"/>
        <v>Error?</v>
      </c>
    </row>
    <row r="4127" spans="1:4" x14ac:dyDescent="0.2">
      <c r="A4127" s="5">
        <v>4066</v>
      </c>
      <c r="B4127" s="1832">
        <f>'Acct Summary 7-8'!H10</f>
        <v>118732</v>
      </c>
      <c r="C4127" s="2" t="s">
        <v>569</v>
      </c>
      <c r="D4127" s="2" t="str">
        <f t="shared" si="63"/>
        <v>Error?</v>
      </c>
    </row>
    <row r="4128" spans="1:4" x14ac:dyDescent="0.2">
      <c r="A4128" s="5">
        <v>4067</v>
      </c>
      <c r="B4128" s="1832">
        <f>'Acct Summary 7-8'!I10</f>
        <v>28620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28620</v>
      </c>
      <c r="C4130" s="2" t="s">
        <v>569</v>
      </c>
      <c r="D4130" s="2" t="str">
        <f t="shared" si="63"/>
        <v>Error?</v>
      </c>
    </row>
    <row r="4131" spans="1:4" x14ac:dyDescent="0.2">
      <c r="A4131" s="5">
        <v>4070</v>
      </c>
      <c r="B4131" s="1832">
        <f>'Acct Summary 7-8'!C18</f>
        <v>1173905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3888940</v>
      </c>
      <c r="C4136" s="2" t="s">
        <v>569</v>
      </c>
      <c r="D4136" s="2" t="str">
        <f t="shared" si="63"/>
        <v>Error?</v>
      </c>
    </row>
    <row r="4137" spans="1:4" x14ac:dyDescent="0.2">
      <c r="A4137" s="5">
        <v>4076</v>
      </c>
      <c r="B4137" s="1832">
        <f>'Acct Summary 7-8'!D19</f>
        <v>278874</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182613</v>
      </c>
      <c r="C4139" s="2" t="s">
        <v>569</v>
      </c>
      <c r="D4139" s="2" t="str">
        <f t="shared" si="63"/>
        <v>Error?</v>
      </c>
    </row>
    <row r="4140" spans="1:4" x14ac:dyDescent="0.2">
      <c r="A4140" s="5">
        <v>4079</v>
      </c>
      <c r="B4140" s="1832">
        <f>'Acct Summary 7-8'!G19</f>
        <v>94822</v>
      </c>
      <c r="C4140" s="2" t="s">
        <v>569</v>
      </c>
      <c r="D4140" s="2" t="str">
        <f t="shared" si="63"/>
        <v>Error?</v>
      </c>
    </row>
    <row r="4141" spans="1:4" x14ac:dyDescent="0.2">
      <c r="A4141" s="5">
        <v>4080</v>
      </c>
      <c r="B4141" s="1832">
        <f>'Acct Summary 7-8'!H19</f>
        <v>49476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3057.6460000000002</v>
      </c>
      <c r="C4265" s="2" t="s">
        <v>569</v>
      </c>
      <c r="D4265" s="2" t="str">
        <f t="shared" si="65"/>
        <v>Error?</v>
      </c>
      <c r="E4265" s="125"/>
    </row>
    <row r="4266" spans="1:5" x14ac:dyDescent="0.2">
      <c r="A4266" s="12">
        <v>4205</v>
      </c>
      <c r="B4266" s="1832">
        <f>('FP Info 3'!F10)*100000</f>
        <v>520</v>
      </c>
      <c r="C4266" s="2" t="s">
        <v>569</v>
      </c>
      <c r="D4266" s="2" t="str">
        <f t="shared" si="65"/>
        <v>Error?</v>
      </c>
      <c r="E4266" s="125"/>
    </row>
    <row r="4267" spans="1:5" x14ac:dyDescent="0.2">
      <c r="A4267" s="12">
        <v>4206</v>
      </c>
      <c r="B4267" s="1832">
        <f>('FP Info 3'!H10)*100000</f>
        <v>208.00399999999999</v>
      </c>
      <c r="C4267" s="2" t="s">
        <v>569</v>
      </c>
      <c r="D4267" s="2" t="str">
        <f t="shared" si="65"/>
        <v>Error?</v>
      </c>
      <c r="E4267" s="125"/>
    </row>
    <row r="4268" spans="1:5" x14ac:dyDescent="0.2">
      <c r="A4268" s="12">
        <v>4207</v>
      </c>
      <c r="B4268" s="1832">
        <f>('FP Info 3'!J10)*100000</f>
        <v>3786</v>
      </c>
      <c r="C4268" s="2" t="s">
        <v>569</v>
      </c>
      <c r="D4268" s="2" t="str">
        <f t="shared" si="65"/>
        <v>Error?</v>
      </c>
    </row>
    <row r="4269" spans="1:5" x14ac:dyDescent="0.2">
      <c r="A4269" s="12">
        <v>4208</v>
      </c>
      <c r="B4269" s="1832">
        <f>'FP Info 3'!J16</f>
        <v>2764354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24346</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23661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7121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520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29064</v>
      </c>
      <c r="D4792" s="2" t="str">
        <f t="shared" si="73"/>
        <v>Error?</v>
      </c>
    </row>
    <row r="4793" spans="1:4" x14ac:dyDescent="0.2">
      <c r="A4793" s="5">
        <v>4732</v>
      </c>
      <c r="B4793" s="1832">
        <f>'Revenues 9-14'!D168</f>
        <v>7247</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62555500</v>
      </c>
      <c r="D4995" s="2" t="str">
        <f t="shared" si="77"/>
        <v>Error?</v>
      </c>
    </row>
    <row r="4996" spans="1:4" x14ac:dyDescent="0.2">
      <c r="A4996" s="12">
        <v>4935</v>
      </c>
      <c r="B4996" s="1832">
        <f>'FP Info 3'!H31</f>
        <v>8632659</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28620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1682867</v>
      </c>
      <c r="D5061" s="2" t="str">
        <f t="shared" si="78"/>
        <v>Error?</v>
      </c>
    </row>
    <row r="5062" spans="1:4" x14ac:dyDescent="0.2">
      <c r="A5062" s="10">
        <v>5001</v>
      </c>
      <c r="B5062" s="1832"/>
      <c r="D5062" s="2" t="str">
        <f t="shared" si="78"/>
        <v>OK</v>
      </c>
    </row>
    <row r="5063" spans="1:4" x14ac:dyDescent="0.2">
      <c r="A5063" s="5">
        <v>5002</v>
      </c>
      <c r="B5063" s="1832">
        <f>'Revenues 9-14'!C7</f>
        <v>22896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1734383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147287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147287</v>
      </c>
      <c r="C5071" s="2" t="s">
        <v>569</v>
      </c>
      <c r="D5071" s="2" t="str">
        <f t="shared" si="78"/>
        <v>Error?</v>
      </c>
    </row>
    <row r="5072" spans="1:4" x14ac:dyDescent="0.2">
      <c r="A5072" s="5">
        <v>5011</v>
      </c>
      <c r="B5072" s="1832">
        <f>'Revenues 9-14'!C20</f>
        <v>200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200</v>
      </c>
      <c r="C5087" s="2" t="s">
        <v>569</v>
      </c>
      <c r="D5087" s="2" t="str">
        <f t="shared" si="78"/>
        <v>Error?</v>
      </c>
    </row>
    <row r="5088" spans="1:4" x14ac:dyDescent="0.2">
      <c r="A5088" s="5">
        <v>5027</v>
      </c>
      <c r="B5088" s="1832">
        <f>'Revenues 9-14'!C65</f>
        <v>6402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6402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7203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49199</v>
      </c>
      <c r="C5096" s="2" t="s">
        <v>569</v>
      </c>
      <c r="D5096" s="2" t="str">
        <f t="shared" si="78"/>
        <v>Error?</v>
      </c>
    </row>
    <row r="5097" spans="1:4" x14ac:dyDescent="0.2">
      <c r="A5097" s="5">
        <v>5036</v>
      </c>
      <c r="B5097" s="1832">
        <f>'Revenues 9-14'!C77</f>
        <v>13124</v>
      </c>
      <c r="D5097" s="2" t="str">
        <f t="shared" si="78"/>
        <v>Error?</v>
      </c>
    </row>
    <row r="5098" spans="1:4" x14ac:dyDescent="0.2">
      <c r="A5098" s="5">
        <v>5037</v>
      </c>
      <c r="B5098" s="1832">
        <f>'Revenues 9-14'!C78</f>
        <v>475</v>
      </c>
      <c r="D5098" s="2" t="str">
        <f t="shared" si="78"/>
        <v>Error?</v>
      </c>
    </row>
    <row r="5099" spans="1:4" x14ac:dyDescent="0.2">
      <c r="A5099" s="5">
        <v>5038</v>
      </c>
      <c r="B5099" s="1832">
        <f>'Revenues 9-14'!C79</f>
        <v>5614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19213</v>
      </c>
      <c r="C5102" s="2" t="s">
        <v>569</v>
      </c>
      <c r="D5102" s="2" t="str">
        <f t="shared" si="78"/>
        <v>Error?</v>
      </c>
    </row>
    <row r="5103" spans="1:4" x14ac:dyDescent="0.2">
      <c r="A5103" s="5">
        <v>5042</v>
      </c>
      <c r="B5103" s="1832">
        <f>'Revenues 9-14'!C84</f>
        <v>17350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17350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2750</v>
      </c>
      <c r="D5114" s="2" t="str">
        <f t="shared" si="78"/>
        <v>Error?</v>
      </c>
    </row>
    <row r="5115" spans="1:4" x14ac:dyDescent="0.2">
      <c r="A5115" s="5">
        <v>5054</v>
      </c>
      <c r="B5115" s="1832">
        <f>'Revenues 9-14'!C98</f>
        <v>15735</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255</v>
      </c>
      <c r="D5117" s="2" t="str">
        <f t="shared" si="78"/>
        <v>Error?</v>
      </c>
    </row>
    <row r="5118" spans="1:4" x14ac:dyDescent="0.2">
      <c r="A5118" s="5">
        <v>5057</v>
      </c>
      <c r="B5118" s="1832">
        <f>'Revenues 9-14'!C106</f>
        <v>6640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28138</v>
      </c>
      <c r="C5120" s="2" t="s">
        <v>569</v>
      </c>
      <c r="D5120" s="2" t="str">
        <f t="shared" si="79"/>
        <v>Error?</v>
      </c>
    </row>
    <row r="5121" spans="1:4" x14ac:dyDescent="0.2">
      <c r="A5121" s="5">
        <v>5060</v>
      </c>
      <c r="B5121" s="1832">
        <f>'Revenues 9-14'!C109</f>
        <v>2002172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555028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555028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3453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3453</v>
      </c>
      <c r="C5147" s="2" t="s">
        <v>569</v>
      </c>
      <c r="D5147" s="2" t="str">
        <f t="shared" si="79"/>
        <v>Error?</v>
      </c>
    </row>
    <row r="5148" spans="1:4" x14ac:dyDescent="0.2">
      <c r="A5148" s="5">
        <v>5087</v>
      </c>
      <c r="B5148" s="1832">
        <f>'Revenues 9-14'!C134</f>
        <v>7413</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9131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1162</v>
      </c>
      <c r="D5167" s="2" t="str">
        <f t="shared" si="79"/>
        <v>Error?</v>
      </c>
    </row>
    <row r="5168" spans="1:4" x14ac:dyDescent="0.2">
      <c r="A5168" s="5">
        <v>5107</v>
      </c>
      <c r="B5168" s="1832">
        <f>'Revenues 9-14'!C148</f>
        <v>2078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106360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151248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706276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48802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25496</v>
      </c>
      <c r="D5241" s="2" t="str">
        <f t="shared" si="80"/>
        <v>Error?</v>
      </c>
    </row>
    <row r="5242" spans="1:4" x14ac:dyDescent="0.2">
      <c r="A5242" s="5">
        <v>5181</v>
      </c>
      <c r="B5242" s="1832">
        <f>'Revenues 9-14'!C194</f>
        <v>14870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89168</v>
      </c>
      <c r="C5246" s="2" t="s">
        <v>569</v>
      </c>
      <c r="D5246" s="2" t="str">
        <f t="shared" si="80"/>
        <v>Error?</v>
      </c>
    </row>
    <row r="5247" spans="1:4" x14ac:dyDescent="0.2">
      <c r="A5247" s="5">
        <v>5186</v>
      </c>
      <c r="B5247" s="1832">
        <f>'Revenues 9-14'!C200</f>
        <v>182950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182950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23000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23000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325900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325900</v>
      </c>
      <c r="C5326" s="2" t="s">
        <v>569</v>
      </c>
      <c r="D5326" s="2" t="str">
        <f t="shared" si="82"/>
        <v>Error?</v>
      </c>
    </row>
    <row r="5327" spans="1:5" x14ac:dyDescent="0.2">
      <c r="A5327" s="5">
        <v>5266</v>
      </c>
      <c r="B5327" s="1832">
        <f>'Revenues 9-14'!C268</f>
        <v>3034348</v>
      </c>
      <c r="C5327" s="2" t="s">
        <v>569</v>
      </c>
      <c r="D5327" s="2" t="str">
        <f t="shared" si="82"/>
        <v>Error?</v>
      </c>
    </row>
    <row r="5328" spans="1:5" x14ac:dyDescent="0.2">
      <c r="A5328" s="5">
        <v>5267</v>
      </c>
      <c r="B5328" s="1832">
        <f>'Revenues 9-14'!D5</f>
        <v>286202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286202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8000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10186</v>
      </c>
      <c r="C5355" s="2" t="s">
        <v>569</v>
      </c>
      <c r="D5355" s="2" t="str">
        <f t="shared" si="82"/>
        <v>Error?</v>
      </c>
    </row>
    <row r="5356" spans="1:4" x14ac:dyDescent="0.2">
      <c r="A5356" s="5">
        <v>5295</v>
      </c>
      <c r="B5356" s="1832">
        <f>'Revenues 9-14'!D109</f>
        <v>296388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27000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27000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31593</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58593</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354981</v>
      </c>
      <c r="C5508" s="2" t="s">
        <v>569</v>
      </c>
      <c r="D5508" s="2" t="str">
        <f t="shared" si="85"/>
        <v>Error?</v>
      </c>
    </row>
    <row r="5509" spans="1:4" x14ac:dyDescent="0.2">
      <c r="A5509" s="5">
        <v>5448</v>
      </c>
      <c r="B5509" s="1832">
        <f>'Revenues 9-14'!E5</f>
        <v>11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8563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8563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8574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8574</v>
      </c>
      <c r="C5552" s="2" t="s">
        <v>569</v>
      </c>
      <c r="D5552" s="2" t="str">
        <f t="shared" si="85"/>
        <v>Error?</v>
      </c>
    </row>
    <row r="5553" spans="1:4" x14ac:dyDescent="0.2">
      <c r="A5553" s="5">
        <v>5492</v>
      </c>
      <c r="B5553" s="1832">
        <f>'Revenues 9-14'!F5</f>
        <v>114481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114481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660</v>
      </c>
      <c r="D5586" s="2" t="str">
        <f t="shared" si="86"/>
        <v>Error?</v>
      </c>
    </row>
    <row r="5587" spans="1:4" x14ac:dyDescent="0.2">
      <c r="A5587" s="5">
        <v>5526</v>
      </c>
      <c r="B5587" s="1832">
        <f>'Revenues 9-14'!F108</f>
        <v>660</v>
      </c>
      <c r="C5587" s="2" t="s">
        <v>569</v>
      </c>
      <c r="D5587" s="2" t="str">
        <f t="shared" si="86"/>
        <v>Error?</v>
      </c>
    </row>
    <row r="5588" spans="1:4" x14ac:dyDescent="0.2">
      <c r="A5588" s="5">
        <v>5527</v>
      </c>
      <c r="B5588" s="1832">
        <f>'Revenues 9-14'!F109</f>
        <v>115141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49200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49200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26614</v>
      </c>
      <c r="D5615" s="2" t="str">
        <f t="shared" si="86"/>
        <v>Error?</v>
      </c>
    </row>
    <row r="5616" spans="1:4" x14ac:dyDescent="0.2">
      <c r="A5616" s="10">
        <v>5555</v>
      </c>
      <c r="B5616" s="1832"/>
      <c r="D5616" s="2" t="str">
        <f t="shared" si="86"/>
        <v>OK</v>
      </c>
    </row>
    <row r="5617" spans="1:5" x14ac:dyDescent="0.2">
      <c r="A5617" s="5">
        <v>5556</v>
      </c>
      <c r="B5617" s="1832">
        <f>'Revenues 9-14'!F153</f>
        <v>48174</v>
      </c>
      <c r="D5617" s="2" t="str">
        <f t="shared" si="86"/>
        <v>Error?</v>
      </c>
    </row>
    <row r="5618" spans="1:5" x14ac:dyDescent="0.2">
      <c r="A5618" s="5">
        <v>5557</v>
      </c>
      <c r="B5618" s="1832">
        <f>'Revenues 9-14'!F155</f>
        <v>74788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74788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123988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239129</v>
      </c>
      <c r="C5720" s="2" t="s">
        <v>569</v>
      </c>
      <c r="D5720" s="2" t="str">
        <f t="shared" si="88"/>
        <v>Error?</v>
      </c>
    </row>
    <row r="5721" spans="1:4" x14ac:dyDescent="0.2">
      <c r="A5721" s="5">
        <v>5660</v>
      </c>
      <c r="B5721" s="1832">
        <f>'Revenues 9-14'!G5</f>
        <v>53967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65959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119926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119926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118732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118732</v>
      </c>
      <c r="C5915" s="2" t="s">
        <v>569</v>
      </c>
      <c r="D5915" s="2" t="str">
        <f t="shared" si="91"/>
        <v>Error?</v>
      </c>
    </row>
    <row r="5916" spans="1:4" x14ac:dyDescent="0.2">
      <c r="A5916" s="5">
        <v>5855</v>
      </c>
      <c r="B5916" s="1832">
        <f>'Revenues 9-14'!I5</f>
        <v>28620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28620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28620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28620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28620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28620</v>
      </c>
      <c r="C6023" s="2" t="s">
        <v>569</v>
      </c>
      <c r="D6023" s="2" t="str">
        <f t="shared" si="93"/>
        <v>Error?</v>
      </c>
    </row>
    <row r="6024" spans="1:5" x14ac:dyDescent="0.2">
      <c r="A6024" s="5">
        <v>5963</v>
      </c>
      <c r="B6024" s="1832">
        <f>'Revenues 9-14'!G109</f>
        <v>119926</v>
      </c>
      <c r="C6024" s="2" t="s">
        <v>569</v>
      </c>
      <c r="D6024" s="2" t="str">
        <f t="shared" si="93"/>
        <v>Error?</v>
      </c>
    </row>
    <row r="6025" spans="1:5" x14ac:dyDescent="0.2">
      <c r="A6025" s="5">
        <v>5964</v>
      </c>
      <c r="B6025" s="1832">
        <f>'Revenues 9-14'!H109</f>
        <v>118732</v>
      </c>
      <c r="C6025" s="2" t="s">
        <v>569</v>
      </c>
      <c r="D6025" s="2" t="str">
        <f t="shared" si="93"/>
        <v>Error?</v>
      </c>
    </row>
    <row r="6026" spans="1:5" x14ac:dyDescent="0.2">
      <c r="A6026" s="5">
        <v>5965</v>
      </c>
      <c r="B6026" s="1832">
        <f>'Revenues 9-14'!I109</f>
        <v>28620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28620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41996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10337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297.7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25836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7</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7</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25829</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25836</v>
      </c>
      <c r="D6216" s="2" t="str">
        <f t="shared" si="96"/>
        <v>Error?</v>
      </c>
      <c r="E6216" s="2" t="s">
        <v>189</v>
      </c>
    </row>
    <row r="6217" spans="1:5" x14ac:dyDescent="0.2">
      <c r="A6217">
        <v>6156</v>
      </c>
      <c r="B6217" s="1832">
        <f>'Assets-Liab 5-6'!J4</f>
        <v>25836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134910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134910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134910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116476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116476</v>
      </c>
      <c r="D6229" s="2" t="str">
        <f t="shared" si="96"/>
        <v>Error?</v>
      </c>
      <c r="E6229" s="2" t="s">
        <v>189</v>
      </c>
    </row>
    <row r="6230" spans="1:5" x14ac:dyDescent="0.2">
      <c r="A6230">
        <v>6169</v>
      </c>
      <c r="B6230" s="1832">
        <f>'Acct Summary 7-8'!J20</f>
        <v>18434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18434</v>
      </c>
      <c r="D6263" s="2" t="str">
        <f t="shared" si="96"/>
        <v>Error?</v>
      </c>
      <c r="E6263" s="2" t="s">
        <v>189</v>
      </c>
    </row>
    <row r="6264" spans="1:5" x14ac:dyDescent="0.2">
      <c r="A6264">
        <v>6203</v>
      </c>
      <c r="B6264" s="1832">
        <f>'Acct Summary 7-8'!J79</f>
        <v>7395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25829</v>
      </c>
      <c r="D6266" s="2" t="str">
        <f t="shared" si="96"/>
        <v>Error?</v>
      </c>
      <c r="E6266" s="2" t="s">
        <v>189</v>
      </c>
    </row>
    <row r="6267" spans="1:5" x14ac:dyDescent="0.2">
      <c r="A6267">
        <v>6206</v>
      </c>
      <c r="B6267" s="1832">
        <f>'Acct Summary 7-8'!C82</f>
        <v>347933</v>
      </c>
      <c r="D6267" s="2" t="str">
        <f t="shared" si="96"/>
        <v>Error?</v>
      </c>
      <c r="E6267" s="2" t="s">
        <v>189</v>
      </c>
    </row>
    <row r="6268" spans="1:5" x14ac:dyDescent="0.2">
      <c r="A6268">
        <v>6207</v>
      </c>
      <c r="B6268" s="1832">
        <f>'Acct Summary 7-8'!D82</f>
        <v>76107</v>
      </c>
      <c r="D6268" s="2" t="str">
        <f t="shared" si="96"/>
        <v>Error?</v>
      </c>
      <c r="E6268" s="2" t="s">
        <v>189</v>
      </c>
    </row>
    <row r="6269" spans="1:5" x14ac:dyDescent="0.2">
      <c r="A6269">
        <v>6208</v>
      </c>
      <c r="B6269" s="1832">
        <f>'Acct Summary 7-8'!E82</f>
        <v>8574</v>
      </c>
      <c r="D6269" s="2" t="str">
        <f t="shared" si="96"/>
        <v>Error?</v>
      </c>
      <c r="E6269" s="2" t="s">
        <v>189</v>
      </c>
    </row>
    <row r="6270" spans="1:5" x14ac:dyDescent="0.2">
      <c r="A6270">
        <v>6209</v>
      </c>
      <c r="B6270" s="1832">
        <f>'Acct Summary 7-8'!F82</f>
        <v>56516</v>
      </c>
      <c r="D6270" s="2" t="str">
        <f t="shared" si="96"/>
        <v>Error?</v>
      </c>
      <c r="E6270" s="2" t="s">
        <v>189</v>
      </c>
    </row>
    <row r="6271" spans="1:5" x14ac:dyDescent="0.2">
      <c r="A6271">
        <v>6210</v>
      </c>
      <c r="B6271" s="1832">
        <f>'Acct Summary 7-8'!G82</f>
        <v>25104</v>
      </c>
      <c r="D6271" s="2" t="str">
        <f t="shared" ref="D6271:D6334" si="97">IF(ISBLANK(B6271),"OK",IF(A6271-B6271=0,"OK","Error?"))</f>
        <v>Error?</v>
      </c>
      <c r="E6271" s="2" t="s">
        <v>189</v>
      </c>
    </row>
    <row r="6272" spans="1:5" x14ac:dyDescent="0.2">
      <c r="A6272">
        <v>6211</v>
      </c>
      <c r="B6272" s="1832">
        <f>'Acct Summary 7-8'!H82</f>
        <v>69256</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18434</v>
      </c>
      <c r="D6274" s="2" t="str">
        <f t="shared" si="97"/>
        <v>Error?</v>
      </c>
      <c r="E6274" s="2" t="s">
        <v>189</v>
      </c>
    </row>
    <row r="6275" spans="1:5" x14ac:dyDescent="0.2">
      <c r="A6275">
        <v>6214</v>
      </c>
      <c r="B6275" s="1832">
        <f>'Acct Summary 7-8'!K82</f>
        <v>28620</v>
      </c>
      <c r="D6275" s="2" t="str">
        <f t="shared" si="97"/>
        <v>Error?</v>
      </c>
      <c r="E6275" s="2" t="s">
        <v>189</v>
      </c>
    </row>
    <row r="6276" spans="1:5" x14ac:dyDescent="0.2">
      <c r="A6276">
        <v>6215</v>
      </c>
      <c r="B6276" s="1832">
        <f>'Acct Summary 7-8'!C83</f>
        <v>0.16409286803732606</v>
      </c>
      <c r="D6276" s="2" t="str">
        <f t="shared" si="97"/>
        <v>Error?</v>
      </c>
      <c r="E6276" s="2" t="s">
        <v>189</v>
      </c>
    </row>
    <row r="6277" spans="1:5" x14ac:dyDescent="0.2">
      <c r="A6277">
        <v>6216</v>
      </c>
      <c r="B6277" s="1832">
        <f>'Acct Summary 7-8'!D83</f>
        <v>0.19949671686391696</v>
      </c>
      <c r="D6277" s="2" t="str">
        <f t="shared" si="97"/>
        <v>Error?</v>
      </c>
      <c r="E6277" s="2" t="s">
        <v>189</v>
      </c>
    </row>
    <row r="6278" spans="1:5" x14ac:dyDescent="0.2">
      <c r="A6278">
        <v>6217</v>
      </c>
      <c r="B6278" s="1832">
        <f>'Acct Summary 7-8'!E83</f>
        <v>2.1543742037936485E-2</v>
      </c>
      <c r="D6278" s="2" t="str">
        <f t="shared" si="97"/>
        <v>Error?</v>
      </c>
      <c r="E6278" s="2" t="s">
        <v>189</v>
      </c>
    </row>
    <row r="6279" spans="1:5" x14ac:dyDescent="0.2">
      <c r="A6279">
        <v>6218</v>
      </c>
      <c r="B6279" s="1832">
        <f>'Acct Summary 7-8'!F83</f>
        <v>0.21528510534555859</v>
      </c>
      <c r="D6279" s="2" t="str">
        <f t="shared" si="97"/>
        <v>Error?</v>
      </c>
      <c r="E6279" s="2" t="s">
        <v>189</v>
      </c>
    </row>
    <row r="6280" spans="1:5" x14ac:dyDescent="0.2">
      <c r="A6280">
        <v>6219</v>
      </c>
      <c r="B6280" s="1832">
        <f>'Acct Summary 7-8'!G83</f>
        <v>0.17908020230698443</v>
      </c>
      <c r="D6280" s="2" t="str">
        <f t="shared" si="97"/>
        <v>Error?</v>
      </c>
      <c r="E6280" s="2" t="s">
        <v>189</v>
      </c>
    </row>
    <row r="6281" spans="1:5" x14ac:dyDescent="0.2">
      <c r="A6281">
        <v>6220</v>
      </c>
      <c r="B6281" s="1832">
        <f>'Acct Summary 7-8'!H83</f>
        <v>0.32660991770614728</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0.71369390994618453</v>
      </c>
      <c r="D6283" s="2" t="str">
        <f t="shared" si="97"/>
        <v>Error?</v>
      </c>
      <c r="E6283" s="2" t="s">
        <v>189</v>
      </c>
    </row>
    <row r="6284" spans="1:5" x14ac:dyDescent="0.2">
      <c r="A6284">
        <v>6223</v>
      </c>
      <c r="B6284" s="1832">
        <f>'Acct Summary 7-8'!K83</f>
        <v>0.32662657064925876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134910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134910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2758</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134910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1718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70038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100961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7870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7526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28296</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28296</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28296</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49749</v>
      </c>
      <c r="D6983" s="2" t="str">
        <f t="shared" si="108"/>
        <v>Error?</v>
      </c>
    </row>
    <row r="6984" spans="1:4" x14ac:dyDescent="0.2">
      <c r="A6984">
        <v>6923</v>
      </c>
      <c r="B6984" s="1832">
        <f>'Expenditures 15-22'!K86</f>
        <v>49749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49749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28296</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1951</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1951</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1951</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116476</v>
      </c>
      <c r="D7042" s="2" t="str">
        <f t="shared" si="109"/>
        <v>Error?</v>
      </c>
    </row>
    <row r="7043" spans="1:5" x14ac:dyDescent="0.2">
      <c r="A7043">
        <v>6982</v>
      </c>
      <c r="B7043" s="1832">
        <f>'Revenues 9-14'!H9</f>
        <v>0</v>
      </c>
      <c r="D7043" s="2" t="str">
        <f t="shared" si="109"/>
        <v>Error?</v>
      </c>
    </row>
    <row r="7044" spans="1:5" x14ac:dyDescent="0.2">
      <c r="A7044">
        <v>6983</v>
      </c>
      <c r="B7044" s="1832">
        <f>'Revenues 9-14'!D106</f>
        <v>2186</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1951</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134910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4247</v>
      </c>
      <c r="D7073" s="2" t="str">
        <f t="shared" si="109"/>
        <v>Error?</v>
      </c>
    </row>
    <row r="7074" spans="1:4" x14ac:dyDescent="0.2">
      <c r="A7074">
        <v>7013</v>
      </c>
      <c r="B7074" s="1832">
        <f>'Expenditures 15-22'!K216</f>
        <v>4247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1044</v>
      </c>
      <c r="D7077" s="2" t="str">
        <f t="shared" si="109"/>
        <v>Error?</v>
      </c>
    </row>
    <row r="7078" spans="1:4" x14ac:dyDescent="0.2">
      <c r="A7078">
        <v>7017</v>
      </c>
      <c r="B7078" s="1832">
        <f>'Expenditures 15-22'!K220</f>
        <v>1044</v>
      </c>
      <c r="D7078" s="2" t="str">
        <f t="shared" si="109"/>
        <v>Error?</v>
      </c>
    </row>
    <row r="7079" spans="1:4" x14ac:dyDescent="0.2">
      <c r="A7079">
        <v>7018</v>
      </c>
      <c r="B7079" s="1832">
        <f>'Expenditures 15-22'!D226</f>
        <v>99</v>
      </c>
      <c r="D7079" s="2" t="str">
        <f t="shared" si="109"/>
        <v>Error?</v>
      </c>
    </row>
    <row r="7080" spans="1:4" x14ac:dyDescent="0.2">
      <c r="A7080">
        <v>7019</v>
      </c>
      <c r="B7080" s="1832">
        <f>'Expenditures 15-22'!K226</f>
        <v>99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6757</v>
      </c>
      <c r="D7089" s="2" t="str">
        <f t="shared" si="109"/>
        <v>Error?</v>
      </c>
    </row>
    <row r="7090" spans="1:4" x14ac:dyDescent="0.2">
      <c r="A7090">
        <v>7029</v>
      </c>
      <c r="B7090" s="1832">
        <f>'Expenditures 15-22'!K252</f>
        <v>6757</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10414</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10414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92234</v>
      </c>
      <c r="D7154" s="2" t="str">
        <f t="shared" si="110"/>
        <v>Error?</v>
      </c>
    </row>
    <row r="7155" spans="1:4" x14ac:dyDescent="0.2">
      <c r="A7155">
        <v>7094</v>
      </c>
      <c r="B7155" s="1832">
        <f>'Expenditures 15-22'!D323</f>
        <v>12878</v>
      </c>
      <c r="D7155" s="2" t="str">
        <f t="shared" si="110"/>
        <v>Error?</v>
      </c>
    </row>
    <row r="7156" spans="1:4" x14ac:dyDescent="0.2">
      <c r="A7156">
        <v>7095</v>
      </c>
      <c r="B7156" s="1832">
        <f>'Expenditures 15-22'!E323</f>
        <v>950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106062</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102648</v>
      </c>
      <c r="D7199" s="2" t="str">
        <f t="shared" si="111"/>
        <v>Error?</v>
      </c>
    </row>
    <row r="7200" spans="1:4" x14ac:dyDescent="0.2">
      <c r="A7200">
        <v>7139</v>
      </c>
      <c r="B7200" s="1832">
        <f>'Expenditures 15-22'!D330</f>
        <v>12878</v>
      </c>
      <c r="D7200" s="2" t="str">
        <f t="shared" si="111"/>
        <v>Error?</v>
      </c>
    </row>
    <row r="7201" spans="1:4" x14ac:dyDescent="0.2">
      <c r="A7201">
        <v>7140</v>
      </c>
      <c r="B7201" s="1832">
        <f>'Expenditures 15-22'!E330</f>
        <v>950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116476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102648</v>
      </c>
      <c r="D7216" s="2" t="str">
        <f t="shared" si="111"/>
        <v>Error?</v>
      </c>
    </row>
    <row r="7217" spans="1:4" x14ac:dyDescent="0.2">
      <c r="A7217">
        <v>7156</v>
      </c>
      <c r="B7217" s="1832">
        <f>'Expenditures 15-22'!D342</f>
        <v>12878</v>
      </c>
      <c r="D7217" s="2" t="str">
        <f t="shared" si="111"/>
        <v>Error?</v>
      </c>
    </row>
    <row r="7218" spans="1:4" x14ac:dyDescent="0.2">
      <c r="A7218">
        <v>7157</v>
      </c>
      <c r="B7218" s="1832">
        <f>'Expenditures 15-22'!E342</f>
        <v>950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116476</v>
      </c>
      <c r="D7224" s="2" t="str">
        <f t="shared" si="111"/>
        <v>Error?</v>
      </c>
    </row>
    <row r="7225" spans="1:4" x14ac:dyDescent="0.2">
      <c r="A7225">
        <v>7164</v>
      </c>
      <c r="B7225" s="1832">
        <f>'Expenditures 15-22'!K343</f>
        <v>18434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14434</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11184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5305</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7834</v>
      </c>
      <c r="D7257" s="2" t="str">
        <f t="shared" si="112"/>
        <v>Error?</v>
      </c>
    </row>
    <row r="7258" spans="1:4" x14ac:dyDescent="0.2">
      <c r="A7258">
        <f t="shared" si="113"/>
        <v>7197</v>
      </c>
      <c r="B7258" s="1832">
        <f>'Expenditures 15-22'!D11</f>
        <v>36</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6115</v>
      </c>
      <c r="D7263" s="2" t="str">
        <f t="shared" si="112"/>
        <v>Error?</v>
      </c>
    </row>
    <row r="7264" spans="1:4" x14ac:dyDescent="0.2">
      <c r="A7264">
        <f t="shared" si="113"/>
        <v>7203</v>
      </c>
      <c r="B7264" s="1832">
        <f>'Expenditures 15-22'!D17</f>
        <v>1411</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223038</v>
      </c>
      <c r="D7615" s="2" t="str">
        <f t="shared" ref="D7615:D7678" si="124">IF(ISBLANK(B7615),"OK",IF(A7615-B7615=0,"OK","Error?"))</f>
        <v>Error?</v>
      </c>
      <c r="E7615" s="2" t="s">
        <v>19</v>
      </c>
    </row>
    <row r="7616" spans="1:5" x14ac:dyDescent="0.2">
      <c r="A7616">
        <f t="shared" si="123"/>
        <v>7555</v>
      </c>
      <c r="B7616" s="1832">
        <f>'Cap Outlay Deprec 26'!D14</f>
        <v>54294</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277332</v>
      </c>
      <c r="D7618" s="2" t="str">
        <f t="shared" si="124"/>
        <v>Error?</v>
      </c>
      <c r="E7618" s="2" t="s">
        <v>19</v>
      </c>
    </row>
    <row r="7619" spans="1:5" x14ac:dyDescent="0.2">
      <c r="A7619">
        <f t="shared" si="123"/>
        <v>7558</v>
      </c>
      <c r="B7619" s="1832">
        <f>'Cap Outlay Deprec 26'!H14</f>
        <v>207254</v>
      </c>
      <c r="D7619" s="2" t="str">
        <f t="shared" si="124"/>
        <v>Error?</v>
      </c>
      <c r="E7619" s="2" t="s">
        <v>19</v>
      </c>
    </row>
    <row r="7620" spans="1:5" x14ac:dyDescent="0.2">
      <c r="A7620">
        <f t="shared" si="123"/>
        <v>7559</v>
      </c>
      <c r="B7620" s="1832">
        <f>'Cap Outlay Deprec 26'!I14</f>
        <v>8173</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215427</v>
      </c>
      <c r="D7622" s="2" t="str">
        <f t="shared" si="124"/>
        <v>Error?</v>
      </c>
      <c r="E7622" s="2" t="s">
        <v>19</v>
      </c>
    </row>
    <row r="7623" spans="1:5" x14ac:dyDescent="0.2">
      <c r="A7623">
        <f t="shared" si="123"/>
        <v>7562</v>
      </c>
      <c r="B7623" s="1832">
        <f>'Cap Outlay Deprec 26'!L14</f>
        <v>61905</v>
      </c>
      <c r="D7623" s="2" t="str">
        <f t="shared" si="124"/>
        <v>Error?</v>
      </c>
      <c r="E7623" s="2" t="s">
        <v>19</v>
      </c>
    </row>
    <row r="7624" spans="1:5" x14ac:dyDescent="0.2">
      <c r="A7624">
        <f t="shared" si="123"/>
        <v>7563</v>
      </c>
      <c r="B7624" s="1832">
        <f>'Cap Outlay Deprec 26'!F17</f>
        <v>30247</v>
      </c>
      <c r="D7624" s="2" t="str">
        <f t="shared" si="124"/>
        <v>Error?</v>
      </c>
      <c r="E7624" s="2" t="s">
        <v>19</v>
      </c>
    </row>
    <row r="7625" spans="1:5" x14ac:dyDescent="0.2">
      <c r="A7625">
        <f t="shared" si="123"/>
        <v>7564</v>
      </c>
      <c r="B7625" s="1832">
        <f>'Cap Outlay Deprec 26'!I17</f>
        <v>3024.7</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120229.7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118732</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120437</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3387820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100961</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7870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279155</v>
      </c>
      <c r="D7834" s="2" t="str">
        <f t="shared" si="129"/>
        <v>Error?</v>
      </c>
      <c r="E7834" s="4" t="s">
        <v>1998</v>
      </c>
    </row>
    <row r="7835" spans="1:5" x14ac:dyDescent="0.2">
      <c r="A7835">
        <v>7774</v>
      </c>
      <c r="B7835" s="1832">
        <f>'PCTC-OEPP 27-28'!F78</f>
        <v>3108665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10442.274101444407</v>
      </c>
      <c r="D7837" s="2" t="str">
        <f t="shared" si="129"/>
        <v>Error?</v>
      </c>
      <c r="E7837" s="4" t="s">
        <v>1998</v>
      </c>
    </row>
    <row r="7838" spans="1:5" x14ac:dyDescent="0.2">
      <c r="A7838">
        <v>7777</v>
      </c>
      <c r="B7838" s="1832">
        <f>'PCTC-OEPP 27-28'!F96</f>
        <v>19213</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23735</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3453</v>
      </c>
      <c r="D7842" s="2" t="str">
        <f t="shared" si="129"/>
        <v>Error?</v>
      </c>
      <c r="E7842" s="4" t="s">
        <v>1998</v>
      </c>
    </row>
    <row r="7843" spans="1:5" x14ac:dyDescent="0.2">
      <c r="A7843">
        <v>7782</v>
      </c>
      <c r="B7843" s="1832">
        <f>'PCTC-OEPP 27-28'!F107</f>
        <v>9131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2078</v>
      </c>
      <c r="D7846" s="2" t="str">
        <f t="shared" si="129"/>
        <v>Error?</v>
      </c>
      <c r="E7846" s="4" t="s">
        <v>1998</v>
      </c>
    </row>
    <row r="7847" spans="1:5" x14ac:dyDescent="0.2">
      <c r="A7847">
        <v>7786</v>
      </c>
      <c r="B7847" s="1832">
        <f>'PCTC-OEPP 27-28'!F112</f>
        <v>74788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36311</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89168</v>
      </c>
      <c r="D7858" s="2" t="str">
        <f t="shared" si="129"/>
        <v>Error?</v>
      </c>
      <c r="E7858" s="4" t="s">
        <v>1998</v>
      </c>
    </row>
    <row r="7859" spans="1:5" x14ac:dyDescent="0.2">
      <c r="A7859">
        <v>7798</v>
      </c>
      <c r="B7859" s="1832">
        <f>'PCTC-OEPP 27-28'!F127</f>
        <v>182950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23000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7121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23661</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713743</v>
      </c>
      <c r="D7877" s="2" t="str">
        <f t="shared" si="129"/>
        <v>Error?</v>
      </c>
      <c r="E7877" s="4" t="s">
        <v>1998</v>
      </c>
    </row>
    <row r="7878" spans="1:5" x14ac:dyDescent="0.2">
      <c r="A7878">
        <v>7817</v>
      </c>
      <c r="B7878" s="1832">
        <f>'PCTC-OEPP 27-28'!F176</f>
        <v>2394922</v>
      </c>
      <c r="D7878" s="2" t="str">
        <f t="shared" si="129"/>
        <v>Error?</v>
      </c>
      <c r="E7878" s="4" t="s">
        <v>1998</v>
      </c>
    </row>
    <row r="7879" spans="1:5" x14ac:dyDescent="0.2">
      <c r="A7879">
        <v>7818</v>
      </c>
      <c r="B7879" s="1832">
        <f>'PCTC-OEPP 27-28'!F178</f>
        <v>2515151.7000000002</v>
      </c>
      <c r="D7879" s="2" t="str">
        <f t="shared" si="129"/>
        <v>Error?</v>
      </c>
      <c r="E7879" s="4" t="s">
        <v>1998</v>
      </c>
    </row>
    <row r="7880" spans="1:5" x14ac:dyDescent="0.2">
      <c r="A7880">
        <v>7819</v>
      </c>
      <c r="B7880" s="1832">
        <f>'PCTC-OEPP 27-28'!F180</f>
        <v>8448.6116896204239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Edgar County CUSD 6 </v>
      </c>
      <c r="B7" s="2516"/>
      <c r="C7" s="2516"/>
      <c r="D7" s="2554"/>
      <c r="E7" s="2555">
        <f>COVER!A13</f>
        <v>11023006026</v>
      </c>
      <c r="F7" s="2556"/>
      <c r="G7" s="2522" t="str">
        <f>COVER!T23</f>
        <v>065-019320</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Daughetee and Parks Management Consulting PC</v>
      </c>
      <c r="H9" s="2529"/>
      <c r="I9" s="2529"/>
      <c r="J9" s="2529"/>
      <c r="K9" s="2529"/>
      <c r="L9" s="2530"/>
    </row>
    <row r="10" spans="1:29" ht="13.5" customHeight="1" x14ac:dyDescent="0.2">
      <c r="A10" s="2512" t="str">
        <f>COVER!A38</f>
        <v>James Acklin</v>
      </c>
      <c r="B10" s="2513"/>
      <c r="C10" s="2513"/>
      <c r="D10" s="2513"/>
      <c r="E10" s="2513"/>
      <c r="F10" s="2514"/>
      <c r="G10" s="2528" t="str">
        <f>COVER!T17</f>
        <v>2200 Kickapoo Drive STE A</v>
      </c>
      <c r="H10" s="2541"/>
      <c r="I10" s="2541"/>
      <c r="J10" s="2541"/>
      <c r="K10" s="2541"/>
      <c r="L10" s="2542"/>
    </row>
    <row r="11" spans="1:29" ht="13.5" customHeight="1" x14ac:dyDescent="0.2">
      <c r="A11" s="963" t="s">
        <v>1502</v>
      </c>
      <c r="B11" s="964"/>
      <c r="C11" s="965"/>
      <c r="D11" s="970"/>
      <c r="E11" s="965"/>
      <c r="F11" s="969"/>
      <c r="G11" s="2528" t="str">
        <f>COVER!T19</f>
        <v>Danville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pparkscpa@gmail.com</v>
      </c>
      <c r="J13" s="2550"/>
      <c r="K13" s="2550"/>
      <c r="L13" s="2551"/>
    </row>
    <row r="14" spans="1:29" ht="13.5" customHeight="1" x14ac:dyDescent="0.2">
      <c r="A14" s="2528" t="str">
        <f>COVER!A19</f>
        <v>23231 Illinois Highway 1</v>
      </c>
      <c r="B14" s="2541"/>
      <c r="C14" s="2541"/>
      <c r="D14" s="2541"/>
      <c r="E14" s="2541"/>
      <c r="F14" s="2542"/>
      <c r="G14" s="974" t="s">
        <v>1175</v>
      </c>
      <c r="H14" s="972"/>
      <c r="I14" s="972"/>
      <c r="J14" s="972"/>
      <c r="K14" s="972"/>
      <c r="L14" s="973"/>
    </row>
    <row r="15" spans="1:29" ht="13.5" customHeight="1" x14ac:dyDescent="0.2">
      <c r="A15" s="2528" t="str">
        <f>COVER!A21</f>
        <v xml:space="preserve">Chrisman </v>
      </c>
      <c r="B15" s="2541"/>
      <c r="C15" s="2541"/>
      <c r="D15" s="2541"/>
      <c r="E15" s="2541"/>
      <c r="F15" s="2542"/>
      <c r="G15" s="2538" t="str">
        <f>COVER!T15</f>
        <v>Phyllis Parks</v>
      </c>
      <c r="H15" s="2539"/>
      <c r="I15" s="2539"/>
      <c r="J15" s="2539"/>
      <c r="K15" s="2539"/>
      <c r="L15" s="2540"/>
    </row>
    <row r="16" spans="1:29" ht="12.2" customHeight="1" x14ac:dyDescent="0.2">
      <c r="A16" s="2518">
        <f>COVER!A25</f>
        <v>61924</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217-431-2727</v>
      </c>
      <c r="H18" s="2516"/>
      <c r="I18" s="2516"/>
      <c r="J18" s="2516"/>
      <c r="K18" s="2515" t="str">
        <f>COVER!X21</f>
        <v>217-431-3273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Edgar County CUSD 6 </v>
      </c>
      <c r="B1" s="2558"/>
      <c r="C1" s="2558"/>
      <c r="D1" s="2558"/>
    </row>
    <row r="2" spans="1:11" s="991" customFormat="1" ht="12.75" x14ac:dyDescent="0.2">
      <c r="A2" s="2559">
        <f>'Single Audit Cover'!E7</f>
        <v>11023006026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Edgar County CUSD 6 </v>
      </c>
      <c r="B1" s="2562"/>
      <c r="C1" s="2562"/>
      <c r="D1" s="2562"/>
      <c r="E1" s="2562"/>
    </row>
    <row r="2" spans="1:5" x14ac:dyDescent="0.2">
      <c r="A2" s="2563">
        <f>'Single Audit Cover'!E7</f>
        <v>11023006026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325900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10337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336237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336237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336237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Edgar County CUSD 6 </v>
      </c>
      <c r="C1" s="2566"/>
      <c r="D1" s="2566"/>
      <c r="E1" s="2566"/>
      <c r="F1" s="2566"/>
      <c r="G1" s="2566"/>
      <c r="H1" s="2566"/>
      <c r="I1" s="2566"/>
      <c r="J1" s="2566"/>
      <c r="K1" s="2566"/>
      <c r="L1" s="2566"/>
      <c r="M1" s="2566"/>
    </row>
    <row r="2" spans="2:14" ht="15" x14ac:dyDescent="0.2">
      <c r="B2" s="2567">
        <f>'Single Audit Cover'!E7</f>
        <v>11023006026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Edgar County CUSD 6 </v>
      </c>
      <c r="B1" s="2571"/>
      <c r="C1" s="2571"/>
      <c r="D1" s="2571"/>
      <c r="E1" s="2571"/>
      <c r="F1" s="2571"/>
    </row>
    <row r="2" spans="1:7" ht="13.5" customHeight="1" x14ac:dyDescent="0.2">
      <c r="A2" s="2567">
        <f>'Single Audit Cover'!E7</f>
        <v>11023006026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Edgar County CUSD 6 </v>
      </c>
      <c r="C1" s="2587"/>
      <c r="D1" s="2587"/>
      <c r="E1" s="2587"/>
      <c r="F1" s="2587"/>
      <c r="G1" s="2587"/>
      <c r="H1" s="2587"/>
      <c r="I1" s="2587"/>
      <c r="J1" s="1178"/>
    </row>
    <row r="2" spans="2:10" s="295" customFormat="1" ht="12.75" customHeight="1" x14ac:dyDescent="0.2">
      <c r="B2" s="2588">
        <f>'Single Audit Cover'!E7</f>
        <v>11023006026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Edgar County CUSD 6 </v>
      </c>
      <c r="C1" s="2586"/>
      <c r="D1" s="2586"/>
      <c r="E1" s="2586"/>
      <c r="F1" s="2586"/>
      <c r="G1" s="2586"/>
      <c r="H1" s="2586"/>
      <c r="I1" s="2586"/>
      <c r="J1" s="2586"/>
      <c r="K1" s="2586"/>
      <c r="L1" s="1144"/>
      <c r="M1" s="1144"/>
    </row>
    <row r="2" spans="1:13" ht="12" customHeight="1" x14ac:dyDescent="0.2">
      <c r="B2" s="2588">
        <f>'Single Audit Cover'!E7</f>
        <v>11023006026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Edgar County CUSD 6 </v>
      </c>
      <c r="C1" s="2613"/>
      <c r="D1" s="2613"/>
      <c r="E1" s="2613"/>
      <c r="F1" s="2613"/>
      <c r="G1" s="2613"/>
      <c r="H1" s="2613"/>
      <c r="I1" s="2613"/>
      <c r="J1" s="2613"/>
      <c r="K1" s="2613"/>
      <c r="L1" s="1221"/>
    </row>
    <row r="2" spans="1:12" ht="12.75" customHeight="1" x14ac:dyDescent="0.2">
      <c r="B2" s="2614">
        <f>'Single Audit Cover'!E7</f>
        <v>11023006026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Edgar County CUSD 6 </v>
      </c>
      <c r="C1" s="2586"/>
      <c r="D1" s="2586"/>
      <c r="E1" s="1240"/>
    </row>
    <row r="2" spans="2:5" s="1058" customFormat="1" ht="12.75" customHeight="1" x14ac:dyDescent="0.2">
      <c r="B2" s="2588">
        <f>'Single Audit Cover'!E7</f>
        <v>11023006026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F76" sqref="F7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62555500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3.057646E-2</v>
      </c>
      <c r="E10" s="333" t="s">
        <v>998</v>
      </c>
      <c r="F10" s="332">
        <v>5.1999999999999998E-3</v>
      </c>
      <c r="G10" s="333" t="s">
        <v>998</v>
      </c>
      <c r="H10" s="332">
        <v>2.08004E-3</v>
      </c>
      <c r="I10" s="333" t="s">
        <v>999</v>
      </c>
      <c r="J10" s="1424">
        <f>ROUND(D10+F10+H10,5)</f>
        <v>3.7859999999999998E-2</v>
      </c>
      <c r="K10" s="217"/>
      <c r="L10" s="332">
        <v>5.1999999999999998E-3</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3657078</v>
      </c>
      <c r="E16" s="1547"/>
      <c r="F16" s="1546">
        <f>SUM('Acct Summary 7-8'!C17,'Acct Summary 7-8'!D17,'Acct Summary 7-8'!F17)</f>
        <v>3176522</v>
      </c>
      <c r="G16" s="1547"/>
      <c r="H16" s="1546">
        <f>SUM(D16-F16)</f>
        <v>480556</v>
      </c>
      <c r="I16" s="1548"/>
      <c r="J16" s="1546">
        <f>SUM('Acct Summary 7-8'!C81,'Acct Summary 7-8'!D81,'Acct Summary 7-8'!F81,'Acct Summary 7-8'!I81)</f>
        <v>2764354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8632659</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E2" zoomScale="110" zoomScaleNormal="110" workbookViewId="0">
      <selection activeCell="H42" sqref="H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Edgar County CUSD 6 </v>
      </c>
      <c r="E7" s="368"/>
      <c r="G7" s="247"/>
      <c r="H7" s="364"/>
      <c r="I7" s="364"/>
      <c r="J7" s="364"/>
      <c r="K7" s="364"/>
      <c r="L7" s="307"/>
      <c r="M7" s="307"/>
      <c r="N7" s="307"/>
      <c r="O7" s="307"/>
      <c r="P7" s="307"/>
    </row>
    <row r="8" spans="1:18" ht="12.75" x14ac:dyDescent="0.2">
      <c r="A8" s="307"/>
      <c r="B8" s="307"/>
      <c r="C8" s="366" t="s">
        <v>1115</v>
      </c>
      <c r="D8" s="369">
        <f>COVER!A13</f>
        <v>11023006026</v>
      </c>
      <c r="E8" s="370"/>
      <c r="G8" s="307"/>
      <c r="H8" s="307"/>
      <c r="I8" s="307"/>
      <c r="J8" s="307"/>
      <c r="K8" s="307"/>
      <c r="L8" s="307"/>
      <c r="M8" s="307"/>
      <c r="N8" s="307"/>
      <c r="O8" s="307"/>
      <c r="P8" s="307"/>
    </row>
    <row r="9" spans="1:18" ht="12.75" x14ac:dyDescent="0.2">
      <c r="A9" s="307"/>
      <c r="B9" s="307"/>
      <c r="C9" s="366" t="s">
        <v>708</v>
      </c>
      <c r="D9" s="371" t="str">
        <f>COVER!A15</f>
        <v>Edgar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2764354</v>
      </c>
      <c r="I12" s="380"/>
      <c r="J12" s="380"/>
      <c r="K12" s="1559">
        <f>TRUNC((H12/H13*100000),5)/100000</f>
        <v>0.75589145209999997</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3657078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3176522</v>
      </c>
      <c r="I17" s="380"/>
      <c r="J17" s="389"/>
      <c r="K17" s="1559">
        <f>TRUNC((H17/H18*100000),5)/100000</f>
        <v>0.86859563829999997</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3657078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2764913</v>
      </c>
      <c r="I24" s="394"/>
      <c r="J24" s="394"/>
      <c r="K24" s="1555">
        <f>TRUNC(((H24/H25*100000)/100000),2)</f>
        <v>313.35000000000002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8823.6722200000004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2013098.5455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8632659</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D22" sqref="D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2120901</v>
      </c>
      <c r="D4" s="1573">
        <v>381495</v>
      </c>
      <c r="E4" s="1573">
        <v>9416</v>
      </c>
      <c r="F4" s="1573">
        <v>262517</v>
      </c>
      <c r="G4" s="1573">
        <v>140183</v>
      </c>
      <c r="H4" s="1573">
        <v>212045</v>
      </c>
      <c r="I4" s="1573"/>
      <c r="J4" s="1574">
        <v>25836</v>
      </c>
      <c r="K4" s="1573">
        <v>87623</v>
      </c>
      <c r="L4" s="1573">
        <v>78894</v>
      </c>
      <c r="M4" s="1575"/>
      <c r="N4" s="1576"/>
    </row>
    <row r="5" spans="1:14" x14ac:dyDescent="0.2">
      <c r="A5" s="427" t="s">
        <v>985</v>
      </c>
      <c r="B5" s="429">
        <v>120</v>
      </c>
      <c r="C5" s="1572"/>
      <c r="D5" s="1573"/>
      <c r="E5" s="1573">
        <v>388565</v>
      </c>
      <c r="F5" s="1573"/>
      <c r="G5" s="1573"/>
      <c r="H5" s="1573"/>
      <c r="I5" s="1573"/>
      <c r="J5" s="1574"/>
      <c r="K5" s="1577"/>
      <c r="L5" s="1578">
        <v>7000</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2120901</v>
      </c>
      <c r="D13" s="1587">
        <f t="shared" ref="D13:L13" si="0">SUM(D4:D12)</f>
        <v>381495</v>
      </c>
      <c r="E13" s="1587">
        <f t="shared" si="0"/>
        <v>397981</v>
      </c>
      <c r="F13" s="1587">
        <f t="shared" si="0"/>
        <v>262517</v>
      </c>
      <c r="G13" s="1587">
        <f t="shared" si="0"/>
        <v>140183</v>
      </c>
      <c r="H13" s="1587">
        <f t="shared" si="0"/>
        <v>212045</v>
      </c>
      <c r="I13" s="1587">
        <f t="shared" si="0"/>
        <v>0</v>
      </c>
      <c r="J13" s="1587">
        <f t="shared" si="0"/>
        <v>25836</v>
      </c>
      <c r="K13" s="1587">
        <f t="shared" si="0"/>
        <v>87623</v>
      </c>
      <c r="L13" s="1587">
        <f t="shared" si="0"/>
        <v>85894</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32000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'Cap Outlay Deprec 26'!L8+'Cap Outlay Deprec 26'!L10</f>
        <v>2634798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'Cap Outlay Deprec 26'!L13+'Cap Outlay Deprec 26'!L14</f>
        <v>80475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2747273</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559</v>
      </c>
      <c r="D31" s="1574"/>
      <c r="E31" s="1574"/>
      <c r="F31" s="1573"/>
      <c r="G31" s="1574"/>
      <c r="H31" s="1574"/>
      <c r="I31" s="1574"/>
      <c r="J31" s="1574">
        <v>7</v>
      </c>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L13</f>
        <v>85894</v>
      </c>
      <c r="M33" s="1575"/>
      <c r="N33" s="1576"/>
    </row>
    <row r="34" spans="1:14" ht="13.5" customHeight="1" thickBot="1" x14ac:dyDescent="0.25">
      <c r="A34" s="1427" t="s">
        <v>649</v>
      </c>
      <c r="B34" s="1428"/>
      <c r="C34" s="1600">
        <f>SUM(C25:C33)</f>
        <v>559</v>
      </c>
      <c r="D34" s="1600">
        <f t="shared" ref="D34:K34" si="1">SUM(D25:D33)</f>
        <v>0</v>
      </c>
      <c r="E34" s="1600">
        <f t="shared" si="1"/>
        <v>0</v>
      </c>
      <c r="F34" s="1600">
        <f t="shared" si="1"/>
        <v>0</v>
      </c>
      <c r="G34" s="1600">
        <f t="shared" si="1"/>
        <v>0</v>
      </c>
      <c r="H34" s="1600">
        <f t="shared" si="1"/>
        <v>0</v>
      </c>
      <c r="I34" s="1600">
        <f t="shared" si="1"/>
        <v>0</v>
      </c>
      <c r="J34" s="1600">
        <f t="shared" si="1"/>
        <v>7</v>
      </c>
      <c r="K34" s="1600">
        <f t="shared" si="1"/>
        <v>0</v>
      </c>
      <c r="L34" s="1601">
        <f>SUM(L33)</f>
        <v>85894</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f>'Acct Summary 7-8'!E81</f>
        <v>397981</v>
      </c>
      <c r="F38" s="1573"/>
      <c r="G38" s="1573">
        <v>140183</v>
      </c>
      <c r="H38" s="1573">
        <f>'Acct Summary 7-8'!H81</f>
        <v>212045</v>
      </c>
      <c r="I38" s="1573"/>
      <c r="J38" s="1574">
        <f>'Acct Summary 7-8'!J81</f>
        <v>25829</v>
      </c>
      <c r="K38" s="1573">
        <f>'Acct Summary 7-8'!K81</f>
        <v>87623</v>
      </c>
      <c r="L38" s="1586"/>
      <c r="M38" s="1604"/>
      <c r="N38" s="1604"/>
    </row>
    <row r="39" spans="1:14" s="307" customFormat="1" ht="13.5" customHeight="1" x14ac:dyDescent="0.2">
      <c r="A39" s="438" t="s">
        <v>339</v>
      </c>
      <c r="B39" s="432">
        <v>730</v>
      </c>
      <c r="C39" s="1573">
        <f>'Acct Summary 7-8'!C81</f>
        <v>2120342</v>
      </c>
      <c r="D39" s="1573">
        <f>'Acct Summary 7-8'!D81</f>
        <v>381495</v>
      </c>
      <c r="E39" s="1573"/>
      <c r="F39" s="1573">
        <f>'Acct Summary 7-8'!F81</f>
        <v>262517</v>
      </c>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2747273</v>
      </c>
      <c r="N40" s="1604"/>
    </row>
    <row r="41" spans="1:14" ht="13.5" customHeight="1" thickBot="1" x14ac:dyDescent="0.25">
      <c r="A41" s="1426" t="s">
        <v>650</v>
      </c>
      <c r="B41" s="1405"/>
      <c r="C41" s="1594">
        <f>(SUM(C34,C37,C38,C39))</f>
        <v>2120901</v>
      </c>
      <c r="D41" s="1594">
        <f t="shared" ref="D41:L41" si="2">SUM(D34,D37,D38:D39)</f>
        <v>381495</v>
      </c>
      <c r="E41" s="1594">
        <f t="shared" si="2"/>
        <v>397981</v>
      </c>
      <c r="F41" s="1594">
        <f t="shared" si="2"/>
        <v>262517</v>
      </c>
      <c r="G41" s="1594">
        <f t="shared" si="2"/>
        <v>140183</v>
      </c>
      <c r="H41" s="1594">
        <f t="shared" si="2"/>
        <v>212045</v>
      </c>
      <c r="I41" s="1594">
        <f t="shared" si="2"/>
        <v>0</v>
      </c>
      <c r="J41" s="1594">
        <f t="shared" si="2"/>
        <v>25836</v>
      </c>
      <c r="K41" s="1594">
        <f t="shared" si="2"/>
        <v>87623</v>
      </c>
      <c r="L41" s="1594">
        <f t="shared" si="2"/>
        <v>85894</v>
      </c>
      <c r="M41" s="1594">
        <f>SUM(M40)</f>
        <v>2747273</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2002172</v>
      </c>
      <c r="D4" s="1606">
        <f>'Revenues 9-14'!D109</f>
        <v>296388</v>
      </c>
      <c r="E4" s="1606">
        <f>'Revenues 9-14'!E109</f>
        <v>8574</v>
      </c>
      <c r="F4" s="1606">
        <f>'Revenues 9-14'!F109</f>
        <v>115141</v>
      </c>
      <c r="G4" s="1606">
        <f>'Revenues 9-14'!G109</f>
        <v>119926</v>
      </c>
      <c r="H4" s="1606">
        <f>'Revenues 9-14'!H109</f>
        <v>118732</v>
      </c>
      <c r="I4" s="1606">
        <f>'Revenues 9-14'!I109</f>
        <v>28620</v>
      </c>
      <c r="J4" s="1606">
        <f>'Revenues 9-14'!J109</f>
        <v>134910</v>
      </c>
      <c r="K4" s="1606">
        <f>'Revenues 9-14'!K109</f>
        <v>28620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706276</v>
      </c>
      <c r="D6" s="1607">
        <f>'Revenues 9-14'!D170</f>
        <v>58593</v>
      </c>
      <c r="E6" s="1607">
        <f>'Revenues 9-14'!E170</f>
        <v>0</v>
      </c>
      <c r="F6" s="1607">
        <f>'Revenues 9-14'!F170</f>
        <v>123988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325900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3034348</v>
      </c>
      <c r="D8" s="1594">
        <f t="shared" ref="D8:K8" si="0">SUM(D4:D7)</f>
        <v>354981</v>
      </c>
      <c r="E8" s="1594">
        <f t="shared" si="0"/>
        <v>8574</v>
      </c>
      <c r="F8" s="1594">
        <f t="shared" si="0"/>
        <v>239129</v>
      </c>
      <c r="G8" s="1594">
        <f t="shared" si="0"/>
        <v>119926</v>
      </c>
      <c r="H8" s="1594">
        <f t="shared" si="0"/>
        <v>118732</v>
      </c>
      <c r="I8" s="1594">
        <f t="shared" si="0"/>
        <v>28620</v>
      </c>
      <c r="J8" s="1594">
        <f t="shared" si="0"/>
        <v>134910</v>
      </c>
      <c r="K8" s="1594">
        <f t="shared" si="0"/>
        <v>28620</v>
      </c>
      <c r="L8" s="325"/>
    </row>
    <row r="9" spans="1:13" ht="15.75" thickTop="1" x14ac:dyDescent="0.2">
      <c r="A9" s="449" t="s">
        <v>1634</v>
      </c>
      <c r="B9" s="450">
        <v>3998</v>
      </c>
      <c r="C9" s="1586">
        <v>1173905</v>
      </c>
      <c r="D9" s="1613"/>
      <c r="E9" s="1586"/>
      <c r="F9" s="1586"/>
      <c r="G9" s="1614"/>
      <c r="H9" s="1586"/>
      <c r="I9" s="1609" t="s">
        <v>1159</v>
      </c>
      <c r="J9" s="1583"/>
      <c r="K9" s="1586"/>
      <c r="L9" s="325"/>
    </row>
    <row r="10" spans="1:13" s="452" customFormat="1" ht="13.5" thickBot="1" x14ac:dyDescent="0.25">
      <c r="A10" s="1426" t="s">
        <v>1163</v>
      </c>
      <c r="B10" s="1407"/>
      <c r="C10" s="1594">
        <f>SUM(C8:C9)</f>
        <v>4208253</v>
      </c>
      <c r="D10" s="1594">
        <f t="shared" ref="D10:K10" si="1">SUM(D8:D9)</f>
        <v>354981</v>
      </c>
      <c r="E10" s="1594">
        <f t="shared" si="1"/>
        <v>8574</v>
      </c>
      <c r="F10" s="1594">
        <f t="shared" si="1"/>
        <v>239129</v>
      </c>
      <c r="G10" s="1594">
        <f t="shared" si="1"/>
        <v>119926</v>
      </c>
      <c r="H10" s="1594">
        <f t="shared" si="1"/>
        <v>118732</v>
      </c>
      <c r="I10" s="1594">
        <f t="shared" si="1"/>
        <v>28620</v>
      </c>
      <c r="J10" s="1594">
        <f t="shared" si="1"/>
        <v>134910</v>
      </c>
      <c r="K10" s="1594">
        <f t="shared" si="1"/>
        <v>28620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1769401</v>
      </c>
      <c r="D12" s="1616" t="s">
        <v>1159</v>
      </c>
      <c r="E12" s="1575" t="s">
        <v>1159</v>
      </c>
      <c r="F12" s="1575" t="s">
        <v>1159</v>
      </c>
      <c r="G12" s="1606">
        <f>'Expenditures 15-22'!K229</f>
        <v>38323</v>
      </c>
      <c r="H12" s="1617"/>
      <c r="I12" s="1575" t="s">
        <v>1159</v>
      </c>
      <c r="J12" s="1575" t="s">
        <v>1159</v>
      </c>
      <c r="K12" s="1617" t="s">
        <v>1159</v>
      </c>
      <c r="L12" s="325"/>
    </row>
    <row r="13" spans="1:13" ht="15.75" customHeight="1" x14ac:dyDescent="0.2">
      <c r="A13" s="1314" t="s">
        <v>454</v>
      </c>
      <c r="B13" s="1316">
        <v>2000</v>
      </c>
      <c r="C13" s="1607">
        <f>'Expenditures 15-22'!K74</f>
        <v>895885</v>
      </c>
      <c r="D13" s="1607">
        <f>'Expenditures 15-22'!K129</f>
        <v>278874</v>
      </c>
      <c r="E13" s="1576" t="s">
        <v>1159</v>
      </c>
      <c r="F13" s="1607">
        <f>'Expenditures 15-22'!K184</f>
        <v>182613</v>
      </c>
      <c r="G13" s="1607">
        <f>'Expenditures 15-22'!K279</f>
        <v>56499</v>
      </c>
      <c r="H13" s="1607">
        <f>'Expenditures 15-22'!K303</f>
        <v>49476</v>
      </c>
      <c r="I13" s="1575" t="s">
        <v>1159</v>
      </c>
      <c r="J13" s="1607">
        <f>'Expenditures 15-22'!K330</f>
        <v>116476</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49749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2715035</v>
      </c>
      <c r="D17" s="1594">
        <f t="shared" si="2"/>
        <v>278874</v>
      </c>
      <c r="E17" s="1594">
        <f t="shared" si="2"/>
        <v>0</v>
      </c>
      <c r="F17" s="1594">
        <f t="shared" si="2"/>
        <v>182613</v>
      </c>
      <c r="G17" s="1594">
        <f t="shared" si="2"/>
        <v>94822</v>
      </c>
      <c r="H17" s="1594">
        <f t="shared" si="2"/>
        <v>49476</v>
      </c>
      <c r="I17" s="1575"/>
      <c r="J17" s="1594">
        <f>SUM(J12:J16)</f>
        <v>116476</v>
      </c>
      <c r="K17" s="1594">
        <f>SUM(K12:K16)</f>
        <v>0</v>
      </c>
      <c r="L17" s="325"/>
    </row>
    <row r="18" spans="1:12" ht="15" customHeight="1" thickTop="1" x14ac:dyDescent="0.2">
      <c r="A18" s="1430" t="s">
        <v>1635</v>
      </c>
      <c r="B18" s="1431">
        <v>4180</v>
      </c>
      <c r="C18" s="1606">
        <f t="shared" ref="C18:H18" si="3">C9</f>
        <v>1173905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3888940</v>
      </c>
      <c r="D19" s="1594">
        <f t="shared" si="4"/>
        <v>278874</v>
      </c>
      <c r="E19" s="1594">
        <f t="shared" si="4"/>
        <v>0</v>
      </c>
      <c r="F19" s="1594">
        <f t="shared" si="4"/>
        <v>182613</v>
      </c>
      <c r="G19" s="1594">
        <f t="shared" si="4"/>
        <v>94822</v>
      </c>
      <c r="H19" s="1594">
        <f t="shared" si="4"/>
        <v>49476</v>
      </c>
      <c r="I19" s="1575"/>
      <c r="J19" s="1594">
        <f>SUM(J17:J18)</f>
        <v>116476</v>
      </c>
      <c r="K19" s="1594">
        <f>SUM(K17:K18)</f>
        <v>0</v>
      </c>
      <c r="L19" s="325"/>
    </row>
    <row r="20" spans="1:12" ht="16.5" thickTop="1" thickBot="1" x14ac:dyDescent="0.25">
      <c r="A20" s="2231" t="s">
        <v>1636</v>
      </c>
      <c r="B20" s="2232"/>
      <c r="C20" s="1622">
        <f>C8-C17</f>
        <v>319313</v>
      </c>
      <c r="D20" s="1622">
        <f t="shared" ref="D20:K20" si="5">D8-D17</f>
        <v>76107</v>
      </c>
      <c r="E20" s="1622">
        <f t="shared" si="5"/>
        <v>8574</v>
      </c>
      <c r="F20" s="1622">
        <f t="shared" si="5"/>
        <v>56516</v>
      </c>
      <c r="G20" s="1622">
        <f t="shared" si="5"/>
        <v>25104</v>
      </c>
      <c r="H20" s="1622">
        <f t="shared" si="5"/>
        <v>69256</v>
      </c>
      <c r="I20" s="1622">
        <f t="shared" si="5"/>
        <v>28620</v>
      </c>
      <c r="J20" s="1622">
        <f t="shared" si="5"/>
        <v>18434</v>
      </c>
      <c r="K20" s="1622">
        <f t="shared" si="5"/>
        <v>28620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28620</v>
      </c>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28620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28620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28620</v>
      </c>
      <c r="J76" s="1624">
        <f t="shared" si="7"/>
        <v>0</v>
      </c>
      <c r="K76" s="1624">
        <f t="shared" si="7"/>
        <v>0</v>
      </c>
      <c r="L76" s="453"/>
    </row>
    <row r="77" spans="1:12" ht="14.25" thickTop="1" thickBot="1" x14ac:dyDescent="0.25">
      <c r="A77" s="2223" t="s">
        <v>1167</v>
      </c>
      <c r="B77" s="2224"/>
      <c r="C77" s="1624">
        <f t="shared" ref="C77:K77" si="8">C44-C76</f>
        <v>28620</v>
      </c>
      <c r="D77" s="1624">
        <f t="shared" si="8"/>
        <v>0</v>
      </c>
      <c r="E77" s="1624">
        <f t="shared" si="8"/>
        <v>0</v>
      </c>
      <c r="F77" s="1624">
        <f t="shared" si="8"/>
        <v>0</v>
      </c>
      <c r="G77" s="1624">
        <f t="shared" si="8"/>
        <v>0</v>
      </c>
      <c r="H77" s="1624">
        <f t="shared" si="8"/>
        <v>0</v>
      </c>
      <c r="I77" s="1624">
        <f t="shared" si="8"/>
        <v>-28620</v>
      </c>
      <c r="J77" s="1624">
        <f t="shared" si="8"/>
        <v>0</v>
      </c>
      <c r="K77" s="1624">
        <f t="shared" si="8"/>
        <v>0</v>
      </c>
      <c r="L77" s="325"/>
    </row>
    <row r="78" spans="1:12" ht="21.75" customHeight="1" thickTop="1" thickBot="1" x14ac:dyDescent="0.25">
      <c r="A78" s="2227" t="s">
        <v>593</v>
      </c>
      <c r="B78" s="2228"/>
      <c r="C78" s="1629">
        <f t="shared" ref="C78:K78" si="9">C20+C77</f>
        <v>347933</v>
      </c>
      <c r="D78" s="1629">
        <f t="shared" si="9"/>
        <v>76107</v>
      </c>
      <c r="E78" s="1629">
        <f t="shared" si="9"/>
        <v>8574</v>
      </c>
      <c r="F78" s="1629">
        <f t="shared" si="9"/>
        <v>56516</v>
      </c>
      <c r="G78" s="1629">
        <f t="shared" si="9"/>
        <v>25104</v>
      </c>
      <c r="H78" s="1629">
        <f t="shared" si="9"/>
        <v>69256</v>
      </c>
      <c r="I78" s="1629">
        <f t="shared" si="9"/>
        <v>0</v>
      </c>
      <c r="J78" s="1629">
        <f t="shared" si="9"/>
        <v>18434</v>
      </c>
      <c r="K78" s="1629">
        <f t="shared" si="9"/>
        <v>28620</v>
      </c>
      <c r="L78" s="457"/>
    </row>
    <row r="79" spans="1:12" ht="13.5" thickTop="1" x14ac:dyDescent="0.2">
      <c r="A79" s="1844" t="str">
        <f>"Fund Balances - July 1, "&amp;'AFR20'!E2-1</f>
        <v>Fund Balances - July 1, 2019</v>
      </c>
      <c r="B79" s="458"/>
      <c r="C79" s="1583">
        <v>1772409</v>
      </c>
      <c r="D79" s="1630">
        <v>305388</v>
      </c>
      <c r="E79" s="1630">
        <v>389407</v>
      </c>
      <c r="F79" s="1630">
        <v>206001</v>
      </c>
      <c r="G79" s="1630">
        <v>115079</v>
      </c>
      <c r="H79" s="1630">
        <v>142789</v>
      </c>
      <c r="I79" s="1630"/>
      <c r="J79" s="1630">
        <v>7395</v>
      </c>
      <c r="K79" s="1630">
        <v>59003</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2120342</v>
      </c>
      <c r="D81" s="1594">
        <f>SUM(D78:D80)</f>
        <v>381495</v>
      </c>
      <c r="E81" s="1594">
        <f t="shared" ref="E81:K81" si="10">SUM(E78:E80)</f>
        <v>397981</v>
      </c>
      <c r="F81" s="1594">
        <f t="shared" si="10"/>
        <v>262517</v>
      </c>
      <c r="G81" s="1594">
        <f t="shared" si="10"/>
        <v>140183</v>
      </c>
      <c r="H81" s="1594">
        <f t="shared" si="10"/>
        <v>212045</v>
      </c>
      <c r="I81" s="1594">
        <f t="shared" si="10"/>
        <v>0</v>
      </c>
      <c r="J81" s="1594">
        <f t="shared" si="10"/>
        <v>25829</v>
      </c>
      <c r="K81" s="1594">
        <f t="shared" si="10"/>
        <v>87623</v>
      </c>
      <c r="L81" s="325"/>
    </row>
    <row r="82" spans="1:12" ht="0.75" customHeight="1" thickTop="1" thickBot="1" x14ac:dyDescent="0.25">
      <c r="A82" s="459" t="s">
        <v>340</v>
      </c>
      <c r="B82" s="460"/>
      <c r="C82" s="461">
        <f>(C81-C79)</f>
        <v>347933</v>
      </c>
      <c r="D82" s="461">
        <f t="shared" ref="D82:K82" si="11">(D81-D79)</f>
        <v>76107</v>
      </c>
      <c r="E82" s="461">
        <f t="shared" si="11"/>
        <v>8574</v>
      </c>
      <c r="F82" s="461">
        <f t="shared" si="11"/>
        <v>56516</v>
      </c>
      <c r="G82" s="461">
        <f t="shared" si="11"/>
        <v>25104</v>
      </c>
      <c r="H82" s="461">
        <f t="shared" si="11"/>
        <v>69256</v>
      </c>
      <c r="I82" s="461">
        <f t="shared" si="11"/>
        <v>0</v>
      </c>
      <c r="J82" s="461">
        <f t="shared" si="11"/>
        <v>18434</v>
      </c>
      <c r="K82" s="461">
        <f t="shared" si="11"/>
        <v>28620</v>
      </c>
    </row>
    <row r="83" spans="1:12" ht="14.25" hidden="1" thickTop="1" thickBot="1" x14ac:dyDescent="0.25">
      <c r="A83" s="462" t="s">
        <v>341</v>
      </c>
      <c r="B83" s="428"/>
      <c r="C83" s="463">
        <f>C82/C81</f>
        <v>0.16409286803732606</v>
      </c>
      <c r="D83" s="463">
        <f t="shared" ref="D83:K83" si="12">D82/D81</f>
        <v>0.19949671686391696</v>
      </c>
      <c r="E83" s="463">
        <f t="shared" si="12"/>
        <v>2.1543742037936485E-2</v>
      </c>
      <c r="F83" s="463">
        <f t="shared" si="12"/>
        <v>0.21528510534555859</v>
      </c>
      <c r="G83" s="463">
        <f t="shared" si="12"/>
        <v>0.17908020230698443</v>
      </c>
      <c r="H83" s="463">
        <f t="shared" si="12"/>
        <v>0.32660991770614728</v>
      </c>
      <c r="I83" s="463" t="e">
        <f t="shared" si="12"/>
        <v>#DIV/0!</v>
      </c>
      <c r="J83" s="463">
        <f t="shared" si="12"/>
        <v>0.71369390994618453</v>
      </c>
      <c r="K83" s="463">
        <f t="shared" si="12"/>
        <v>0.32662657064925876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1682867</v>
      </c>
      <c r="D5" s="1586">
        <v>286202</v>
      </c>
      <c r="E5" s="1573">
        <v>11</v>
      </c>
      <c r="F5" s="1631">
        <v>114481</v>
      </c>
      <c r="G5" s="1573">
        <v>53967</v>
      </c>
      <c r="H5" s="1573"/>
      <c r="I5" s="1573">
        <v>28620</v>
      </c>
      <c r="J5" s="1574">
        <v>134910</v>
      </c>
      <c r="K5" s="1573">
        <v>28620</v>
      </c>
    </row>
    <row r="6" spans="1:12" ht="15" x14ac:dyDescent="0.2">
      <c r="A6" s="427" t="s">
        <v>1643</v>
      </c>
      <c r="B6" s="429">
        <v>1130</v>
      </c>
      <c r="C6" s="1573">
        <v>28620</v>
      </c>
      <c r="D6" s="1573"/>
      <c r="E6" s="1580"/>
      <c r="F6" s="1580"/>
      <c r="G6" s="1575"/>
      <c r="H6" s="1575"/>
      <c r="I6" s="1575"/>
      <c r="J6" s="1575"/>
      <c r="K6" s="1575"/>
    </row>
    <row r="7" spans="1:12" x14ac:dyDescent="0.2">
      <c r="A7" s="427" t="s">
        <v>110</v>
      </c>
      <c r="B7" s="471">
        <v>1140</v>
      </c>
      <c r="C7" s="1573">
        <v>22896</v>
      </c>
      <c r="D7" s="1573"/>
      <c r="E7" s="1575"/>
      <c r="F7" s="1574"/>
      <c r="G7" s="1574"/>
      <c r="H7" s="1574"/>
      <c r="I7" s="1575"/>
      <c r="J7" s="1575"/>
      <c r="K7" s="1575"/>
    </row>
    <row r="8" spans="1:12" x14ac:dyDescent="0.2">
      <c r="A8" s="427" t="s">
        <v>410</v>
      </c>
      <c r="B8" s="429">
        <v>1150</v>
      </c>
      <c r="C8" s="1580"/>
      <c r="D8" s="1580"/>
      <c r="E8" s="1582"/>
      <c r="F8" s="1582"/>
      <c r="G8" s="1586">
        <v>65959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1734383</v>
      </c>
      <c r="D12" s="1633">
        <f t="shared" si="0"/>
        <v>286202</v>
      </c>
      <c r="E12" s="1633">
        <f t="shared" si="0"/>
        <v>11</v>
      </c>
      <c r="F12" s="1633">
        <f t="shared" si="0"/>
        <v>114481</v>
      </c>
      <c r="G12" s="1633">
        <f t="shared" si="0"/>
        <v>119926</v>
      </c>
      <c r="H12" s="1633">
        <f t="shared" si="0"/>
        <v>0</v>
      </c>
      <c r="I12" s="1633">
        <f t="shared" si="0"/>
        <v>28620</v>
      </c>
      <c r="J12" s="1633">
        <f t="shared" si="0"/>
        <v>134910</v>
      </c>
      <c r="K12" s="1594">
        <f t="shared" si="0"/>
        <v>28620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147287</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147287</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200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6402</v>
      </c>
      <c r="D65" s="1573"/>
      <c r="E65" s="1573">
        <v>8563</v>
      </c>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6402</v>
      </c>
      <c r="D67" s="1594">
        <f t="shared" ref="D67:K67" si="2">SUM(D65:D66)</f>
        <v>0</v>
      </c>
      <c r="E67" s="1594">
        <f t="shared" si="2"/>
        <v>8563</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41996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7203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49199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13124</v>
      </c>
      <c r="D77" s="1573"/>
      <c r="E77" s="1575"/>
      <c r="F77" s="1575"/>
      <c r="G77" s="1575"/>
      <c r="H77" s="1575"/>
      <c r="I77" s="1575"/>
      <c r="J77" s="1575"/>
      <c r="K77" s="1575"/>
    </row>
    <row r="78" spans="1:11" ht="12.75" customHeight="1" x14ac:dyDescent="0.2">
      <c r="A78" s="427" t="s">
        <v>76</v>
      </c>
      <c r="B78" s="429">
        <v>1719</v>
      </c>
      <c r="C78" s="1632">
        <v>475</v>
      </c>
      <c r="D78" s="1573"/>
      <c r="E78" s="1575"/>
      <c r="F78" s="1575"/>
      <c r="G78" s="1575"/>
      <c r="H78" s="1575"/>
      <c r="I78" s="1575"/>
      <c r="J78" s="1575"/>
      <c r="K78" s="1575"/>
    </row>
    <row r="79" spans="1:11" ht="12.75" customHeight="1" x14ac:dyDescent="0.2">
      <c r="A79" s="427" t="s">
        <v>546</v>
      </c>
      <c r="B79" s="429">
        <v>1720</v>
      </c>
      <c r="C79" s="1632">
        <v>5614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19213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17350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17350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2750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15735</v>
      </c>
      <c r="D98" s="1573">
        <v>8000</v>
      </c>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2758</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118732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v>255</v>
      </c>
      <c r="D105" s="1640"/>
      <c r="E105" s="1575"/>
      <c r="F105" s="1575"/>
      <c r="G105" s="1575"/>
      <c r="H105" s="1610"/>
      <c r="I105" s="1575"/>
      <c r="J105" s="1575"/>
      <c r="K105" s="1575"/>
    </row>
    <row r="106" spans="1:12" ht="12.75" customHeight="1" x14ac:dyDescent="0.2">
      <c r="A106" s="427" t="s">
        <v>1413</v>
      </c>
      <c r="B106" s="429">
        <v>1993</v>
      </c>
      <c r="C106" s="1573">
        <v>6640</v>
      </c>
      <c r="D106" s="1598">
        <v>2186</v>
      </c>
      <c r="E106" s="1574"/>
      <c r="F106" s="1574"/>
      <c r="G106" s="1574"/>
      <c r="H106" s="1574"/>
      <c r="I106" s="1617"/>
      <c r="J106" s="1574"/>
      <c r="K106" s="1574"/>
    </row>
    <row r="107" spans="1:12" ht="12.75" customHeight="1" x14ac:dyDescent="0.2">
      <c r="A107" s="427" t="s">
        <v>78</v>
      </c>
      <c r="B107" s="429">
        <v>1999</v>
      </c>
      <c r="C107" s="1632"/>
      <c r="D107" s="1573"/>
      <c r="E107" s="1573"/>
      <c r="F107" s="1573">
        <v>660</v>
      </c>
      <c r="G107" s="1573"/>
      <c r="H107" s="1573"/>
      <c r="I107" s="1573"/>
      <c r="J107" s="1574"/>
      <c r="K107" s="1573"/>
    </row>
    <row r="108" spans="1:12" ht="12.75" customHeight="1" thickBot="1" x14ac:dyDescent="0.25">
      <c r="A108" s="1406" t="s">
        <v>484</v>
      </c>
      <c r="B108" s="1408"/>
      <c r="C108" s="1633">
        <f>SUM(C95:C107)</f>
        <v>28138</v>
      </c>
      <c r="D108" s="1633">
        <f t="shared" ref="D108:K108" si="3">SUM(D95:D107)</f>
        <v>10186</v>
      </c>
      <c r="E108" s="1633">
        <f t="shared" si="3"/>
        <v>0</v>
      </c>
      <c r="F108" s="1633">
        <f t="shared" si="3"/>
        <v>660</v>
      </c>
      <c r="G108" s="1633">
        <f t="shared" si="3"/>
        <v>0</v>
      </c>
      <c r="H108" s="1633">
        <f t="shared" si="3"/>
        <v>118732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2002172</v>
      </c>
      <c r="D109" s="1641">
        <f t="shared" si="4"/>
        <v>296388</v>
      </c>
      <c r="E109" s="1641">
        <f t="shared" si="4"/>
        <v>8574</v>
      </c>
      <c r="F109" s="1641">
        <f t="shared" si="4"/>
        <v>115141</v>
      </c>
      <c r="G109" s="1641">
        <f t="shared" si="4"/>
        <v>119926</v>
      </c>
      <c r="H109" s="1641">
        <f t="shared" si="4"/>
        <v>118732</v>
      </c>
      <c r="I109" s="1641">
        <f t="shared" si="4"/>
        <v>28620</v>
      </c>
      <c r="J109" s="1641">
        <f t="shared" si="4"/>
        <v>134910</v>
      </c>
      <c r="K109" s="1629">
        <f t="shared" si="4"/>
        <v>28620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555028</v>
      </c>
      <c r="D117" s="1586">
        <v>27000</v>
      </c>
      <c r="E117" s="1573"/>
      <c r="F117" s="1586">
        <v>49200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555028</v>
      </c>
      <c r="D122" s="1633">
        <f t="shared" si="5"/>
        <v>27000</v>
      </c>
      <c r="E122" s="1633">
        <f t="shared" si="5"/>
        <v>0</v>
      </c>
      <c r="F122" s="1633">
        <f t="shared" si="5"/>
        <v>49200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3453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3453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7413</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1718</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9131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1162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2078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26614</v>
      </c>
      <c r="G152" s="1574"/>
      <c r="H152" s="1575"/>
      <c r="I152" s="1575"/>
      <c r="J152" s="1575"/>
      <c r="K152" s="1575"/>
    </row>
    <row r="153" spans="1:11" ht="12.75" customHeight="1" x14ac:dyDescent="0.2">
      <c r="A153" s="427" t="s">
        <v>1048</v>
      </c>
      <c r="B153" s="478">
        <v>3510</v>
      </c>
      <c r="C153" s="1632"/>
      <c r="D153" s="1573"/>
      <c r="E153" s="1640"/>
      <c r="F153" s="1573">
        <v>48174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74788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106360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24346</v>
      </c>
      <c r="E167" s="1617"/>
      <c r="F167" s="1617"/>
      <c r="G167" s="1575"/>
      <c r="H167" s="1627"/>
      <c r="I167" s="1575"/>
      <c r="J167" s="1575"/>
      <c r="K167" s="1626"/>
    </row>
    <row r="168" spans="1:11" ht="14.25" thickTop="1" thickBot="1" x14ac:dyDescent="0.25">
      <c r="A168" s="1270" t="s">
        <v>70</v>
      </c>
      <c r="B168" s="484">
        <v>3999</v>
      </c>
      <c r="C168" s="1654">
        <v>29064</v>
      </c>
      <c r="D168" s="1655">
        <v>7247</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151248</v>
      </c>
      <c r="D169" s="1658">
        <f t="shared" si="6"/>
        <v>31593</v>
      </c>
      <c r="E169" s="1658">
        <f t="shared" si="6"/>
        <v>0</v>
      </c>
      <c r="F169" s="1658">
        <f t="shared" si="6"/>
        <v>74788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706276</v>
      </c>
      <c r="D170" s="1641">
        <f t="shared" si="7"/>
        <v>58593</v>
      </c>
      <c r="E170" s="1641">
        <f t="shared" si="7"/>
        <v>0</v>
      </c>
      <c r="F170" s="1641">
        <f t="shared" si="7"/>
        <v>123988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48802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25496</v>
      </c>
      <c r="D193" s="1575"/>
      <c r="E193" s="1640"/>
      <c r="F193" s="1575"/>
      <c r="G193" s="1664"/>
      <c r="H193" s="1575"/>
      <c r="I193" s="1575"/>
      <c r="J193" s="1575"/>
      <c r="K193" s="1575"/>
    </row>
    <row r="194" spans="1:11" ht="12.75" customHeight="1" x14ac:dyDescent="0.2">
      <c r="A194" s="427" t="s">
        <v>1434</v>
      </c>
      <c r="B194" s="429">
        <v>4225</v>
      </c>
      <c r="C194" s="1632">
        <v>14870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89168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182950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182950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23000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23000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7121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23661</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325900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325900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3034348</v>
      </c>
      <c r="D268" s="1641">
        <f t="shared" si="12"/>
        <v>354981</v>
      </c>
      <c r="E268" s="1641">
        <f t="shared" si="12"/>
        <v>8574</v>
      </c>
      <c r="F268" s="1641">
        <f t="shared" si="12"/>
        <v>239129</v>
      </c>
      <c r="G268" s="1641">
        <f t="shared" si="12"/>
        <v>119926</v>
      </c>
      <c r="H268" s="1641">
        <f t="shared" si="12"/>
        <v>118732</v>
      </c>
      <c r="I268" s="1641">
        <f t="shared" si="12"/>
        <v>28620</v>
      </c>
      <c r="J268" s="1641">
        <f t="shared" si="12"/>
        <v>134910</v>
      </c>
      <c r="K268" s="1629">
        <f t="shared" si="12"/>
        <v>28620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301" colorId="8" zoomScale="110" zoomScaleNormal="110" workbookViewId="0">
      <selection activeCell="H359" sqref="H35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871616</v>
      </c>
      <c r="D5" s="1573">
        <v>153520</v>
      </c>
      <c r="E5" s="1573">
        <v>38198</v>
      </c>
      <c r="F5" s="1573">
        <v>16539</v>
      </c>
      <c r="G5" s="1573"/>
      <c r="H5" s="1573">
        <v>9014</v>
      </c>
      <c r="I5" s="1574"/>
      <c r="J5" s="1574"/>
      <c r="K5" s="1672">
        <f>SUM(C5:J5)</f>
        <v>1088887</v>
      </c>
      <c r="L5" s="1573">
        <v>1226271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70038</v>
      </c>
      <c r="D7" s="1574">
        <v>14434</v>
      </c>
      <c r="E7" s="1574"/>
      <c r="F7" s="1574">
        <v>11184</v>
      </c>
      <c r="G7" s="1574"/>
      <c r="H7" s="1574">
        <v>5305</v>
      </c>
      <c r="I7" s="1574"/>
      <c r="J7" s="1574"/>
      <c r="K7" s="1672">
        <f t="shared" ref="K7:K32" si="0">SUM(C7:J7)</f>
        <v>100961</v>
      </c>
      <c r="L7" s="1573">
        <v>104100</v>
      </c>
    </row>
    <row r="8" spans="1:14" x14ac:dyDescent="0.2">
      <c r="A8" s="1274" t="s">
        <v>163</v>
      </c>
      <c r="B8" s="503">
        <v>1200</v>
      </c>
      <c r="C8" s="1573">
        <v>254795</v>
      </c>
      <c r="D8" s="1573">
        <v>38826</v>
      </c>
      <c r="E8" s="1573"/>
      <c r="F8" s="1573">
        <v>1687</v>
      </c>
      <c r="G8" s="1573"/>
      <c r="H8" s="1573">
        <v>451</v>
      </c>
      <c r="I8" s="1574"/>
      <c r="J8" s="1574"/>
      <c r="K8" s="1672">
        <f t="shared" si="0"/>
        <v>295759</v>
      </c>
      <c r="L8" s="1573">
        <v>300815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45337</v>
      </c>
      <c r="D10" s="1573">
        <v>9255</v>
      </c>
      <c r="E10" s="1573">
        <v>142931</v>
      </c>
      <c r="F10" s="1573">
        <v>12306</v>
      </c>
      <c r="G10" s="1573"/>
      <c r="H10" s="1573">
        <v>712</v>
      </c>
      <c r="I10" s="1574"/>
      <c r="J10" s="1574"/>
      <c r="K10" s="1672">
        <f t="shared" si="0"/>
        <v>210541</v>
      </c>
      <c r="L10" s="1573">
        <v>209345</v>
      </c>
    </row>
    <row r="11" spans="1:14" x14ac:dyDescent="0.2">
      <c r="A11" s="1274" t="s">
        <v>1120</v>
      </c>
      <c r="B11" s="503" t="s">
        <v>160</v>
      </c>
      <c r="C11" s="1574">
        <v>7834</v>
      </c>
      <c r="D11" s="1574">
        <v>36</v>
      </c>
      <c r="E11" s="1574"/>
      <c r="F11" s="1574"/>
      <c r="G11" s="1574"/>
      <c r="H11" s="1574"/>
      <c r="I11" s="1574"/>
      <c r="J11" s="1574"/>
      <c r="K11" s="1672">
        <f t="shared" si="0"/>
        <v>7870</v>
      </c>
      <c r="L11" s="1573">
        <v>9536</v>
      </c>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37364</v>
      </c>
      <c r="D14" s="1573">
        <v>3655</v>
      </c>
      <c r="E14" s="1573">
        <v>8983</v>
      </c>
      <c r="F14" s="1573">
        <v>2272</v>
      </c>
      <c r="G14" s="1573"/>
      <c r="H14" s="1573">
        <v>5583</v>
      </c>
      <c r="I14" s="1574"/>
      <c r="J14" s="1574"/>
      <c r="K14" s="1672">
        <f t="shared" si="0"/>
        <v>57857</v>
      </c>
      <c r="L14" s="1573">
        <v>61280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v>10680</v>
      </c>
    </row>
    <row r="17" spans="1:12" x14ac:dyDescent="0.2">
      <c r="A17" s="1274" t="s">
        <v>719</v>
      </c>
      <c r="B17" s="503" t="s">
        <v>161</v>
      </c>
      <c r="C17" s="1574">
        <v>6115</v>
      </c>
      <c r="D17" s="1574">
        <v>1411</v>
      </c>
      <c r="E17" s="1574"/>
      <c r="F17" s="1574"/>
      <c r="G17" s="1574"/>
      <c r="H17" s="1574"/>
      <c r="I17" s="1574"/>
      <c r="J17" s="1574"/>
      <c r="K17" s="1672">
        <f t="shared" si="0"/>
        <v>7526</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1293099</v>
      </c>
      <c r="D33" s="1674">
        <f t="shared" ref="D33:L33" si="1">SUM(D5:D32)</f>
        <v>221137</v>
      </c>
      <c r="E33" s="1674">
        <f t="shared" si="1"/>
        <v>190112</v>
      </c>
      <c r="F33" s="1674">
        <f t="shared" si="1"/>
        <v>43988</v>
      </c>
      <c r="G33" s="1674">
        <f t="shared" si="1"/>
        <v>0</v>
      </c>
      <c r="H33" s="1674">
        <f t="shared" si="1"/>
        <v>21065</v>
      </c>
      <c r="I33" s="1674">
        <f t="shared" si="1"/>
        <v>0</v>
      </c>
      <c r="J33" s="1674">
        <f t="shared" si="1"/>
        <v>0</v>
      </c>
      <c r="K33" s="1674">
        <f t="shared" si="1"/>
        <v>1769401</v>
      </c>
      <c r="L33" s="1674">
        <f t="shared" si="1"/>
        <v>1922027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35082</v>
      </c>
      <c r="D37" s="1573">
        <v>8695</v>
      </c>
      <c r="E37" s="1573"/>
      <c r="F37" s="1573"/>
      <c r="G37" s="1573"/>
      <c r="H37" s="1573"/>
      <c r="I37" s="1574"/>
      <c r="J37" s="1574"/>
      <c r="K37" s="1672">
        <f t="shared" si="2"/>
        <v>43777</v>
      </c>
      <c r="L37" s="1573">
        <v>48320</v>
      </c>
    </row>
    <row r="38" spans="1:14" x14ac:dyDescent="0.2">
      <c r="A38" s="1274" t="s">
        <v>196</v>
      </c>
      <c r="B38" s="503">
        <v>2130</v>
      </c>
      <c r="C38" s="1573">
        <v>19666</v>
      </c>
      <c r="D38" s="1573">
        <v>54</v>
      </c>
      <c r="E38" s="1573"/>
      <c r="F38" s="1573">
        <v>117</v>
      </c>
      <c r="G38" s="1573"/>
      <c r="H38" s="1573"/>
      <c r="I38" s="1574"/>
      <c r="J38" s="1574"/>
      <c r="K38" s="1672">
        <f t="shared" si="2"/>
        <v>19837</v>
      </c>
      <c r="L38" s="1573">
        <v>19820</v>
      </c>
    </row>
    <row r="39" spans="1:14" x14ac:dyDescent="0.2">
      <c r="A39" s="1274" t="s">
        <v>197</v>
      </c>
      <c r="B39" s="503">
        <v>2140</v>
      </c>
      <c r="C39" s="1573">
        <v>50612</v>
      </c>
      <c r="D39" s="1573">
        <v>11224</v>
      </c>
      <c r="E39" s="1573"/>
      <c r="F39" s="1573">
        <v>2869</v>
      </c>
      <c r="G39" s="1573"/>
      <c r="H39" s="1573"/>
      <c r="I39" s="1574"/>
      <c r="J39" s="1574"/>
      <c r="K39" s="1672">
        <f t="shared" si="2"/>
        <v>64705</v>
      </c>
      <c r="L39" s="1573">
        <v>64410</v>
      </c>
    </row>
    <row r="40" spans="1:14" x14ac:dyDescent="0.2">
      <c r="A40" s="1274" t="s">
        <v>198</v>
      </c>
      <c r="B40" s="503">
        <v>2150</v>
      </c>
      <c r="C40" s="1573">
        <v>37917</v>
      </c>
      <c r="D40" s="1573">
        <v>9257</v>
      </c>
      <c r="E40" s="1573">
        <v>10764</v>
      </c>
      <c r="F40" s="1573">
        <v>285</v>
      </c>
      <c r="G40" s="1573"/>
      <c r="H40" s="1573">
        <v>1225</v>
      </c>
      <c r="I40" s="1574"/>
      <c r="J40" s="1574"/>
      <c r="K40" s="1672">
        <f t="shared" si="2"/>
        <v>59448</v>
      </c>
      <c r="L40" s="1573">
        <v>70750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143277</v>
      </c>
      <c r="D42" s="1674">
        <f t="shared" ref="D42:L42" si="3">SUM(D36:D41)</f>
        <v>29230</v>
      </c>
      <c r="E42" s="1674">
        <f t="shared" si="3"/>
        <v>10764</v>
      </c>
      <c r="F42" s="1674">
        <f t="shared" si="3"/>
        <v>3271</v>
      </c>
      <c r="G42" s="1674">
        <f t="shared" si="3"/>
        <v>0</v>
      </c>
      <c r="H42" s="1674">
        <f t="shared" si="3"/>
        <v>1225</v>
      </c>
      <c r="I42" s="1674">
        <f t="shared" si="3"/>
        <v>0</v>
      </c>
      <c r="J42" s="1674">
        <f t="shared" si="3"/>
        <v>0</v>
      </c>
      <c r="K42" s="1674">
        <f t="shared" si="3"/>
        <v>187767</v>
      </c>
      <c r="L42" s="1674">
        <f t="shared" si="3"/>
        <v>203300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48046</v>
      </c>
      <c r="D44" s="1586">
        <v>4876</v>
      </c>
      <c r="E44" s="1586"/>
      <c r="F44" s="1586">
        <v>1197</v>
      </c>
      <c r="G44" s="1586"/>
      <c r="H44" s="1586">
        <v>2028</v>
      </c>
      <c r="I44" s="1574"/>
      <c r="J44" s="1574"/>
      <c r="K44" s="1678">
        <f>SUM(C44:J44)</f>
        <v>56147</v>
      </c>
      <c r="L44" s="1586">
        <v>59300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48046</v>
      </c>
      <c r="D47" s="1674">
        <f t="shared" ref="D47:K47" si="4">SUM(D44:D46)</f>
        <v>4876</v>
      </c>
      <c r="E47" s="1674">
        <f t="shared" si="4"/>
        <v>0</v>
      </c>
      <c r="F47" s="1674">
        <f t="shared" si="4"/>
        <v>1197</v>
      </c>
      <c r="G47" s="1674">
        <f t="shared" si="4"/>
        <v>0</v>
      </c>
      <c r="H47" s="1674">
        <f t="shared" si="4"/>
        <v>2028</v>
      </c>
      <c r="I47" s="1674">
        <f t="shared" si="4"/>
        <v>0</v>
      </c>
      <c r="J47" s="1674">
        <f t="shared" si="4"/>
        <v>0</v>
      </c>
      <c r="K47" s="1674">
        <f t="shared" si="4"/>
        <v>56147</v>
      </c>
      <c r="L47" s="1674">
        <f>SUM(L44:L46)</f>
        <v>59300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2552</v>
      </c>
      <c r="D49" s="1586"/>
      <c r="E49" s="1586">
        <v>36278</v>
      </c>
      <c r="F49" s="1586">
        <v>519</v>
      </c>
      <c r="G49" s="1586"/>
      <c r="H49" s="1586">
        <v>3040</v>
      </c>
      <c r="I49" s="1574"/>
      <c r="J49" s="1574"/>
      <c r="K49" s="1678">
        <f>SUM(C49:J49)</f>
        <v>42389</v>
      </c>
      <c r="L49" s="1586">
        <v>51565</v>
      </c>
    </row>
    <row r="50" spans="1:14" x14ac:dyDescent="0.2">
      <c r="A50" s="1274" t="s">
        <v>813</v>
      </c>
      <c r="B50" s="503">
        <v>2320</v>
      </c>
      <c r="C50" s="1573">
        <v>118291</v>
      </c>
      <c r="D50" s="1573">
        <v>519</v>
      </c>
      <c r="E50" s="1573">
        <v>5847</v>
      </c>
      <c r="F50" s="1573">
        <v>5037</v>
      </c>
      <c r="G50" s="1573"/>
      <c r="H50" s="1573">
        <v>164</v>
      </c>
      <c r="I50" s="1574"/>
      <c r="J50" s="1574"/>
      <c r="K50" s="1678">
        <f>SUM(C50:J50)</f>
        <v>129858</v>
      </c>
      <c r="L50" s="1573">
        <v>112699</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120843</v>
      </c>
      <c r="D53" s="1674">
        <f t="shared" ref="D53:L53" si="5">SUM(D49:D52)</f>
        <v>519</v>
      </c>
      <c r="E53" s="1674">
        <f t="shared" si="5"/>
        <v>42125</v>
      </c>
      <c r="F53" s="1674">
        <f t="shared" si="5"/>
        <v>5556</v>
      </c>
      <c r="G53" s="1674">
        <f t="shared" si="5"/>
        <v>0</v>
      </c>
      <c r="H53" s="1674">
        <f t="shared" si="5"/>
        <v>3204</v>
      </c>
      <c r="I53" s="1674">
        <f t="shared" si="5"/>
        <v>0</v>
      </c>
      <c r="J53" s="1674">
        <f t="shared" si="5"/>
        <v>0</v>
      </c>
      <c r="K53" s="1674">
        <f t="shared" si="5"/>
        <v>172247</v>
      </c>
      <c r="L53" s="1674">
        <f t="shared" si="5"/>
        <v>164264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146643</v>
      </c>
      <c r="D55" s="1586">
        <v>19496</v>
      </c>
      <c r="E55" s="1586">
        <v>12266</v>
      </c>
      <c r="F55" s="1586">
        <v>1878</v>
      </c>
      <c r="G55" s="1586"/>
      <c r="H55" s="1586">
        <v>2314</v>
      </c>
      <c r="I55" s="1574"/>
      <c r="J55" s="1574"/>
      <c r="K55" s="1678">
        <f>SUM(C55:J55)</f>
        <v>182597</v>
      </c>
      <c r="L55" s="1586">
        <v>191417</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146643</v>
      </c>
      <c r="D57" s="1679">
        <f t="shared" ref="D57:K57" si="6">SUM(D55:D56)</f>
        <v>19496</v>
      </c>
      <c r="E57" s="1679">
        <f t="shared" si="6"/>
        <v>12266</v>
      </c>
      <c r="F57" s="1679">
        <f t="shared" si="6"/>
        <v>1878</v>
      </c>
      <c r="G57" s="1679">
        <f t="shared" si="6"/>
        <v>0</v>
      </c>
      <c r="H57" s="1679">
        <f t="shared" si="6"/>
        <v>2314</v>
      </c>
      <c r="I57" s="1679">
        <f t="shared" si="6"/>
        <v>0</v>
      </c>
      <c r="J57" s="1679">
        <f t="shared" si="6"/>
        <v>0</v>
      </c>
      <c r="K57" s="1679">
        <f t="shared" si="6"/>
        <v>182597</v>
      </c>
      <c r="L57" s="1674">
        <f>SUM(L55:L56)</f>
        <v>191417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v>6245</v>
      </c>
      <c r="F61" s="1573"/>
      <c r="G61" s="1573"/>
      <c r="H61" s="1573"/>
      <c r="I61" s="1574"/>
      <c r="J61" s="1574"/>
      <c r="K61" s="1678">
        <f t="shared" si="7"/>
        <v>6245</v>
      </c>
      <c r="L61" s="1573">
        <v>5467</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51620</v>
      </c>
      <c r="D63" s="1573">
        <v>6978</v>
      </c>
      <c r="E63" s="1573"/>
      <c r="F63" s="1573">
        <v>89416</v>
      </c>
      <c r="G63" s="1573">
        <v>4979</v>
      </c>
      <c r="H63" s="1573">
        <v>610</v>
      </c>
      <c r="I63" s="1574"/>
      <c r="J63" s="1574"/>
      <c r="K63" s="1678">
        <f t="shared" si="7"/>
        <v>153603</v>
      </c>
      <c r="L63" s="1573">
        <v>175637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51620</v>
      </c>
      <c r="D65" s="1674">
        <f t="shared" ref="D65:L65" si="8">SUM(D59:D64)</f>
        <v>6978</v>
      </c>
      <c r="E65" s="1674">
        <f t="shared" si="8"/>
        <v>6245</v>
      </c>
      <c r="F65" s="1674">
        <f t="shared" si="8"/>
        <v>89416</v>
      </c>
      <c r="G65" s="1674">
        <f t="shared" si="8"/>
        <v>4979</v>
      </c>
      <c r="H65" s="1674">
        <f t="shared" si="8"/>
        <v>610</v>
      </c>
      <c r="I65" s="1674">
        <f t="shared" si="8"/>
        <v>0</v>
      </c>
      <c r="J65" s="1674">
        <f t="shared" si="8"/>
        <v>0</v>
      </c>
      <c r="K65" s="1674">
        <f t="shared" si="8"/>
        <v>159848</v>
      </c>
      <c r="L65" s="1674">
        <f t="shared" si="8"/>
        <v>181104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7500</v>
      </c>
      <c r="D69" s="1573">
        <v>1367</v>
      </c>
      <c r="E69" s="1573">
        <v>51877</v>
      </c>
      <c r="F69" s="1573">
        <v>2304</v>
      </c>
      <c r="G69" s="1573">
        <v>25764</v>
      </c>
      <c r="H69" s="1573">
        <v>20171</v>
      </c>
      <c r="I69" s="1574">
        <v>28296</v>
      </c>
      <c r="J69" s="1574"/>
      <c r="K69" s="1678">
        <f>SUM(C69:J69)</f>
        <v>137279</v>
      </c>
      <c r="L69" s="1573">
        <v>172216</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7500</v>
      </c>
      <c r="D72" s="1674">
        <f t="shared" ref="D72:K72" si="9">SUM(D67:D71)</f>
        <v>1367</v>
      </c>
      <c r="E72" s="1674">
        <f t="shared" si="9"/>
        <v>51877</v>
      </c>
      <c r="F72" s="1674">
        <f t="shared" si="9"/>
        <v>2304</v>
      </c>
      <c r="G72" s="1674">
        <f t="shared" si="9"/>
        <v>25764</v>
      </c>
      <c r="H72" s="1674">
        <f t="shared" si="9"/>
        <v>20171</v>
      </c>
      <c r="I72" s="1674">
        <f t="shared" si="9"/>
        <v>28296</v>
      </c>
      <c r="J72" s="1674">
        <f t="shared" si="9"/>
        <v>0</v>
      </c>
      <c r="K72" s="1674">
        <f t="shared" si="9"/>
        <v>137279</v>
      </c>
      <c r="L72" s="1674">
        <f>SUM(L67:L71)</f>
        <v>172216</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517929</v>
      </c>
      <c r="D74" s="1681">
        <f t="shared" ref="D74:K74" si="10">SUM(D42,D47,D53,D57,D65,D72,D73)</f>
        <v>62466</v>
      </c>
      <c r="E74" s="1681">
        <f t="shared" si="10"/>
        <v>123277</v>
      </c>
      <c r="F74" s="1681">
        <f t="shared" si="10"/>
        <v>103622</v>
      </c>
      <c r="G74" s="1681">
        <f t="shared" si="10"/>
        <v>30743</v>
      </c>
      <c r="H74" s="1681">
        <f t="shared" si="10"/>
        <v>29552</v>
      </c>
      <c r="I74" s="1681">
        <f t="shared" si="10"/>
        <v>28296</v>
      </c>
      <c r="J74" s="1681">
        <f t="shared" si="10"/>
        <v>0</v>
      </c>
      <c r="K74" s="1681">
        <f t="shared" si="10"/>
        <v>895885</v>
      </c>
      <c r="L74" s="1681">
        <f>SUM(L42,L47,L53,L57,L65,L72,L73)</f>
        <v>971601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49749</v>
      </c>
      <c r="I86" s="1582"/>
      <c r="J86" s="1582"/>
      <c r="K86" s="1681">
        <f t="shared" ref="K86:K98" si="12">H86</f>
        <v>49749</v>
      </c>
      <c r="L86" s="1626">
        <v>50000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49749</v>
      </c>
      <c r="I92" s="1582"/>
      <c r="J92" s="1582"/>
      <c r="K92" s="1681">
        <f t="shared" si="12"/>
        <v>49749</v>
      </c>
      <c r="L92" s="1674">
        <f>SUM(L85:L91)</f>
        <v>50000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49749</v>
      </c>
      <c r="I102" s="1582"/>
      <c r="J102" s="1582"/>
      <c r="K102" s="1681">
        <f>SUM(K84,K92,K100,K101)</f>
        <v>49749</v>
      </c>
      <c r="L102" s="1681">
        <f>SUM(L84,L92,L100,L101)</f>
        <v>50000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1811028</v>
      </c>
      <c r="D114" s="1674">
        <f t="shared" ref="D114:K114" si="13">SUM(D33,D74,D75,D102,D112,D113)</f>
        <v>283603</v>
      </c>
      <c r="E114" s="1674">
        <f t="shared" si="13"/>
        <v>313389</v>
      </c>
      <c r="F114" s="1674">
        <f t="shared" si="13"/>
        <v>147610</v>
      </c>
      <c r="G114" s="1674">
        <f t="shared" si="13"/>
        <v>30743</v>
      </c>
      <c r="H114" s="1674">
        <f>SUM(H33,H74,H75,H102,H112,H113)</f>
        <v>100366</v>
      </c>
      <c r="I114" s="1674">
        <f t="shared" si="13"/>
        <v>28296</v>
      </c>
      <c r="J114" s="1674">
        <f t="shared" si="13"/>
        <v>0</v>
      </c>
      <c r="K114" s="1674">
        <f t="shared" si="13"/>
        <v>2715035</v>
      </c>
      <c r="L114" s="1674">
        <f>SUM(L33,L74,L75,L102,L112,L113)</f>
        <v>2943628</v>
      </c>
    </row>
    <row r="115" spans="1:14" ht="13.5" thickTop="1" x14ac:dyDescent="0.2">
      <c r="A115" s="2261" t="s">
        <v>989</v>
      </c>
      <c r="B115" s="2262"/>
      <c r="C115" s="1675"/>
      <c r="D115" s="1675"/>
      <c r="E115" s="1675"/>
      <c r="F115" s="1675"/>
      <c r="G115" s="1675"/>
      <c r="H115" s="1675"/>
      <c r="I115" s="1675"/>
      <c r="J115" s="1675"/>
      <c r="K115" s="1689">
        <f>'Revenues 9-14'!C268-'Expenditures 15-22'!K114</f>
        <v>319313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80841</v>
      </c>
      <c r="D124" s="1573">
        <v>9891</v>
      </c>
      <c r="E124" s="1573">
        <v>80663</v>
      </c>
      <c r="F124" s="1573">
        <v>91208</v>
      </c>
      <c r="G124" s="1573">
        <v>14294</v>
      </c>
      <c r="H124" s="1573"/>
      <c r="I124" s="1574">
        <v>1951</v>
      </c>
      <c r="J124" s="1574"/>
      <c r="K124" s="1674">
        <f>SUM(C124:J124)</f>
        <v>278848</v>
      </c>
      <c r="L124" s="1573">
        <v>316835</v>
      </c>
    </row>
    <row r="125" spans="1:14" ht="14.25" thickTop="1" thickBot="1" x14ac:dyDescent="0.25">
      <c r="A125" s="1274" t="s">
        <v>947</v>
      </c>
      <c r="B125" s="503">
        <v>2550</v>
      </c>
      <c r="C125" s="1573"/>
      <c r="D125" s="1573"/>
      <c r="E125" s="1573"/>
      <c r="F125" s="1573">
        <v>26</v>
      </c>
      <c r="G125" s="1573"/>
      <c r="H125" s="1573"/>
      <c r="I125" s="1574"/>
      <c r="J125" s="1574"/>
      <c r="K125" s="1674">
        <f>SUM(C125:J125)</f>
        <v>26</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80841</v>
      </c>
      <c r="D127" s="1674">
        <f t="shared" ref="D127:L127" si="14">SUM(D122:D126)</f>
        <v>9891</v>
      </c>
      <c r="E127" s="1674">
        <f t="shared" si="14"/>
        <v>80663</v>
      </c>
      <c r="F127" s="1674">
        <f t="shared" si="14"/>
        <v>91234</v>
      </c>
      <c r="G127" s="1674">
        <f t="shared" si="14"/>
        <v>14294</v>
      </c>
      <c r="H127" s="1674">
        <f t="shared" si="14"/>
        <v>0</v>
      </c>
      <c r="I127" s="1674">
        <f t="shared" si="14"/>
        <v>1951</v>
      </c>
      <c r="J127" s="1674">
        <f t="shared" si="14"/>
        <v>0</v>
      </c>
      <c r="K127" s="1674">
        <f t="shared" si="14"/>
        <v>278874</v>
      </c>
      <c r="L127" s="1674">
        <f t="shared" si="14"/>
        <v>316835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80841</v>
      </c>
      <c r="D129" s="1681">
        <f t="shared" ref="D129:L129" si="15">SUM(D120,D127,D128)</f>
        <v>9891</v>
      </c>
      <c r="E129" s="1681">
        <f t="shared" si="15"/>
        <v>80663</v>
      </c>
      <c r="F129" s="1681">
        <f t="shared" si="15"/>
        <v>91234</v>
      </c>
      <c r="G129" s="1681">
        <f t="shared" si="15"/>
        <v>14294</v>
      </c>
      <c r="H129" s="1681">
        <f t="shared" si="15"/>
        <v>0</v>
      </c>
      <c r="I129" s="1681">
        <f t="shared" si="15"/>
        <v>1951</v>
      </c>
      <c r="J129" s="1681">
        <f t="shared" si="15"/>
        <v>0</v>
      </c>
      <c r="K129" s="1681">
        <f t="shared" si="15"/>
        <v>278874</v>
      </c>
      <c r="L129" s="1681">
        <f t="shared" si="15"/>
        <v>316835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80841</v>
      </c>
      <c r="D151" s="1674">
        <f t="shared" ref="D151:K151" si="16">SUM(D129,D130,D139,D149,D150)</f>
        <v>9891</v>
      </c>
      <c r="E151" s="1674">
        <f t="shared" si="16"/>
        <v>80663</v>
      </c>
      <c r="F151" s="1674">
        <f t="shared" si="16"/>
        <v>91234</v>
      </c>
      <c r="G151" s="1674">
        <f t="shared" si="16"/>
        <v>14294</v>
      </c>
      <c r="H151" s="1674">
        <f t="shared" si="16"/>
        <v>0</v>
      </c>
      <c r="I151" s="1674">
        <f t="shared" si="16"/>
        <v>1951</v>
      </c>
      <c r="J151" s="1674">
        <f t="shared" si="16"/>
        <v>0</v>
      </c>
      <c r="K151" s="1674">
        <f t="shared" si="16"/>
        <v>278874</v>
      </c>
      <c r="L151" s="1674">
        <f>SUM(L129,L130,L139,L149,L150)</f>
        <v>316835</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76107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8574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67128</v>
      </c>
      <c r="D182" s="1573">
        <v>4459</v>
      </c>
      <c r="E182" s="1573">
        <v>47372</v>
      </c>
      <c r="F182" s="1573">
        <v>23196</v>
      </c>
      <c r="G182" s="1573">
        <v>40000</v>
      </c>
      <c r="H182" s="1573">
        <v>458</v>
      </c>
      <c r="I182" s="1574"/>
      <c r="J182" s="1574"/>
      <c r="K182" s="1672">
        <f>SUM(C182:J182)</f>
        <v>182613</v>
      </c>
      <c r="L182" s="1573">
        <v>228549</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67128</v>
      </c>
      <c r="D184" s="1681">
        <f t="shared" ref="D184:J184" si="17">SUM(D180,D182,D183)</f>
        <v>4459</v>
      </c>
      <c r="E184" s="1681">
        <f t="shared" si="17"/>
        <v>47372</v>
      </c>
      <c r="F184" s="1681">
        <f t="shared" si="17"/>
        <v>23196</v>
      </c>
      <c r="G184" s="1681">
        <f t="shared" si="17"/>
        <v>40000</v>
      </c>
      <c r="H184" s="1681">
        <f t="shared" si="17"/>
        <v>458</v>
      </c>
      <c r="I184" s="1681">
        <f t="shared" si="17"/>
        <v>0</v>
      </c>
      <c r="J184" s="1681">
        <f t="shared" si="17"/>
        <v>0</v>
      </c>
      <c r="K184" s="1681">
        <f>SUM(K180,K182,K183)</f>
        <v>182613</v>
      </c>
      <c r="L184" s="1681">
        <f>SUM(L180, L182:L183)</f>
        <v>228549</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67128</v>
      </c>
      <c r="D210" s="1674">
        <f>SUM(D184,D185)</f>
        <v>4459</v>
      </c>
      <c r="E210" s="1674">
        <f>SUM(E184,E185,E196)</f>
        <v>47372</v>
      </c>
      <c r="F210" s="1674">
        <f>SUM(F184,F185)</f>
        <v>23196</v>
      </c>
      <c r="G210" s="1674">
        <f>SUM(G184,G185)</f>
        <v>40000</v>
      </c>
      <c r="H210" s="1674">
        <f>SUM(H184,H185,H196,H208,H209)</f>
        <v>458</v>
      </c>
      <c r="I210" s="1674">
        <f>SUM(I184,I185)</f>
        <v>0</v>
      </c>
      <c r="J210" s="1674">
        <f>SUM(J184,J185)</f>
        <v>0</v>
      </c>
      <c r="K210" s="1672">
        <f>SUM(K184,K185,K196,K208,K209)</f>
        <v>182613</v>
      </c>
      <c r="L210" s="1674">
        <f>SUM(L184,L185,L196,L208,L209)</f>
        <v>228549</v>
      </c>
    </row>
    <row r="211" spans="1:14" ht="13.5" thickTop="1" x14ac:dyDescent="0.2">
      <c r="A211" s="2261" t="s">
        <v>989</v>
      </c>
      <c r="B211" s="2262"/>
      <c r="C211" s="1675"/>
      <c r="D211" s="1675"/>
      <c r="E211" s="1675"/>
      <c r="F211" s="1675"/>
      <c r="G211" s="1675"/>
      <c r="H211" s="1675"/>
      <c r="I211" s="1673"/>
      <c r="J211" s="1673"/>
      <c r="K211" s="1689">
        <f>'Revenues 9-14'!F268-'Expenditures 15-22'!K210</f>
        <v>56516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15988</v>
      </c>
      <c r="E215" s="1673"/>
      <c r="F215" s="1673"/>
      <c r="G215" s="1673"/>
      <c r="H215" s="1673"/>
      <c r="I215" s="1673"/>
      <c r="J215" s="1673"/>
      <c r="K215" s="1672">
        <f>D215</f>
        <v>15988</v>
      </c>
      <c r="L215" s="1573">
        <v>21797</v>
      </c>
    </row>
    <row r="216" spans="1:14" x14ac:dyDescent="0.2">
      <c r="A216" s="1274" t="s">
        <v>162</v>
      </c>
      <c r="B216" s="503" t="s">
        <v>961</v>
      </c>
      <c r="C216" s="1673"/>
      <c r="D216" s="1574">
        <v>4247</v>
      </c>
      <c r="E216" s="1673"/>
      <c r="F216" s="1673"/>
      <c r="G216" s="1673"/>
      <c r="H216" s="1673"/>
      <c r="I216" s="1673"/>
      <c r="J216" s="1673"/>
      <c r="K216" s="1672">
        <f t="shared" ref="K216:K228" si="19">D216</f>
        <v>4247</v>
      </c>
      <c r="L216" s="1573">
        <v>4811</v>
      </c>
    </row>
    <row r="217" spans="1:14" x14ac:dyDescent="0.2">
      <c r="A217" s="1274" t="s">
        <v>163</v>
      </c>
      <c r="B217" s="503">
        <v>1200</v>
      </c>
      <c r="C217" s="1673"/>
      <c r="D217" s="1573">
        <v>13750</v>
      </c>
      <c r="E217" s="1673"/>
      <c r="F217" s="1673"/>
      <c r="G217" s="1673"/>
      <c r="H217" s="1673"/>
      <c r="I217" s="1673"/>
      <c r="J217" s="1673"/>
      <c r="K217" s="1672">
        <f t="shared" si="19"/>
        <v>13750</v>
      </c>
      <c r="L217" s="1573">
        <v>14109</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1630</v>
      </c>
      <c r="E219" s="1673"/>
      <c r="F219" s="1673"/>
      <c r="G219" s="1673"/>
      <c r="H219" s="1673"/>
      <c r="I219" s="1673"/>
      <c r="J219" s="1673"/>
      <c r="K219" s="1672">
        <f t="shared" si="19"/>
        <v>1630</v>
      </c>
      <c r="L219" s="1573">
        <v>1883</v>
      </c>
    </row>
    <row r="220" spans="1:14" x14ac:dyDescent="0.2">
      <c r="A220" s="1274" t="s">
        <v>278</v>
      </c>
      <c r="B220" s="503" t="s">
        <v>160</v>
      </c>
      <c r="C220" s="1673"/>
      <c r="D220" s="1574">
        <v>1044</v>
      </c>
      <c r="E220" s="1673"/>
      <c r="F220" s="1673"/>
      <c r="G220" s="1673"/>
      <c r="H220" s="1673"/>
      <c r="I220" s="1673"/>
      <c r="J220" s="1673"/>
      <c r="K220" s="1672">
        <f t="shared" si="19"/>
        <v>1044</v>
      </c>
      <c r="L220" s="1573">
        <v>1700</v>
      </c>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1565</v>
      </c>
      <c r="E223" s="1673"/>
      <c r="F223" s="1673"/>
      <c r="G223" s="1673"/>
      <c r="H223" s="1673"/>
      <c r="I223" s="1673"/>
      <c r="J223" s="1673"/>
      <c r="K223" s="1672">
        <f t="shared" si="19"/>
        <v>1565</v>
      </c>
      <c r="L223" s="1573">
        <v>1963</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99</v>
      </c>
      <c r="E226" s="1673"/>
      <c r="F226" s="1673"/>
      <c r="G226" s="1673"/>
      <c r="H226" s="1673"/>
      <c r="I226" s="1673"/>
      <c r="J226" s="1673"/>
      <c r="K226" s="1672">
        <f t="shared" si="19"/>
        <v>99</v>
      </c>
      <c r="L226" s="1573">
        <v>200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38323</v>
      </c>
      <c r="E229" s="1673"/>
      <c r="F229" s="1673"/>
      <c r="G229" s="1673"/>
      <c r="H229" s="1673"/>
      <c r="I229" s="1673"/>
      <c r="J229" s="1673"/>
      <c r="K229" s="1674">
        <f>SUM(K215:K228)</f>
        <v>38323</v>
      </c>
      <c r="L229" s="1674">
        <f>SUM(L215:L228)</f>
        <v>46463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509</v>
      </c>
      <c r="E233" s="1673"/>
      <c r="F233" s="1673"/>
      <c r="G233" s="1673"/>
      <c r="H233" s="1673"/>
      <c r="I233" s="1673"/>
      <c r="J233" s="1673"/>
      <c r="K233" s="1672">
        <f t="shared" si="20"/>
        <v>509</v>
      </c>
      <c r="L233" s="1573">
        <v>800</v>
      </c>
    </row>
    <row r="234" spans="1:12" x14ac:dyDescent="0.2">
      <c r="A234" s="1274" t="s">
        <v>196</v>
      </c>
      <c r="B234" s="503">
        <v>2130</v>
      </c>
      <c r="C234" s="1673"/>
      <c r="D234" s="1573">
        <v>2618</v>
      </c>
      <c r="E234" s="1673"/>
      <c r="F234" s="1673"/>
      <c r="G234" s="1673"/>
      <c r="H234" s="1673"/>
      <c r="I234" s="1673"/>
      <c r="J234" s="1673"/>
      <c r="K234" s="1672">
        <f t="shared" si="20"/>
        <v>2618</v>
      </c>
      <c r="L234" s="1573">
        <v>3250</v>
      </c>
    </row>
    <row r="235" spans="1:12" x14ac:dyDescent="0.2">
      <c r="A235" s="1274" t="s">
        <v>197</v>
      </c>
      <c r="B235" s="503">
        <v>2140</v>
      </c>
      <c r="C235" s="1673"/>
      <c r="D235" s="1573">
        <v>734</v>
      </c>
      <c r="E235" s="1673"/>
      <c r="F235" s="1673"/>
      <c r="G235" s="1673"/>
      <c r="H235" s="1673"/>
      <c r="I235" s="1673"/>
      <c r="J235" s="1673"/>
      <c r="K235" s="1672">
        <f t="shared" si="20"/>
        <v>734</v>
      </c>
      <c r="L235" s="1573">
        <v>850</v>
      </c>
    </row>
    <row r="236" spans="1:12" x14ac:dyDescent="0.2">
      <c r="A236" s="1274" t="s">
        <v>198</v>
      </c>
      <c r="B236" s="503">
        <v>2150</v>
      </c>
      <c r="C236" s="1673"/>
      <c r="D236" s="1573">
        <v>550</v>
      </c>
      <c r="E236" s="1673"/>
      <c r="F236" s="1673"/>
      <c r="G236" s="1673"/>
      <c r="H236" s="1673"/>
      <c r="I236" s="1673"/>
      <c r="J236" s="1673"/>
      <c r="K236" s="1672">
        <f t="shared" si="20"/>
        <v>550</v>
      </c>
      <c r="L236" s="1573">
        <v>467</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4411</v>
      </c>
      <c r="E238" s="1673"/>
      <c r="F238" s="1673"/>
      <c r="G238" s="1673"/>
      <c r="H238" s="1673"/>
      <c r="I238" s="1673"/>
      <c r="J238" s="1673"/>
      <c r="K238" s="1674">
        <f>SUM(K232:K237)</f>
        <v>4411</v>
      </c>
      <c r="L238" s="1674">
        <f>SUM(L232:L237)</f>
        <v>5367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2051</v>
      </c>
      <c r="E241" s="1673"/>
      <c r="F241" s="1673"/>
      <c r="G241" s="1673"/>
      <c r="H241" s="1673"/>
      <c r="I241" s="1673"/>
      <c r="J241" s="1673"/>
      <c r="K241" s="1678">
        <f>D241</f>
        <v>2051</v>
      </c>
      <c r="L241" s="1573">
        <v>2400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2051</v>
      </c>
      <c r="E243" s="1673"/>
      <c r="F243" s="1673"/>
      <c r="G243" s="1673"/>
      <c r="H243" s="1673"/>
      <c r="I243" s="1673"/>
      <c r="J243" s="1673"/>
      <c r="K243" s="1674">
        <f>SUM(K240:K242)</f>
        <v>2051</v>
      </c>
      <c r="L243" s="1674">
        <f>SUM(L240:L242)</f>
        <v>2400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195</v>
      </c>
      <c r="E245" s="1673"/>
      <c r="F245" s="1673"/>
      <c r="G245" s="1673"/>
      <c r="H245" s="1673"/>
      <c r="I245" s="1673"/>
      <c r="J245" s="1673"/>
      <c r="K245" s="1678">
        <f>D245</f>
        <v>195</v>
      </c>
      <c r="L245" s="1586">
        <v>250</v>
      </c>
    </row>
    <row r="246" spans="1:12" x14ac:dyDescent="0.2">
      <c r="A246" s="1274" t="s">
        <v>813</v>
      </c>
      <c r="B246" s="503">
        <v>2320</v>
      </c>
      <c r="C246" s="1673"/>
      <c r="D246" s="1573">
        <v>9298</v>
      </c>
      <c r="E246" s="1673"/>
      <c r="F246" s="1673"/>
      <c r="G246" s="1673"/>
      <c r="H246" s="1673"/>
      <c r="I246" s="1673"/>
      <c r="J246" s="1673"/>
      <c r="K246" s="1678">
        <f t="shared" ref="K246:K256" si="21">D246</f>
        <v>9298</v>
      </c>
      <c r="L246" s="1573">
        <v>9478</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6757</v>
      </c>
      <c r="E252" s="1673"/>
      <c r="F252" s="1673"/>
      <c r="G252" s="1673"/>
      <c r="H252" s="1673"/>
      <c r="I252" s="1673"/>
      <c r="J252" s="1673"/>
      <c r="K252" s="1678">
        <f t="shared" si="21"/>
        <v>6757</v>
      </c>
      <c r="L252" s="1573">
        <v>9000</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16250</v>
      </c>
      <c r="E257" s="1673"/>
      <c r="F257" s="1673"/>
      <c r="G257" s="1673"/>
      <c r="H257" s="1673"/>
      <c r="I257" s="1673"/>
      <c r="J257" s="1673"/>
      <c r="K257" s="1674">
        <f>SUM(K245:K256)</f>
        <v>16250</v>
      </c>
      <c r="L257" s="1674">
        <f>SUM(L245:L256)</f>
        <v>18728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8866</v>
      </c>
      <c r="E259" s="1673"/>
      <c r="F259" s="1673"/>
      <c r="G259" s="1673"/>
      <c r="H259" s="1673"/>
      <c r="I259" s="1673"/>
      <c r="J259" s="1673"/>
      <c r="K259" s="1678">
        <f>D259</f>
        <v>8866</v>
      </c>
      <c r="L259" s="1586">
        <v>10022</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8866</v>
      </c>
      <c r="E261" s="1673"/>
      <c r="F261" s="1673"/>
      <c r="G261" s="1673"/>
      <c r="H261" s="1673"/>
      <c r="I261" s="1673"/>
      <c r="J261" s="1673"/>
      <c r="K261" s="1674">
        <f>SUM(K259:K260)</f>
        <v>8866</v>
      </c>
      <c r="L261" s="1674">
        <f>SUM(L259:L260)</f>
        <v>10022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10598</v>
      </c>
      <c r="E266" s="1673"/>
      <c r="F266" s="1673"/>
      <c r="G266" s="1673"/>
      <c r="H266" s="1673"/>
      <c r="I266" s="1673"/>
      <c r="J266" s="1673"/>
      <c r="K266" s="1678">
        <f t="shared" si="22"/>
        <v>10598</v>
      </c>
      <c r="L266" s="1573">
        <v>15300</v>
      </c>
    </row>
    <row r="267" spans="1:14" x14ac:dyDescent="0.2">
      <c r="A267" s="1274" t="s">
        <v>947</v>
      </c>
      <c r="B267" s="503">
        <v>2550</v>
      </c>
      <c r="C267" s="1673"/>
      <c r="D267" s="1573">
        <v>7702</v>
      </c>
      <c r="E267" s="1673"/>
      <c r="F267" s="1673"/>
      <c r="G267" s="1673"/>
      <c r="H267" s="1673"/>
      <c r="I267" s="1673"/>
      <c r="J267" s="1673"/>
      <c r="K267" s="1678">
        <f t="shared" si="22"/>
        <v>7702</v>
      </c>
      <c r="L267" s="1573">
        <v>11000</v>
      </c>
    </row>
    <row r="268" spans="1:14" x14ac:dyDescent="0.2">
      <c r="A268" s="1274" t="s">
        <v>100</v>
      </c>
      <c r="B268" s="503">
        <v>2560</v>
      </c>
      <c r="C268" s="1673"/>
      <c r="D268" s="1573">
        <v>6513</v>
      </c>
      <c r="E268" s="1673"/>
      <c r="F268" s="1673"/>
      <c r="G268" s="1673"/>
      <c r="H268" s="1673"/>
      <c r="I268" s="1673"/>
      <c r="J268" s="1673"/>
      <c r="K268" s="1678">
        <f t="shared" si="22"/>
        <v>6513</v>
      </c>
      <c r="L268" s="1573">
        <v>7400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24813</v>
      </c>
      <c r="E270" s="1673"/>
      <c r="F270" s="1673"/>
      <c r="G270" s="1673"/>
      <c r="H270" s="1673"/>
      <c r="I270" s="1673"/>
      <c r="J270" s="1673"/>
      <c r="K270" s="1674">
        <f>SUM(K263:K269)</f>
        <v>24813</v>
      </c>
      <c r="L270" s="1674">
        <f>SUM(L263:L269)</f>
        <v>33700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108</v>
      </c>
      <c r="E274" s="1673"/>
      <c r="F274" s="1673"/>
      <c r="G274" s="1673"/>
      <c r="H274" s="1673"/>
      <c r="I274" s="1673"/>
      <c r="J274" s="1673"/>
      <c r="K274" s="1678">
        <f>D274</f>
        <v>108</v>
      </c>
      <c r="L274" s="1573">
        <v>150</v>
      </c>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108</v>
      </c>
      <c r="E277" s="1673"/>
      <c r="F277" s="1673"/>
      <c r="G277" s="1673"/>
      <c r="H277" s="1673"/>
      <c r="I277" s="1673"/>
      <c r="J277" s="1673"/>
      <c r="K277" s="1674">
        <f>SUM(K272:K276)</f>
        <v>108</v>
      </c>
      <c r="L277" s="1674">
        <f>SUM(L272:L276)</f>
        <v>150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56499</v>
      </c>
      <c r="E279" s="1673"/>
      <c r="F279" s="1673"/>
      <c r="G279" s="1673"/>
      <c r="H279" s="1673"/>
      <c r="I279" s="1673"/>
      <c r="J279" s="1673"/>
      <c r="K279" s="1681">
        <f>SUM(K238,K243,K257,K261,K270,K277,K278)</f>
        <v>56499</v>
      </c>
      <c r="L279" s="1681">
        <f>SUM(L238,L243,L257,L261,L270,L277,L278)</f>
        <v>70367</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94822</v>
      </c>
      <c r="E295" s="1673"/>
      <c r="F295" s="1673"/>
      <c r="G295" s="1673"/>
      <c r="H295" s="1674">
        <f>H293</f>
        <v>0</v>
      </c>
      <c r="I295" s="1673"/>
      <c r="J295" s="1673"/>
      <c r="K295" s="1674">
        <f>SUM(K229,K279,K280,K285,K293,K294)</f>
        <v>94822</v>
      </c>
      <c r="L295" s="1674">
        <f>SUM(L229,L279,L280,L285,L293,L294)</f>
        <v>116830</v>
      </c>
    </row>
    <row r="296" spans="1:14" ht="13.5" thickTop="1" x14ac:dyDescent="0.2">
      <c r="A296" s="2261" t="s">
        <v>989</v>
      </c>
      <c r="B296" s="2262"/>
      <c r="C296" s="1673"/>
      <c r="D296" s="1675"/>
      <c r="E296" s="1673"/>
      <c r="F296" s="1673"/>
      <c r="G296" s="1673"/>
      <c r="H296" s="1707"/>
      <c r="I296" s="1673"/>
      <c r="J296" s="1673"/>
      <c r="K296" s="1689">
        <f>'Revenues 9-14'!G268-'Expenditures 15-22'!K295</f>
        <v>25104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49476</v>
      </c>
      <c r="F301" s="1573"/>
      <c r="G301" s="1573"/>
      <c r="H301" s="1573"/>
      <c r="I301" s="1574"/>
      <c r="J301" s="1574"/>
      <c r="K301" s="1672">
        <f>SUM(C301:J301)</f>
        <v>49476</v>
      </c>
      <c r="L301" s="1574">
        <v>93000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49476</v>
      </c>
      <c r="F303" s="1681">
        <f t="shared" si="23"/>
        <v>0</v>
      </c>
      <c r="G303" s="1681">
        <f t="shared" si="23"/>
        <v>0</v>
      </c>
      <c r="H303" s="1681">
        <f t="shared" si="23"/>
        <v>0</v>
      </c>
      <c r="I303" s="1681">
        <f t="shared" si="23"/>
        <v>0</v>
      </c>
      <c r="J303" s="1681">
        <f t="shared" si="23"/>
        <v>0</v>
      </c>
      <c r="K303" s="1681">
        <f t="shared" si="23"/>
        <v>49476</v>
      </c>
      <c r="L303" s="1681">
        <f t="shared" si="23"/>
        <v>93000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49476</v>
      </c>
      <c r="F312" s="1674">
        <f>SUM(F303)</f>
        <v>0</v>
      </c>
      <c r="G312" s="1674">
        <f>SUM(G303)</f>
        <v>0</v>
      </c>
      <c r="H312" s="1674">
        <f>SUM(H303,H310)</f>
        <v>0</v>
      </c>
      <c r="I312" s="1674">
        <f>SUM(I303)</f>
        <v>0</v>
      </c>
      <c r="J312" s="1674">
        <f>SUM(J303)</f>
        <v>0</v>
      </c>
      <c r="K312" s="1674">
        <f>SUM(K303,K310,K311)</f>
        <v>49476</v>
      </c>
      <c r="L312" s="1674">
        <f>SUM(L303,L310,L311)</f>
        <v>93000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69256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v>10414</v>
      </c>
      <c r="D320" s="1574"/>
      <c r="E320" s="1574"/>
      <c r="F320" s="1574"/>
      <c r="G320" s="1574"/>
      <c r="H320" s="1574"/>
      <c r="I320" s="1574"/>
      <c r="J320" s="1574"/>
      <c r="K320" s="1672">
        <f t="shared" ref="K320:K327" si="24">SUM(C320:J320)</f>
        <v>10414</v>
      </c>
      <c r="L320" s="1574">
        <v>10414</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v>92234</v>
      </c>
      <c r="D323" s="1574">
        <v>12878</v>
      </c>
      <c r="E323" s="1574">
        <v>950</v>
      </c>
      <c r="F323" s="1574"/>
      <c r="G323" s="1574"/>
      <c r="H323" s="1574"/>
      <c r="I323" s="1574"/>
      <c r="J323" s="1574"/>
      <c r="K323" s="1672">
        <f t="shared" si="24"/>
        <v>106062</v>
      </c>
      <c r="L323" s="1574">
        <v>111200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1000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102648</v>
      </c>
      <c r="D330" s="1674">
        <f t="shared" ref="D330:J330" si="25">SUM(D319:D329)</f>
        <v>12878</v>
      </c>
      <c r="E330" s="1674">
        <f t="shared" si="25"/>
        <v>950</v>
      </c>
      <c r="F330" s="1674">
        <f t="shared" si="25"/>
        <v>0</v>
      </c>
      <c r="G330" s="1674">
        <f t="shared" si="25"/>
        <v>0</v>
      </c>
      <c r="H330" s="1674">
        <f t="shared" si="25"/>
        <v>0</v>
      </c>
      <c r="I330" s="1674">
        <f t="shared" si="25"/>
        <v>0</v>
      </c>
      <c r="J330" s="1674">
        <f t="shared" si="25"/>
        <v>0</v>
      </c>
      <c r="K330" s="1674">
        <f>SUM(K319:K329)</f>
        <v>116476</v>
      </c>
      <c r="L330" s="1674">
        <f>SUM(L319:L329)</f>
        <v>122614</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102648</v>
      </c>
      <c r="D342" s="1674">
        <f>SUM(D330)</f>
        <v>12878</v>
      </c>
      <c r="E342" s="1674">
        <f>SUM(E330)</f>
        <v>950</v>
      </c>
      <c r="F342" s="1674">
        <f>SUM(F330)</f>
        <v>0</v>
      </c>
      <c r="G342" s="1674">
        <f>SUM(G330)</f>
        <v>0</v>
      </c>
      <c r="H342" s="1674">
        <f>SUM(H330,H334,H340)</f>
        <v>0</v>
      </c>
      <c r="I342" s="1674">
        <f>SUM(I330)</f>
        <v>0</v>
      </c>
      <c r="J342" s="1674">
        <f>SUM(J330)</f>
        <v>0</v>
      </c>
      <c r="K342" s="1674">
        <f>SUM(K330,K334,K340)</f>
        <v>116476</v>
      </c>
      <c r="L342" s="1681">
        <f>SUM(L330,L334,L340,L341)</f>
        <v>122614</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18434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28000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28000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28000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28000</v>
      </c>
    </row>
    <row r="368" spans="1:14" ht="13.5" thickTop="1" x14ac:dyDescent="0.2">
      <c r="A368" s="2261" t="s">
        <v>989</v>
      </c>
      <c r="B368" s="2262"/>
      <c r="C368" s="1694"/>
      <c r="D368" s="1694"/>
      <c r="E368" s="1677"/>
      <c r="F368" s="1677"/>
      <c r="G368" s="1677"/>
      <c r="H368" s="1677"/>
      <c r="I368" s="1677"/>
      <c r="J368" s="1676"/>
      <c r="K368" s="1672">
        <f>'Revenues 9-14'!K268-'Expenditures 15-22'!K367</f>
        <v>28620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purl.org/dc/dcmitype/"/>
    <ds:schemaRef ds:uri="http://schemas.microsoft.com/office/2006/documentManagement/types"/>
    <ds:schemaRef ds:uri="http://purl.org/dc/elements/1.1/"/>
    <ds:schemaRef ds:uri="http://schemas.microsoft.com/office/infopath/2007/PartnerControls"/>
    <ds:schemaRef ds:uri="http://purl.org/dc/terms/"/>
    <ds:schemaRef ds:uri="http://www.w3.org/XML/1998/namespace"/>
    <ds:schemaRef ds:uri="6ce3111e-7420-4802-b50a-75d4e9a0b980"/>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2020-08-13T18:47:14Z</cp:lastPrinted>
  <dcterms:created xsi:type="dcterms:W3CDTF">2003-10-29T19:06:34Z</dcterms:created>
  <dcterms:modified xsi:type="dcterms:W3CDTF">2020-10-16T17:17:00Z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