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1000A63-7BA1-4231-A84B-1CE9D6C25F93}" xr6:coauthVersionLast="36" xr6:coauthVersionMax="36" xr10:uidLastSave="{00000000-0000-0000-0000-000000000000}"/>
  <bookViews>
    <workbookView xWindow="0" yWindow="0" windowWidth="21600" windowHeight="1038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D7884" i="106" s="1"/>
  <c r="B7883" i="106"/>
  <c r="B7882" i="106"/>
  <c r="D7883" i="106"/>
  <c r="D7882" i="106"/>
  <c r="B11" i="7" l="1"/>
  <c r="D7836" i="106" l="1"/>
  <c r="J88" i="28" l="1"/>
  <c r="J90" i="28" s="1"/>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H342" i="29" l="1"/>
  <c r="B7171" i="106"/>
  <c r="D7171" i="106" s="1"/>
  <c r="E62" i="184"/>
  <c r="N62" i="184" s="1"/>
  <c r="D24" i="37"/>
  <c r="B4270" i="106" s="1"/>
  <c r="D4270" i="106" s="1"/>
  <c r="F36" i="34"/>
  <c r="B7828" i="106" s="1"/>
  <c r="D7828" i="106" s="1"/>
  <c r="B7126" i="106"/>
  <c r="D7126" i="106" s="1"/>
  <c r="E57" i="184"/>
  <c r="N57" i="184" s="1"/>
  <c r="H15" i="184"/>
  <c r="B7189" i="106"/>
  <c r="D7189" i="106" s="1"/>
  <c r="E64" i="184"/>
  <c r="N64" i="184" s="1"/>
  <c r="B6289" i="106"/>
  <c r="D6289" i="106" s="1"/>
  <c r="C352" i="29"/>
  <c r="H76" i="4"/>
  <c r="B3298" i="106" s="1"/>
  <c r="D3298" i="106" s="1"/>
  <c r="B1274" i="106"/>
  <c r="D1274" i="106" s="1"/>
  <c r="D31" i="108"/>
  <c r="E16" i="184"/>
  <c r="H16" i="184" s="1"/>
  <c r="F77" i="4"/>
  <c r="B3255" i="106" s="1"/>
  <c r="D3255" i="106" s="1"/>
  <c r="G33" i="108"/>
  <c r="E17" i="184"/>
  <c r="H17" i="184" s="1"/>
  <c r="H33" i="118"/>
  <c r="D69" i="36"/>
  <c r="B7705" i="106"/>
  <c r="D7705" i="106" s="1"/>
  <c r="E67" i="184"/>
  <c r="N67" i="184" s="1"/>
  <c r="B7696" i="106"/>
  <c r="D7696" i="106" s="1"/>
  <c r="E66" i="184"/>
  <c r="N66" i="184" s="1"/>
  <c r="B7198" i="106"/>
  <c r="D7198" i="106" s="1"/>
  <c r="E65" i="184"/>
  <c r="N65" i="184" s="1"/>
  <c r="C342" i="29"/>
  <c r="B7216" i="106" s="1"/>
  <c r="D7216" i="106" s="1"/>
  <c r="B7180" i="106"/>
  <c r="D7180" i="106" s="1"/>
  <c r="E63" i="184"/>
  <c r="N63" i="184" s="1"/>
  <c r="B7162" i="106"/>
  <c r="D7162" i="106" s="1"/>
  <c r="E61" i="184"/>
  <c r="N61" i="184" s="1"/>
  <c r="B7153" i="106"/>
  <c r="D7153" i="106" s="1"/>
  <c r="E60" i="184"/>
  <c r="N60" i="184" s="1"/>
  <c r="B7135" i="106"/>
  <c r="D7135" i="106" s="1"/>
  <c r="E58" i="184"/>
  <c r="G30" i="108"/>
  <c r="E19" i="184"/>
  <c r="H12" i="184"/>
  <c r="H19" i="184" s="1"/>
  <c r="L20" i="184" s="1"/>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7220" i="106"/>
  <c r="D7220" i="106" s="1"/>
  <c r="F75" i="34"/>
  <c r="B7886" i="106" s="1"/>
  <c r="D7886" i="106" s="1"/>
  <c r="B7222" i="106"/>
  <c r="D7222" i="106" s="1"/>
  <c r="F76" i="34"/>
  <c r="B7887" i="106" s="1"/>
  <c r="D7887" i="106" s="1"/>
  <c r="L16" i="11"/>
  <c r="B2061" i="106" s="1"/>
  <c r="D2061" i="106" s="1"/>
  <c r="B2031" i="106"/>
  <c r="D2031" i="106" s="1"/>
  <c r="N23" i="3"/>
  <c r="B284" i="106" s="1"/>
  <c r="D284" i="106" s="1"/>
  <c r="K342" i="29"/>
  <c r="F13" i="34" s="1"/>
  <c r="N58" i="184"/>
  <c r="N68" i="184" s="1"/>
  <c r="E68" i="184"/>
  <c r="F41" i="108"/>
  <c r="G43" i="108" s="1"/>
  <c r="B1381" i="106"/>
  <c r="D1381" i="106" s="1"/>
  <c r="L114" i="29"/>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6227" i="106" l="1"/>
  <c r="D6227" i="106" s="1"/>
  <c r="J20" i="4"/>
  <c r="B6230" i="106" s="1"/>
  <c r="D6230"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<sst xmlns="http://schemas.openxmlformats.org/spreadsheetml/2006/main" count="5145" uniqueCount="2081">
  <si>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</si>
  <si>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</si>
  <si>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</si>
  <si>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</si>
  <si>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</si>
  <si>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</si>
  <si>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</si>
  <si>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</si>
  <si>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</si>
  <si>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</si>
  <si>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</si>
  <si>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</si>
  <si>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</si>
  <si>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</si>
  <si>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</si>
  <si>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</si>
  <si>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</si>
  <si>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</si>
  <si>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</si>
  <si>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</si>
  <si>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</si>
  <si>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</si>
  <si>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</si>
  <si>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</si>
  <si>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</si>
  <si>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</si>
  <si>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</si>
  <si>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</si>
  <si>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</si>
  <si>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</si>
  <si>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</si>
  <si>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</si>
  <si>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</si>
  <si>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</si>
  <si>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</si>
  <si>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</si>
  <si>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</si>
  <si>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</si>
  <si>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</si>
  <si>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</si>
  <si>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</si>
  <si>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</si>
  <si>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</si>
  <si>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</si>
  <si>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</si>
  <si>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</si>
  <si>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</si>
  <si>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</si>
  <si>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</si>
  <si>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</si>
  <si>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</si>
  <si>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</si>
  <si>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</si>
  <si>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</si>
  <si>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</si>
  <si>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</si>
  <si>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</si>
  <si>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</si>
  <si>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</si>
  <si>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</si>
  <si>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</si>
  <si>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</si>
  <si>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</si>
  <si>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</si>
  <si>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</si>
  <si>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</si>
  <si>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</si>
  <si>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</si>
  <si>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</si>
  <si>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</si>
  <si>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</si>
  <si>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</si>
  <si>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</si>
  <si>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</si>
  <si>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</si>
  <si>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</si>
  <si>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</si>
  <si>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</si>
  <si>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</si>
  <si>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</si>
  <si>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</si>
  <si>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</si>
  <si>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</si>
  <si>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</si>
  <si>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</si>
  <si>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</si>
  <si>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</si>
  <si>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</si>
  <si>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</si>
  <si>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</si>
  <si>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</si>
  <si>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</si>
  <si>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</si>
  <si>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</si>
  <si>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</si>
  <si>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</si>
  <si>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</si>
  <si>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</si>
  <si>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</si>
  <si>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</si>
  <si>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</si>
  <si>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</si>
  <si>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</si>
  <si>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</si>
  <si>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</si>
  <si>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</si>
  <si>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</si>
  <si>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</si>
  <si>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</si>
  <si>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</si>
  <si>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</si>
  <si>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</si>
  <si>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</si>
  <si>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</si>
  <si>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</si>
  <si>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</si>
  <si>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</si>
  <si>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</si>
  <si>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</si>
  <si>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</si>
  <si>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</si>
  <si>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</si>
  <si>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</si>
  <si>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</si>
  <si>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</si>
  <si>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</si>
  <si>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</si>
  <si>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</si>
  <si>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</si>
  <si>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</si>
  <si>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</si>
  <si>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</si>
  <si>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</si>
  <si>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</si>
  <si>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</si>
  <si>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</si>
  <si>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</si>
  <si>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</si>
  <si>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</si>
  <si>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</si>
  <si>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</si>
  <si>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</si>
  <si>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</si>
  <si>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</si>
  <si>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</si>
  <si>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</si>
  <si>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</si>
  <si>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</si>
  <si>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</si>
  <si>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</si>
  <si>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</si>
  <si>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</si>
  <si>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</si>
  <si>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</si>
  <si>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</si>
  <si>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</si>
  <si>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</si>
  <si>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</si>
  <si>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</si>
  <si>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</si>
  <si>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</si>
  <si>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</si>
  <si>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</si>
  <si>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</si>
  <si>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</si>
  <si>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</si>
  <si>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</si>
  <si>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</si>
  <si>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</si>
  <si>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</si>
  <si>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</si>
  <si>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</si>
  <si>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</si>
  <si>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</si>
  <si>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</si>
  <si>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</si>
  <si>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</si>
  <si>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</si>
  <si>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</si>
  <si>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</si>
  <si>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</si>
  <si>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</si>
  <si>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</si>
  <si>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</si>
  <si>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</si>
  <si>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</si>
  <si>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</si>
  <si>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</si>
  <si>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</si>
  <si>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</si>
  <si>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</si>
  <si>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</si>
  <si>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</si>
  <si>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</si>
  <si>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</si>
  <si>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</si>
  <si>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</si>
  <si>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</si>
  <si>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</si>
  <si>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</si>
  <si>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</si>
  <si>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</si>
  <si>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</si>
  <si>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</si>
  <si>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</si>
  <si>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</si>
  <si>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</si>
  <si>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</si>
  <si>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</si>
  <si>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</si>
  <si>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</si>
  <si>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</si>
  <si>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</si>
  <si>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</si>
  <si>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</si>
  <si>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</si>
  <si>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</si>
  <si>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</si>
  <si>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</si>
  <si>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</si>
  <si>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</si>
  <si>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</si>
  <si>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</si>
  <si>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</si>
  <si>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</si>
  <si>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</si>
  <si>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</si>
  <si>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</si>
  <si>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</si>
  <si>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</si>
  <si>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</si>
  <si>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</si>
  <si>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</si>
  <si>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</si>
  <si>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</si>
  <si>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</si>
  <si>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</si>
  <si>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</si>
  <si>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</si>
  <si>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</si>
  <si>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</si>
  <si>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</si>
  <si>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</si>
  <si>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</si>
  <si>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</si>
  <si>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</si>
  <si>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</si>
  <si>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</si>
  <si>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</si>
  <si>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</si>
  <si>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</si>
  <si>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</si>
  <si>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</si>
  <si>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</si>
  <si>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</si>
  <si>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</si>
  <si>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</si>
  <si>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</si>
  <si>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</si>
  <si>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</si>
  <si>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</si>
  <si>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</si>
  <si>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</si>
  <si>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</si>
  <si>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</si>
  <si>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</si>
  <si>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</si>
  <si>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</si>
  <si>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</si>
  <si>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</si>
  <si>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</si>
  <si>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</si>
  <si>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</si>
  <si>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</si>
  <si>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</si>
  <si>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</si>
  <si>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</si>
  <si>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</si>
  <si>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</si>
  <si>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</si>
  <si>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</si>
  <si>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</si>
  <si>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</si>
  <si>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</si>
  <si>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</si>
  <si>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</si>
  <si>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</si>
  <si>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</si>
  <si>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</si>
  <si>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</si>
  <si>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</si>
  <si>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</si>
  <si>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</si>
  <si>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</si>
  <si>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</si>
  <si>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</si>
  <si>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</si>
  <si>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</si>
  <si>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</si>
  <si>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</si>
  <si>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</si>
  <si>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</si>
  <si>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</si>
  <si>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</si>
  <si>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</si>
  <si>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</si>
  <si>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</si>
  <si>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</si>
  <si>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</si>
  <si>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</si>
  <si>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</si>
  <si>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</si>
  <si>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</si>
  <si>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</si>
  <si>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</si>
  <si>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</si>
  <si>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</si>
  <si>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</si>
  <si>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</si>
  <si>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</si>
  <si>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</si>
  <si>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</si>
  <si>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</si>
  <si>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</si>
  <si>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</si>
  <si>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</si>
  <si>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</si>
  <si>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</si>
  <si>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</si>
  <si>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</si>
  <si>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</si>
  <si>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</si>
  <si>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</si>
  <si>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</si>
  <si>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</si>
  <si>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</si>
  <si>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</si>
  <si>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</si>
  <si>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</si>
  <si>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</si>
  <si>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</si>
  <si>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</si>
  <si>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</si>
  <si>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</si>
  <si>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</si>
  <si>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</si>
  <si>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</si>
  <si>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</si>
  <si>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</si>
  <si>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</si>
  <si>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</si>
  <si>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</si>
  <si>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</si>
  <si>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</si>
  <si>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</si>
  <si>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</si>
  <si>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</si>
  <si>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</si>
  <si>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</si>
  <si>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</si>
  <si>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</si>
  <si>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</si>
  <si>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</si>
  <si>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</si>
  <si>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</si>
  <si>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</si>
  <si>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</si>
  <si>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</si>
  <si>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</si>
  <si>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</si>
  <si>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</si>
  <si>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</si>
  <si>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</si>
  <si>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</si>
  <si>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</si>
  <si>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</si>
  <si>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</si>
  <si>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</si>
  <si>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</si>
  <si>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</si>
  <si>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</si>
  <si>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</si>
  <si>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</si>
  <si>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</si>
  <si>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</si>
  <si>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</si>
  <si>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</si>
  <si>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</si>
  <si>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</si>
  <si>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</si>
  <si>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</si>
  <si>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</si>
  <si>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</si>
  <si>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</si>
  <si>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</si>
  <si>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</si>
  <si>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</si>
  <si>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</si>
  <si>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</si>
  <si>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</si>
  <si>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</si>
  <si>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</si>
  <si>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</si>
  <si>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</si>
  <si>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</si>
  <si>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</si>
  <si>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</si>
  <si>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</si>
  <si>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</si>
  <si>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</si>
  <si>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</si>
  <si>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</si>
  <si>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</si>
  <si>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</si>
  <si>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</si>
  <si>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</si>
  <si>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</si>
  <si>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</si>
  <si>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</si>
  <si>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</si>
  <si>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</si>
  <si>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</si>
  <si>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</si>
  <si>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</si>
  <si>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</si>
  <si>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</si>
  <si>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</si>
  <si>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</si>
  <si>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</si>
  <si>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</si>
  <si>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</si>
  <si>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</si>
  <si>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</si>
  <si>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</si>
  <si>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</si>
  <si>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</si>
  <si>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</si>
  <si>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</si>
  <si>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</si>
  <si>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</si>
  <si>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</si>
  <si>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</si>
  <si>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</si>
  <si>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</si>
  <si>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</si>
  <si>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</si>
  <si>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</si>
  <si>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</si>
  <si>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</si>
  <si>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</si>
  <si>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</si>
  <si>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</si>
  <si>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</si>
  <si>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</si>
  <si>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</si>
  <si>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</si>
  <si>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</si>
  <si>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</si>
  <si>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</si>
  <si>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</si>
  <si>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</si>
  <si>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</si>
  <si>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</si>
  <si>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</si>
  <si>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</si>
  <si>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</si>
  <si>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</si>
  <si>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</si>
  <si>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</si>
  <si>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</si>
  <si>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</si>
  <si>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</si>
  <si>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</si>
  <si>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</si>
  <si>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</si>
  <si>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</si>
  <si>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</si>
  <si>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</si>
  <si>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</si>
  <si>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</si>
  <si>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</si>
  <si>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</si>
  <si>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</si>
  <si>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</si>
  <si>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</si>
  <si>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</si>
  <si>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</si>
  <si>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</si>
  <si>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</si>
  <si>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</si>
  <si>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</si>
  <si>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</si>
  <si>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</si>
  <si>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</si>
  <si>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</si>
  <si>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</si>
  <si>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</si>
  <si>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</si>
  <si>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</si>
  <si>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</si>
  <si>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</si>
  <si>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</si>
  <si>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</si>
  <si>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</si>
  <si>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</si>
  <si>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</si>
  <si>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</si>
  <si>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</si>
  <si>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</si>
  <si>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</si>
  <si>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</si>
  <si>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</si>
  <si>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</si>
  <si>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</si>
  <si>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</si>
  <si>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</si>
  <si>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</si>
  <si>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</si>
  <si>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</si>
  <si>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</si>
  <si>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</si>
  <si>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</si>
  <si>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</si>
  <si>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</si>
  <si>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</si>
  <si>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</si>
  <si>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</si>
  <si>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</si>
  <si>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</si>
  <si>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</si>
  <si>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</si>
  <si>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</si>
  <si>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</si>
  <si>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</si>
  <si>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</si>
  <si>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</si>
  <si>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</si>
  <si>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</si>
  <si>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</si>
  <si>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</si>
  <si>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</si>
  <si>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</si>
  <si>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</si>
  <si>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</si>
  <si>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</si>
  <si>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</si>
  <si>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</si>
  <si>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</si>
  <si>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</si>
  <si>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</si>
  <si>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</si>
  <si>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</si>
  <si>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</si>
  <si>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</si>
  <si>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</si>
  <si>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</si>
  <si>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</si>
  <si>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</si>
  <si>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</si>
  <si>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</si>
  <si>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</si>
  <si>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</si>
  <si>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</si>
  <si>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</si>
  <si>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</si>
  <si>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</si>
  <si>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</si>
  <si>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</si>
  <si>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</si>
  <si>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</si>
  <si>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</si>
  <si>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</si>
  <si>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</si>
  <si>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</si>
  <si>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</si>
  <si>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</si>
  <si>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</si>
  <si>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</si>
  <si>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</si>
  <si>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</si>
  <si>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</si>
  <si>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</si>
  <si>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</si>
  <si>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</si>
  <si>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</si>
  <si>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</si>
  <si>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</si>
  <si>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</si>
  <si>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</si>
  <si>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</si>
  <si>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</si>
  <si>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</si>
  <si>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</si>
  <si>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</si>
  <si>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</si>
  <si>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</si>
  <si>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</si>
  <si>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</si>
  <si>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</si>
  <si>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</si>
  <si>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</si>
  <si>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</si>
  <si>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</si>
  <si>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</si>
  <si>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</si>
  <si>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</si>
  <si>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</si>
  <si>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</si>
  <si>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</si>
  <si>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</si>
  <si>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</si>
  <si>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</si>
  <si>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</si>
  <si>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</si>
  <si>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</si>
  <si>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</si>
  <si>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</si>
  <si>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</si>
  <si>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</si>
  <si>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</si>
  <si>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</si>
  <si>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</si>
  <si>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</si>
  <si>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</si>
  <si>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</si>
  <si>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</si>
  <si>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</si>
  <si>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</si>
  <si>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</si>
  <si>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</si>
  <si>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</si>
  <si>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</si>
  <si>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</si>
  <si>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</si>
  <si>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</si>
  <si>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</si>
  <si>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</si>
  <si>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</si>
  <si>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</si>
  <si>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</si>
  <si>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</si>
  <si>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</si>
  <si>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</si>
  <si>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</si>
  <si>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</si>
  <si>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</si>
  <si>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</si>
  <si>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</si>
  <si>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</si>
  <si>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</si>
  <si>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</si>
  <si>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</si>
  <si>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</si>
  <si>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</si>
  <si>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</si>
  <si>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</si>
  <si>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</si>
  <si>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</si>
  <si>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</si>
  <si>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</si>
  <si>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</si>
  <si>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</si>
  <si>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</si>
  <si>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</si>
  <si>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</si>
  <si>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</si>
  <si>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</si>
  <si>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</si>
  <si>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</si>
  <si>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</si>
  <si>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</si>
  <si>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</si>
  <si>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</si>
  <si>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</si>
  <si>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</si>
  <si>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</si>
  <si>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</si>
  <si>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</si>
  <si>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</si>
  <si>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</si>
  <si>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</si>
  <si>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</si>
  <si>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</si>
  <si>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</si>
  <si>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</si>
  <si>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</si>
  <si>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</si>
  <si>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</si>
  <si>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</si>
  <si>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</si>
  <si>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</si>
  <si>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</si>
  <si>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</si>
  <si>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</si>
  <si>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</si>
  <si>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</si>
  <si>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</si>
  <si>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</si>
  <si>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</si>
  <si>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</si>
  <si>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</si>
  <si>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</si>
  <si>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</si>
  <si>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</si>
  <si>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</si>
  <si>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</si>
  <si>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</si>
  <si>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</si>
  <si>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</si>
  <si>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</si>
  <si>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</si>
  <si>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</si>
  <si>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</si>
  <si>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</si>
  <si>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</si>
  <si>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</si>
  <si>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</si>
  <si>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</si>
  <si>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</si>
  <si>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</si>
  <si>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</si>
  <si>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</si>
  <si>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</si>
  <si>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</si>
  <si>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</si>
  <si>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</si>
  <si>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</si>
  <si>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</si>
  <si>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</si>
  <si>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</si>
  <si>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</si>
  <si>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</si>
  <si>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</si>
  <si>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</si>
  <si>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</si>
  <si>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</si>
  <si>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</si>
  <si>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</si>
  <si>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</si>
  <si>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</si>
  <si>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</si>
  <si>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</si>
  <si>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</si>
  <si>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</si>
  <si>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</si>
  <si>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</si>
  <si>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</si>
  <si>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</si>
  <si>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</si>
  <si>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</si>
  <si>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</si>
  <si>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</si>
  <si>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</si>
  <si>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</si>
  <si>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</si>
  <si>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</si>
  <si>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</si>
  <si>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</si>
  <si>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</si>
  <si>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</si>
  <si>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</si>
  <si>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</si>
  <si>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</si>
  <si>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</si>
  <si>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</si>
  <si>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</si>
  <si>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</si>
  <si>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</si>
  <si>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</si>
  <si>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</si>
  <si>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</si>
  <si>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</si>
  <si>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</si>
  <si>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</si>
  <si>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</si>
  <si>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</si>
  <si>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</si>
  <si>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</si>
  <si>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</si>
  <si>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</si>
  <si>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</si>
  <si>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</si>
  <si>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</si>
  <si>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</si>
  <si>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</si>
  <si>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</si>
  <si>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</si>
  <si>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</si>
  <si>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</si>
  <si>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</si>
  <si>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</si>
  <si>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</si>
  <si>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</si>
  <si>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</si>
  <si>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</si>
  <si>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</si>
  <si>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</si>
  <si>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</si>
  <si>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</si>
  <si>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</si>
  <si>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</si>
  <si>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</si>
  <si>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</si>
  <si>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</si>
  <si>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</si>
  <si>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</si>
  <si>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</si>
  <si>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</si>
  <si>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</si>
  <si>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</si>
  <si>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</si>
  <si>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</si>
  <si>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</si>
  <si>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</si>
  <si>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</si>
  <si>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</si>
  <si>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</si>
  <si>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</si>
  <si>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</si>
  <si>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</si>
  <si>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</si>
  <si>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</si>
  <si>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</si>
  <si>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</si>
  <si>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</si>
  <si>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</si>
  <si>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</si>
  <si>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</si>
  <si>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</si>
  <si>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</si>
  <si>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</si>
  <si>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</si>
  <si>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</si>
  <si>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</si>
  <si>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</si>
  <si>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</si>
  <si>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</si>
  <si>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</si>
  <si>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</si>
  <si>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</si>
  <si>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</si>
  <si>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</si>
  <si>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</si>
  <si>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</si>
  <si>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</si>
  <si>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</si>
  <si>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</si>
  <si>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</si>
  <si>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</si>
  <si>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</si>
  <si>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</si>
  <si>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</si>
  <si>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</si>
  <si>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</si>
  <si>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</si>
  <si>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</si>
  <si>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</si>
  <si>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</si>
  <si>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</si>
  <si>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</si>
  <si>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</si>
  <si>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</si>
  <si>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</si>
  <si>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</si>
  <si>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</si>
  <si>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</si>
  <si>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</si>
  <si>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</si>
  <si>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</si>
  <si>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</si>
  <si>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</si>
  <si>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</si>
  <si>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</si>
  <si>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</si>
  <si>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</si>
  <si>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</si>
  <si>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</si>
  <si>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</si>
  <si>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</si>
  <si>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</si>
  <si>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</si>
  <si>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</si>
  <si>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</si>
  <si>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</si>
  <si>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</si>
  <si>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</si>
  <si>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</si>
  <si>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</si>
  <si>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</si>
  <si>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</si>
  <si>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</si>
  <si>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</si>
  <si>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</si>
  <si>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</si>
  <si>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</si>
  <si>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</si>
  <si>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</si>
  <si>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</si>
  <si>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</si>
  <si>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</si>
  <si>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</si>
  <si>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</si>
  <si>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</si>
  <si>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</si>
  <si>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</si>
  <si>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</si>
  <si>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</si>
  <si>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</si>
  <si>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</si>
  <si>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</si>
  <si>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</si>
  <si>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</si>
  <si>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</si>
  <si>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</si>
  <si>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</si>
  <si>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</si>
  <si>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</si>
  <si>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</si>
  <si>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</si>
  <si>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</si>
  <si>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</si>
  <si>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</si>
  <si>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</si>
  <si>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</si>
  <si>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</si>
  <si>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</si>
  <si>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</si>
  <si>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</si>
  <si>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</si>
  <si>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</si>
  <si>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</si>
  <si>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</si>
  <si>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</si>
  <si>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</si>
  <si>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</si>
  <si>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</si>
  <si>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</si>
  <si>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</si>
  <si>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</si>
  <si>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</si>
  <si>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</si>
  <si>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</si>
  <si>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</si>
  <si>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</si>
  <si>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</si>
  <si>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</si>
  <si>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</si>
  <si>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</si>
  <si>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</si>
  <si>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</si>
  <si>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</si>
  <si>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</si>
  <si>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</si>
  <si>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</si>
  <si>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</si>
  <si>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</si>
  <si>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</si>
  <si>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</si>
  <si>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</si>
  <si>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</si>
  <si>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</si>
  <si>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</si>
  <si>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</si>
  <si>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</si>
  <si>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</si>
  <si>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</si>
  <si>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</si>
  <si>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</si>
  <si>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</si>
  <si>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</si>
  <si>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</si>
  <si>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</si>
  <si>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</si>
  <si>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</si>
  <si>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</si>
  <si>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</si>
  <si>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</si>
  <si>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</si>
  <si>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</si>
  <si>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</si>
  <si>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</si>
  <si>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</si>
  <si>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</si>
  <si>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</si>
  <si>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</si>
  <si>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</si>
  <si>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</si>
  <si>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</si>
  <si>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</si>
  <si>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</si>
  <si>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</si>
  <si>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</si>
  <si>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</si>
  <si>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</si>
  <si>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</si>
  <si>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</si>
  <si>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</si>
  <si>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</si>
  <si>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</si>
  <si>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</si>
  <si>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</si>
  <si>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</si>
  <si>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</si>
  <si>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</si>
  <si>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</si>
  <si>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</si>
  <si>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</si>
  <si>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</si>
  <si>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</si>
  <si>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</si>
  <si>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</si>
  <si>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</si>
  <si>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</si>
  <si>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</si>
  <si>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</si>
  <si>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</si>
  <si>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</si>
  <si>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</si>
  <si>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</si>
  <si>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</si>
  <si>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</si>
  <si>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</si>
  <si>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</si>
  <si>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</si>
  <si>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</si>
  <si>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</si>
  <si>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</si>
  <si>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</si>
  <si>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</si>
  <si>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</si>
  <si>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</si>
  <si>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</si>
  <si>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</si>
  <si>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</si>
  <si>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</si>
  <si>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</si>
  <si>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</si>
  <si>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</si>
  <si>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</si>
  <si>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</si>
  <si>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</si>
  <si>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</si>
  <si>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</si>
  <si>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</si>
  <si>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</si>
  <si>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</si>
  <si>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</si>
  <si>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</si>
  <si>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</si>
  <si>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</si>
  <si>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</si>
  <si>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</si>
  <si>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</si>
  <si>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</si>
  <si>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</si>
  <si>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</si>
  <si>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</si>
  <si>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</si>
  <si>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</si>
  <si>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</si>
  <si>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</si>
  <si>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</si>
  <si>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</si>
  <si>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</si>
  <si>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</si>
  <si>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</si>
  <si>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</si>
  <si>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</si>
  <si>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</si>
  <si>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</si>
  <si>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</si>
  <si>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</si>
  <si>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</si>
  <si>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</si>
  <si>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</si>
  <si>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</si>
  <si>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</si>
  <si>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</si>
  <si>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</si>
  <si>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</si>
  <si>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</si>
  <si>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</si>
  <si>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</si>
  <si>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</si>
  <si>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</si>
  <si>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</si>
  <si>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</si>
  <si>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</si>
  <si>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</si>
  <si>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</si>
  <si>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</si>
  <si>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</si>
  <si>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</si>
  <si>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</si>
  <si>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</si>
  <si>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</si>
  <si>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</si>
  <si>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</si>
  <si>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</si>
  <si>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</si>
  <si>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</si>
  <si>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</si>
  <si>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</si>
  <si>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</si>
  <si>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</si>
  <si>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</si>
  <si>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</si>
  <si>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</si>
  <si>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</si>
  <si>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</si>
  <si>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</si>
  <si>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</si>
  <si>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</si>
  <si>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</si>
  <si>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</si>
  <si>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</si>
  <si>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</si>
  <si>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</si>
  <si>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</si>
  <si>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</si>
  <si>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</si>
  <si>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</si>
  <si>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</si>
  <si>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</si>
  <si>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</si>
  <si>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</si>
  <si>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</si>
  <si>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</si>
  <si>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</si>
  <si>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</si>
  <si>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</si>
  <si>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</si>
  <si>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</si>
  <si>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</si>
  <si>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</si>
  <si>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</si>
  <si>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</si>
  <si>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</si>
  <si>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</si>
  <si>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</si>
  <si>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</si>
  <si>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</si>
  <si>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</si>
  <si>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</si>
  <si>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</si>
  <si>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</si>
  <si>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</si>
  <si>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</si>
  <si>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</si>
  <si>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</si>
  <si>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</si>
  <si>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</si>
  <si>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</si>
  <si>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</si>
  <si>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</si>
  <si>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</si>
  <si>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</si>
  <si>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</si>
  <si>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</si>
  <si>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</si>
  <si>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</si>
  <si>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</si>
  <si>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</si>
  <si>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</si>
  <si>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</si>
  <si>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</si>
  <si>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</si>
  <si>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</si>
  <si>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</si>
  <si>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</si>
  <si>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</si>
  <si>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</si>
  <si>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</si>
  <si>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</si>
  <si>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</si>
  <si>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</si>
  <si>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</si>
  <si>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</si>
  <si>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</si>
  <si>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</si>
  <si>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</si>
  <si>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</si>
  <si>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</si>
  <si>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</si>
  <si>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</si>
  <si>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</si>
  <si>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</si>
  <si>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</si>
  <si>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</si>
  <si>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</si>
  <si>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</si>
  <si>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</si>
  <si>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</si>
  <si>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</si>
  <si>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</si>
  <si>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</si>
  <si>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</si>
  <si>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</si>
  <si>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</si>
  <si>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</si>
  <si>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</si>
  <si>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</si>
  <si>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</si>
  <si>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</si>
  <si>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</si>
  <si>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</si>
  <si>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</si>
  <si>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</si>
  <si>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</si>
  <si>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</si>
  <si>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</si>
  <si>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</si>
  <si>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</si>
  <si>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</si>
  <si>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</si>
  <si>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</si>
  <si>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</si>
  <si>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</si>
  <si>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</si>
  <si>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</si>
  <si>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</si>
  <si>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</si>
  <si>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</si>
  <si>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</si>
  <si>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</si>
  <si>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</si>
  <si>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</si>
  <si>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</si>
  <si>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</si>
  <si>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</si>
  <si>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</si>
  <si>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</si>
  <si>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</si>
  <si>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</si>
  <si>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</si>
  <si>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</si>
  <si>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</si>
  <si>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</si>
  <si>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</si>
  <si>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</si>
  <si>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</si>
  <si>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</si>
  <si>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</si>
  <si>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</si>
  <si>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</si>
  <si>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</si>
  <si>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</si>
  <si>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</si>
  <si>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</si>
  <si>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</si>
  <si>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</si>
  <si>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</si>
  <si>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</si>
  <si>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</si>
  <si>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</si>
  <si>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</si>
  <si>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</si>
  <si>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</si>
  <si>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</si>
  <si>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</si>
  <si>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</si>
  <si>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</si>
  <si>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</si>
  <si>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</si>
  <si>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</si>
  <si>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</si>
  <si>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</si>
  <si>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</si>
  <si>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</si>
  <si>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</si>
  <si>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</si>
  <si>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</si>
  <si>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</si>
  <si>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</si>
  <si>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</si>
  <si>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</si>
  <si>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</si>
  <si>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</si>
  <si>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</si>
  <si>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</si>
  <si>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</si>
  <si>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</si>
  <si>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</si>
  <si>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</si>
  <si>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</si>
  <si>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</si>
  <si>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</si>
  <si>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</si>
  <si>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</si>
  <si>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</si>
  <si>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</si>
  <si>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</si>
  <si>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</si>
  <si>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</si>
  <si>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</si>
  <si>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</si>
  <si>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</si>
  <si>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</si>
  <si>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</si>
  <si>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</si>
  <si>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</si>
  <si>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</si>
  <si>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</si>
  <si>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</si>
  <si>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</si>
  <si>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</si>
  <si>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</si>
  <si>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</si>
  <si>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</si>
  <si>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</si>
  <si>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</si>
  <si>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</si>
  <si>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</si>
  <si>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</si>
  <si>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</si>
  <si>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</si>
  <si>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</si>
  <si>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</si>
  <si>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</si>
  <si>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</si>
  <si>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</si>
  <si>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</si>
  <si>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</si>
  <si>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</si>
  <si>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</si>
  <si>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</si>
  <si>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</si>
  <si>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</si>
  <si>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</si>
  <si>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</si>
  <si>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</si>
  <si>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</si>
  <si>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</si>
  <si>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</si>
  <si>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</si>
  <si>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</si>
  <si>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</si>
  <si>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</si>
  <si>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</si>
  <si>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</si>
  <si>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</si>
  <si>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</si>
  <si>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</si>
  <si>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</si>
  <si>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</si>
  <si>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</si>
  <si>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</si>
  <si>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</si>
  <si>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</si>
  <si>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</si>
  <si>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</si>
  <si>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</si>
  <si>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</si>
  <si>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</si>
  <si>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</si>
  <si>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</si>
  <si>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</si>
  <si>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</si>
  <si>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</si>
  <si>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</si>
  <si>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</si>
  <si>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</si>
  <si>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</si>
  <si>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</si>
  <si>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</si>
  <si>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</si>
  <si>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</si>
  <si>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</si>
  <si>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</si>
  <si>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</si>
  <si>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</si>
  <si>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</si>
  <si>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</si>
  <si>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</si>
  <si>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</si>
  <si>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</si>
  <si>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</si>
  <si>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</si>
  <si>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</si>
  <si>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</si>
  <si>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</si>
  <si>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</si>
  <si>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</si>
  <si>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</si>
  <si>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</si>
  <si>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</si>
  <si>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</si>
  <si>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</si>
  <si>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</si>
  <si>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</si>
  <si>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</si>
  <si>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</si>
  <si>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</si>
  <si>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</si>
  <si>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</si>
  <si>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</si>
  <si>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</si>
  <si>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</si>
  <si>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</si>
  <si>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</si>
  <si>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</si>
  <si>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</si>
  <si>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</si>
  <si>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</si>
  <si>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</si>
  <si>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</si>
  <si>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</si>
  <si>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</si>
  <si>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</si>
  <si>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</si>
  <si>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</si>
  <si>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</si>
  <si>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</si>
  <si>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</si>
  <si>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</si>
  <si>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</si>
  <si>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</si>
  <si>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</si>
  <si>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</si>
  <si>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</si>
  <si>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</si>
  <si>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</si>
  <si>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</si>
  <si>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</si>
  <si>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</si>
  <si>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</si>
  <si>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</si>
  <si>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</si>
  <si>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</si>
  <si>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</si>
  <si>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</si>
  <si>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</si>
  <si>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</si>
  <si>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</si>
  <si>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</si>
  <si>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</si>
  <si>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</si>
  <si>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</si>
  <si>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</si>
  <si>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</si>
  <si>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</si>
  <si>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</si>
  <si>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</si>
  <si>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</si>
  <si>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</si>
  <si>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</si>
  <si>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</si>
  <si>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</si>
  <si>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</si>
  <si>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</si>
  <si>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</si>
  <si>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</si>
  <si>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</si>
  <si>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</si>
  <si>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</si>
  <si>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</si>
  <si>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</si>
  <si>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</si>
  <si>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</si>
  <si>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</si>
  <si>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</si>
  <si>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</si>
  <si>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</si>
  <si>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</si>
  <si>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</si>
  <si>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</si>
  <si>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</si>
  <si>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</si>
  <si>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</si>
  <si>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</si>
  <si>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</si>
  <si>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</si>
  <si>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</si>
  <si>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</si>
  <si>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</si>
  <si>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</si>
  <si>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</si>
  <si>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</si>
  <si>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</si>
  <si>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</si>
  <si>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</si>
  <si>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</si>
  <si>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</si>
  <si>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</si>
  <si>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</si>
  <si>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</si>
  <si>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</si>
  <si>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</si>
  <si>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</si>
  <si>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</si>
  <si>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</si>
  <si>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</si>
  <si>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</si>
  <si>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</si>
  <si>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</si>
  <si>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</si>
  <si>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</si>
  <si>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</si>
  <si>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</si>
  <si>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</si>
  <si>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</si>
  <si>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</si>
  <si>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</si>
  <si>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</si>
  <si>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</si>
  <si>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</si>
  <si>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</si>
  <si>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</si>
  <si>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</si>
  <si>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</si>
  <si>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</si>
  <si>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</si>
  <si>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</si>
  <si>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</si>
  <si>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</si>
  <si>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</si>
  <si>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</si>
  <si>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</si>
  <si>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</si>
  <si>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</si>
  <si>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</si>
  <si>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</si>
  <si>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</si>
  <si>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</si>
  <si>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</si>
  <si>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</si>
  <si>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</si>
  <si>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</si>
  <si>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</si>
  <si>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</si>
  <si>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</si>
  <si>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</si>
  <si>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</si>
  <si>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</si>
  <si>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</si>
  <si>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</si>
  <si>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</si>
  <si>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</si>
  <si>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</si>
  <si>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</si>
  <si>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</si>
  <si>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</si>
  <si>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</si>
  <si>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</si>
  <si>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</si>
  <si>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</si>
  <si>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</si>
  <si>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</si>
  <si>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</si>
  <si>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</si>
  <si>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</si>
  <si>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</si>
  <si>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</si>
  <si>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</si>
  <si>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</si>
  <si>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</si>
  <si>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</si>
  <si>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</si>
  <si>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</si>
  <si>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</si>
  <si>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</si>
  <si>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</si>
  <si>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</si>
  <si>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</si>
  <si>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</si>
  <si>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</si>
  <si>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</si>
  <si>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</si>
  <si>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</si>
  <si>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</si>
  <si>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</si>
  <si>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</si>
  <si>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</si>
  <si>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</si>
  <si>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</si>
  <si>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</si>
  <si>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</si>
  <si>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</si>
  <si>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</si>
  <si>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</si>
  <si>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</si>
  <si>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</si>
  <si>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</si>
  <si>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</si>
  <si>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</si>
  <si>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</si>
  <si>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</si>
  <si>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</si>
  <si>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</si>
  <si>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</si>
  <si>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</si>
  <si>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</si>
  <si>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</si>
  <si>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</si>
  <si>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</si>
  <si>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</si>
  <si>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</si>
  <si>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</si>
  <si>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</si>
  <si>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</si>
  <si>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</si>
  <si>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</si>
  <si>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</si>
  <si>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</si>
  <si>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</si>
  <si>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</si>
  <si>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</si>
  <si>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</si>
  <si>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</si>
  <si>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</si>
  <si>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</si>
  <si>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</si>
  <si>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</si>
  <si>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</si>
  <si>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</si>
  <si>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</si>
  <si>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</si>
  <si>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</si>
  <si>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</si>
  <si>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</si>
  <si>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</si>
  <si>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</si>
  <si>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</si>
  <si>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</si>
  <si>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</si>
  <si>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</si>
  <si>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</si>
  <si>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</si>
  <si>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</si>
  <si>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</si>
  <si>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</si>
  <si>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</si>
  <si>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</si>
  <si>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</si>
  <si>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</si>
  <si>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</si>
  <si>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</si>
  <si>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</si>
  <si>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</si>
  <si>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</si>
  <si>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</si>
  <si>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</si>
  <si>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</si>
  <si>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</si>
  <si>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</si>
  <si>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</si>
  <si>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</si>
  <si>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</si>
  <si>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</si>
  <si>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</si>
  <si>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</si>
  <si>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</si>
  <si>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</si>
  <si>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</si>
  <si>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</si>
  <si>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</si>
  <si>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</si>
  <si>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</si>
  <si>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</si>
  <si>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</si>
  <si>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</si>
  <si>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</si>
  <si>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</si>
  <si>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</si>
  <si>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</si>
  <si>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</si>
  <si>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</si>
  <si>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</si>
  <si>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</si>
  <si>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</si>
  <si>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</si>
  <si>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</si>
  <si>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</si>
  <si>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</si>
  <si>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</si>
  <si>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</si>
  <si>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</si>
  <si>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</si>
  <si>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</si>
  <si>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</si>
  <si>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</si>
  <si>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</si>
  <si>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</si>
  <si>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</si>
  <si>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</si>
  <si>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</si>
  <si>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</si>
  <si>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</si>
  <si>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</si>
  <si>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</si>
  <si>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</si>
  <si>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</si>
  <si>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</si>
  <si>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</si>
  <si>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</si>
  <si>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</si>
  <si>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</si>
  <si>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</si>
  <si>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</si>
  <si>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</si>
  <si>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</si>
  <si>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</si>
  <si>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</si>
  <si>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</si>
  <si>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</si>
  <si>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</si>
  <si>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</si>
  <si>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</si>
  <si>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</si>
  <si>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</si>
  <si>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</si>
  <si>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</si>
  <si>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</si>
  <si>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</si>
  <si>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</si>
  <si>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</si>
  <si>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</si>
  <si>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</si>
  <si>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</si>
  <si>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</si>
  <si>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</si>
  <si>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</si>
  <si>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</si>
  <si>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</si>
  <si>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</si>
  <si>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</si>
  <si>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</si>
  <si>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</si>
  <si>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</si>
  <si>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</si>
  <si>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</si>
  <si>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</si>
  <si>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</si>
  <si>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</si>
  <si>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</si>
  <si>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</si>
  <si>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</si>
  <si>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</si>
  <si>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</si>
  <si>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</si>
  <si>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</si>
  <si>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</si>
  <si>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</si>
  <si>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</si>
  <si>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</si>
  <si>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</si>
  <si>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</si>
  <si>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</si>
  <si>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</si>
  <si>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</si>
  <si>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</si>
  <si>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</si>
  <si>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</si>
  <si>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</si>
  <si>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</si>
  <si>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</si>
  <si>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</si>
  <si>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</si>
  <si>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</si>
  <si>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</si>
  <si>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</si>
  <si>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</si>
  <si>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</si>
  <si>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</si>
  <si>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</si>
  <si>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</si>
  <si>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</si>
  <si>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</si>
  <si>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</si>
  <si>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</si>
  <si>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</si>
  <si>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</si>
  <si>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</si>
  <si>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</si>
  <si>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</si>
  <si>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</si>
  <si>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</si>
  <si>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</si>
  <si>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</si>
  <si>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</si>
  <si>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</si>
  <si>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</si>
  <si>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</si>
  <si>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</si>
  <si>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</si>
  <si>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</si>
  <si>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</si>
  <si>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</si>
  <si>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</si>
  <si>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</si>
  <si>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</si>
  <si>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</si>
  <si>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</si>
  <si>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</si>
  <si>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</si>
  <si>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</si>
  <si>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</si>
  <si>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</si>
  <si>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</si>
  <si>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</si>
  <si>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</si>
  <si>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</si>
  <si>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</si>
  <si>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</si>
  <si>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</si>
  <si>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</si>
  <si>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</si>
  <si>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</si>
  <si>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</si>
  <si>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</si>
  <si>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</si>
  <si>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</si>
  <si>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</si>
  <si>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</si>
  <si>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</si>
  <si>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</si>
  <si>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</si>
  <si>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</si>
  <si>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</si>
  <si>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</si>
  <si>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</si>
  <si>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</si>
  <si>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</si>
  <si>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</si>
  <si>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</si>
  <si>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</si>
  <si>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</si>
  <si>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</si>
  <si>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</si>
  <si>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</si>
  <si>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</si>
  <si>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</si>
  <si>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</si>
  <si>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</si>
  <si>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</si>
  <si>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</si>
  <si>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</si>
  <si>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</si>
  <si>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</si>
  <si>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</si>
  <si>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</si>
  <si>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</si>
  <si>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</si>
  <si>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</si>
  <si>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</si>
  <si>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</si>
  <si>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</si>
  <si>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</si>
  <si>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</si>
  <si>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</si>
  <si>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</si>
  <si>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</si>
  <si>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</si>
  <si>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</si>
  <si>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</si>
  <si>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</si>
  <si>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</si>
  <si>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</si>
  <si>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</si>
  <si>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</si>
  <si>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</si>
  <si>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</si>
  <si>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</si>
  <si>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</si>
  <si>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</si>
  <si>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</si>
  <si>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</si>
  <si>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</si>
  <si>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</si>
  <si>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</si>
  <si>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</si>
  <si>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</si>
  <si>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</si>
  <si>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</si>
  <si>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</si>
  <si>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</si>
  <si>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</si>
  <si>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</si>
  <si>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</si>
  <si>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</si>
  <si>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</si>
  <si>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</si>
  <si>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</si>
  <si>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</si>
  <si>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</si>
  <si>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</si>
  <si>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</si>
  <si>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</si>
  <si>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</si>
  <si>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</si>
  <si>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</si>
  <si>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</si>
  <si>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</si>
  <si>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</si>
  <si>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</si>
  <si>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</si>
  <si>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</si>
  <si>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</si>
  <si>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</si>
  <si>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</si>
  <si>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</si>
  <si>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</si>
  <si>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</si>
  <si>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</si>
  <si>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</si>
  <si>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</si>
  <si>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</si>
  <si>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</si>
  <si>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</si>
  <si>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</si>
  <si>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</si>
  <si>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</si>
  <si>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</si>
  <si>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</si>
  <si>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</si>
  <si>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</si>
  <si>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</si>
  <si>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</si>
  <si>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</si>
  <si>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</si>
  <si>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</si>
  <si>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</si>
  <si>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</si>
  <si>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</si>
  <si>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</si>
  <si>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</si>
  <si>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</si>
  <si>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</si>
  <si>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</si>
  <si>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</si>
  <si>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</si>
  <si>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</si>
  <si>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</si>
  <si>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</si>
  <si>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</si>
  <si>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</si>
  <si>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</si>
  <si>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</si>
  <si>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</si>
  <si>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</si>
  <si>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</si>
  <si>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</si>
  <si>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</si>
  <si>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</si>
  <si>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</si>
  <si>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</si>
  <si>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</si>
  <si>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</si>
  <si>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</si>
  <si>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</si>
  <si>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</si>
  <si>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</si>
  <si>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</si>
  <si>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</si>
  <si>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</si>
  <si>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</si>
  <si>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</si>
  <si>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</si>
  <si>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</si>
  <si>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</si>
  <si>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</si>
  <si>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</si>
  <si>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</si>
  <si>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</si>
  <si>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</si>
  <si>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</si>
  <si>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</si>
  <si>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</si>
  <si>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</si>
  <si>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</si>
  <si>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</si>
  <si>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</si>
  <si>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</si>
  <si>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</si>
  <si>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</si>
  <si>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</si>
  <si>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</si>
  <si>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</si>
  <si>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</si>
  <si>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</si>
  <si>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</si>
  <si>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</si>
  <si>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</si>
  <si>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</si>
  <si>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</si>
  <si>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</si>
  <si>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</si>
  <si>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</si>
  <si>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</si>
  <si>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</si>
  <si>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</si>
  <si>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</si>
  <si>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</si>
  <si>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</si>
  <si>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</si>
  <si>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</si>
  <si>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</si>
  <si>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</si>
  <si>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</si>
  <si>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</si>
  <si>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</si>
  <si>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</si>
  <si>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</si>
  <si>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</si>
  <si>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</si>
  <si>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</si>
  <si>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</si>
  <si>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</si>
  <si>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</si>
  <si>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</si>
  <si>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</si>
  <si>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</si>
  <si>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</si>
  <si>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</si>
  <si>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</si>
  <si>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</si>
  <si>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</si>
  <si>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</si>
  <si>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</si>
  <si>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</si>
  <si>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</si>
  <si>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</si>
  <si>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</si>
  <si>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</si>
  <si>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</si>
  <si>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</si>
  <si>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</si>
  <si>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</si>
  <si>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</si>
  <si>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</si>
  <si>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</si>
  <si>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</si>
  <si>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</si>
  <si>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</si>
  <si>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</si>
  <si>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</si>
  <si>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</si>
  <si>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</si>
  <si>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</si>
  <si>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</si>
  <si>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</si>
  <si>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</si>
  <si>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</si>
  <si>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</si>
  <si>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</si>
  <si>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</si>
  <si>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</si>
  <si>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</si>
  <si>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</si>
  <si>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</si>
  <si>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</si>
  <si>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</si>
  <si>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JAMES D MOTLEY, CPA</t>
  </si>
  <si>
    <t>EDGAR</t>
  </si>
  <si>
    <t>JAMES D MOTLEY</t>
  </si>
  <si>
    <t>121 E WASHINGTON STREET</t>
  </si>
  <si>
    <t>15601 HWY 150</t>
  </si>
  <si>
    <t>PARIS</t>
  </si>
  <si>
    <t>IL</t>
  </si>
  <si>
    <t>217-465-8406</t>
  </si>
  <si>
    <t>217-465-8407</t>
  </si>
  <si>
    <t>065-007373</t>
  </si>
  <si>
    <t>DANETTE YOUNG</t>
  </si>
  <si>
    <t>dyoung@crestwoodk12il.us</t>
  </si>
  <si>
    <t>217-465-5381</t>
  </si>
  <si>
    <t>LIFE &amp; SAFETY BOND</t>
  </si>
  <si>
    <t>BUILDING FUND</t>
  </si>
  <si>
    <t>TR - SUPPORT SERVICES - BUSINESS-PUPIL-TRANSPORTN</t>
  </si>
  <si>
    <t>Ball Transportation</t>
  </si>
  <si>
    <t>x</t>
  </si>
  <si>
    <t>EIASE, PARIS CUSD#95, KANSAS TLC</t>
  </si>
  <si>
    <t>PARIS SCHOOL DIST #95</t>
  </si>
  <si>
    <t>p13, line197, Acct 4299, Educ, Food Service Other, CLOC, $12,004.</t>
  </si>
  <si>
    <t>p17, line 136, Acct 4190,Purchas Serv )&amp;M,  Other Pymts to In-State Gov't Units, Property Taxes, $4,190.</t>
  </si>
  <si>
    <t>p78, line 171, Acct 5400, Purch Serv, B &amp; I, Debt Services Other.</t>
  </si>
  <si>
    <t>P10, line 74, Acct 1690, Educational - Other Food Services $40.</t>
  </si>
  <si>
    <t>P11, line 107, Acct 1999, Educational - Other Local Revenue, $100.</t>
  </si>
  <si>
    <t>P11, line 107, Acct 1999, O &amp; M - Other Local Revenue, $9,277.</t>
  </si>
  <si>
    <t>P11, line 107, Acct 1999, Capital Projects - Other Local Revenue, $253,556.</t>
  </si>
  <si>
    <t>p11, Line 131, Acct 3199, Educational - Other Special Education, $158,745.</t>
  </si>
  <si>
    <t>Paris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</si>
</sst>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5</xdr:col>
          <xdr:colOff>152400</xdr:colOff>
          <xdr:row>50</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49</xdr:row>
          <xdr:rowOff>118630</xdr:rowOff>
        </xdr:from>
        <xdr:to>
          <xdr:col>1</xdr:col>
          <xdr:colOff>911802</xdr:colOff>
          <xdr:row>54</xdr:row>
          <xdr:rowOff>5195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11023004026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2053</v>
      </c>
      <c r="B15" s="2104"/>
      <c r="C15" s="2104"/>
      <c r="D15" s="2104"/>
      <c r="E15" s="2104"/>
      <c r="F15" s="2104"/>
      <c r="G15" s="2104"/>
      <c r="H15" s="2105"/>
      <c r="T15" s="2110" t="s">
        <v>2054</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2080</v>
      </c>
      <c r="B17" s="2074"/>
      <c r="C17" s="2074"/>
      <c r="D17" s="2074"/>
      <c r="E17" s="2074"/>
      <c r="F17" s="2074"/>
      <c r="G17" s="2074"/>
      <c r="H17" s="2099"/>
      <c r="T17" s="2117" t="s">
        <v>2055</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2056</v>
      </c>
      <c r="B19" s="2059"/>
      <c r="C19" s="2059"/>
      <c r="D19" s="2059"/>
      <c r="E19" s="2059"/>
      <c r="F19" s="2059"/>
      <c r="G19" s="2059"/>
      <c r="H19" s="2039"/>
      <c r="I19" s="30"/>
      <c r="J19" s="96"/>
      <c r="K19" s="40"/>
      <c r="L19" s="38"/>
      <c r="M19" s="109" t="s">
        <v>312</v>
      </c>
      <c r="P19" s="27"/>
      <c r="Q19" s="27"/>
      <c r="R19" s="27"/>
      <c r="S19" s="31"/>
      <c r="T19" s="2103" t="s">
        <v>2057</v>
      </c>
      <c r="U19" s="2038"/>
      <c r="V19" s="2038"/>
      <c r="W19" s="2039"/>
      <c r="X19" s="2115" t="s">
        <v>2058</v>
      </c>
      <c r="Y19" s="2116"/>
      <c r="Z19" s="2113">
        <v>61944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2057</v>
      </c>
      <c r="B21" s="2038"/>
      <c r="C21" s="2038"/>
      <c r="D21" s="2038"/>
      <c r="E21" s="2038"/>
      <c r="F21" s="2038"/>
      <c r="G21" s="2038"/>
      <c r="H21" s="2039"/>
      <c r="I21" s="2093" t="s">
        <v>673</v>
      </c>
      <c r="J21" s="2088"/>
      <c r="K21" s="2088"/>
      <c r="L21" s="2088"/>
      <c r="M21" s="2088"/>
      <c r="N21" s="2088"/>
      <c r="O21" s="2088"/>
      <c r="P21" s="2088"/>
      <c r="Q21" s="2088"/>
      <c r="R21" s="2088"/>
      <c r="S21" s="2094"/>
      <c r="T21" s="2128" t="s">
        <v>2059</v>
      </c>
      <c r="U21" s="2129"/>
      <c r="V21" s="2129"/>
      <c r="W21" s="2129"/>
      <c r="X21" s="2134" t="s">
        <v>2060</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2061</v>
      </c>
      <c r="U23" s="2127"/>
      <c r="V23" s="2127"/>
      <c r="W23" s="2127"/>
      <c r="X23" s="2131">
        <v>44469</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61944</v>
      </c>
      <c r="B25" s="2038"/>
      <c r="C25" s="2038"/>
      <c r="D25" s="2038"/>
      <c r="E25" s="2038"/>
      <c r="F25" s="2038"/>
      <c r="G25" s="2038"/>
      <c r="H25" s="2039"/>
      <c r="I25" s="110"/>
      <c r="J25" s="2062"/>
      <c r="K25" s="2062"/>
      <c r="L25" s="2062"/>
      <c r="M25" s="2062"/>
      <c r="N25" s="2062"/>
      <c r="O25" s="2062"/>
      <c r="P25" s="2062"/>
      <c r="Q25" s="2062"/>
      <c r="R25" s="2062"/>
      <c r="S25" s="2063"/>
      <c r="T25" s="2124"/>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2062</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2063</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2064</v>
      </c>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I22" sqref="I22:S2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2345938</v>
      </c>
      <c r="C4" s="1722"/>
      <c r="D4" s="1723">
        <f>B4-C4</f>
        <v>2345938</v>
      </c>
      <c r="E4" s="1722">
        <v>2454872</v>
      </c>
      <c r="F4" s="1723">
        <f>E4-C4</f>
        <v>2454872</v>
      </c>
    </row>
    <row r="5" spans="1:8" ht="13.7" customHeight="1" x14ac:dyDescent="0.2">
      <c r="A5" s="579" t="s">
        <v>865</v>
      </c>
      <c r="B5" s="1724">
        <f>'Revenues 9-14'!D5</f>
        <v>533168</v>
      </c>
      <c r="C5" s="1664"/>
      <c r="D5" s="1725">
        <f t="shared" ref="D5:D18" si="0">B5-C5</f>
        <v>533168</v>
      </c>
      <c r="E5" s="1664">
        <v>557925</v>
      </c>
      <c r="F5" s="1725">
        <f>E5-C5</f>
        <v>557925</v>
      </c>
    </row>
    <row r="6" spans="1:8" ht="13.7" customHeight="1" x14ac:dyDescent="0.2">
      <c r="A6" s="579" t="s">
        <v>408</v>
      </c>
      <c r="B6" s="1724">
        <f>'Revenues 9-14'!E5</f>
        <v>479289</v>
      </c>
      <c r="C6" s="1664"/>
      <c r="D6" s="1725">
        <f t="shared" si="0"/>
        <v>479289</v>
      </c>
      <c r="E6" s="1664">
        <v>471213</v>
      </c>
      <c r="F6" s="1725">
        <f t="shared" ref="F6:F18" si="1">E6-C6</f>
        <v>471213</v>
      </c>
    </row>
    <row r="7" spans="1:8" ht="13.7" customHeight="1" x14ac:dyDescent="0.2">
      <c r="A7" s="579" t="s">
        <v>154</v>
      </c>
      <c r="B7" s="1724">
        <f>'Revenues 9-14'!F5</f>
        <v>213267</v>
      </c>
      <c r="C7" s="1664"/>
      <c r="D7" s="1725">
        <f t="shared" si="0"/>
        <v>213267</v>
      </c>
      <c r="E7" s="1664">
        <v>223170</v>
      </c>
      <c r="F7" s="1725">
        <f t="shared" si="1"/>
        <v>223170</v>
      </c>
    </row>
    <row r="8" spans="1:8" ht="13.7" customHeight="1" x14ac:dyDescent="0.2">
      <c r="A8" s="579" t="s">
        <v>1169</v>
      </c>
      <c r="B8" s="1724">
        <f>'Revenues 9-14'!G5</f>
        <v>54800</v>
      </c>
      <c r="C8" s="1664"/>
      <c r="D8" s="1725">
        <f t="shared" si="0"/>
        <v>54800</v>
      </c>
      <c r="E8" s="1664">
        <v>59999</v>
      </c>
      <c r="F8" s="1725">
        <f t="shared" si="1"/>
        <v>59999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53317</v>
      </c>
      <c r="C10" s="1664"/>
      <c r="D10" s="1725">
        <f t="shared" si="0"/>
        <v>53317</v>
      </c>
      <c r="E10" s="1664">
        <v>55793</v>
      </c>
      <c r="F10" s="1725">
        <f t="shared" si="1"/>
        <v>55793</v>
      </c>
    </row>
    <row r="11" spans="1:8" x14ac:dyDescent="0.2">
      <c r="A11" s="579" t="s">
        <v>406</v>
      </c>
      <c r="B11" s="1724">
        <f>'Revenues 9-14'!J5</f>
        <v>209239</v>
      </c>
      <c r="C11" s="1664"/>
      <c r="D11" s="1725">
        <f t="shared" si="0"/>
        <v>209239</v>
      </c>
      <c r="E11" s="1664">
        <v>174999</v>
      </c>
      <c r="F11" s="1725">
        <f t="shared" si="1"/>
        <v>174999</v>
      </c>
    </row>
    <row r="12" spans="1:8" ht="13.7" customHeight="1" x14ac:dyDescent="0.2">
      <c r="A12" s="579" t="s">
        <v>156</v>
      </c>
      <c r="B12" s="1724">
        <f>'Revenues 9-14'!K5</f>
        <v>53316</v>
      </c>
      <c r="C12" s="1664"/>
      <c r="D12" s="1725">
        <f t="shared" si="0"/>
        <v>53316</v>
      </c>
      <c r="E12" s="1664">
        <v>55793</v>
      </c>
      <c r="F12" s="1725">
        <f t="shared" si="1"/>
        <v>55793</v>
      </c>
    </row>
    <row r="13" spans="1:8" ht="13.7" customHeight="1" x14ac:dyDescent="0.2">
      <c r="A13" s="579" t="s">
        <v>930</v>
      </c>
      <c r="B13" s="1724">
        <f>SUM('Revenues 9-14'!C6:D6)</f>
        <v>53317</v>
      </c>
      <c r="C13" s="1664"/>
      <c r="D13" s="1725">
        <f t="shared" si="0"/>
        <v>53317</v>
      </c>
      <c r="E13" s="1664">
        <v>55793</v>
      </c>
      <c r="F13" s="1725">
        <f t="shared" si="1"/>
        <v>55793</v>
      </c>
    </row>
    <row r="14" spans="1:8" ht="13.7" customHeight="1" x14ac:dyDescent="0.2">
      <c r="A14" s="579" t="s">
        <v>407</v>
      </c>
      <c r="B14" s="1724">
        <f>SUM('Revenues 9-14'!C7:D7,'Revenues 9-14'!F7:H7)</f>
        <v>42653</v>
      </c>
      <c r="C14" s="1664"/>
      <c r="D14" s="1725">
        <f t="shared" si="0"/>
        <v>42653</v>
      </c>
      <c r="E14" s="1664">
        <v>44634</v>
      </c>
      <c r="F14" s="1725">
        <f t="shared" si="1"/>
        <v>44634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79710</v>
      </c>
      <c r="C16" s="1664"/>
      <c r="D16" s="1725">
        <f t="shared" si="0"/>
        <v>79710</v>
      </c>
      <c r="E16" s="1664">
        <v>100003</v>
      </c>
      <c r="F16" s="1725">
        <f t="shared" si="1"/>
        <v>100003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4118014</v>
      </c>
      <c r="C19" s="1726">
        <f>SUM(C4:C18)</f>
        <v>0</v>
      </c>
      <c r="D19" s="1726">
        <f>SUM(D4:D18)</f>
        <v>4118014</v>
      </c>
      <c r="E19" s="1726">
        <f>SUM(E4:E18)</f>
        <v>4254194</v>
      </c>
      <c r="F19" s="1726">
        <f>SUM(F4:F18)</f>
        <v>4254194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I22" sqref="I22:S2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41426</v>
      </c>
      <c r="C31" s="1734">
        <v>600000</v>
      </c>
      <c r="D31" s="1735">
        <v>4</v>
      </c>
      <c r="E31" s="1734">
        <v>265000</v>
      </c>
      <c r="F31" s="1734"/>
      <c r="G31" s="1734"/>
      <c r="H31" s="1734">
        <v>80000</v>
      </c>
      <c r="I31" s="1736">
        <f>((E31+F31)-H31)+G31</f>
        <v>185000</v>
      </c>
      <c r="J31" s="1734">
        <v>185000</v>
      </c>
      <c r="K31" s="596"/>
    </row>
    <row r="32" spans="1:11" ht="12" customHeight="1" x14ac:dyDescent="0.2">
      <c r="A32" s="594" t="s">
        <v>2066</v>
      </c>
      <c r="B32" s="595">
        <v>41030</v>
      </c>
      <c r="C32" s="1734">
        <v>6000000</v>
      </c>
      <c r="D32" s="1735">
        <v>6</v>
      </c>
      <c r="E32" s="1734">
        <v>5080000</v>
      </c>
      <c r="F32" s="1734"/>
      <c r="G32" s="1734"/>
      <c r="H32" s="1734">
        <v>260000</v>
      </c>
      <c r="I32" s="1736">
        <f>((E32+F32)-H32)+G32</f>
        <v>4820000</v>
      </c>
      <c r="J32" s="1734">
        <v>4783402</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6600000</v>
      </c>
      <c r="D49" s="1742"/>
      <c r="E49" s="1736">
        <f t="shared" ref="E49:J49" si="2">SUM(E31:E48)</f>
        <v>5345000</v>
      </c>
      <c r="F49" s="1736">
        <f t="shared" si="2"/>
        <v>0</v>
      </c>
      <c r="G49" s="1736">
        <f t="shared" si="2"/>
        <v>0</v>
      </c>
      <c r="H49" s="1736">
        <f t="shared" si="2"/>
        <v>340000</v>
      </c>
      <c r="I49" s="1736">
        <f t="shared" si="2"/>
        <v>5005000</v>
      </c>
      <c r="J49" s="1736">
        <f t="shared" si="2"/>
        <v>4968402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22" sqref="I22:S2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42653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4388</v>
      </c>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42653</v>
      </c>
      <c r="I12" s="1755">
        <f>SUM(I5:I11)</f>
        <v>0</v>
      </c>
      <c r="J12" s="1755">
        <f>SUM(J5:J11)</f>
        <v>0</v>
      </c>
      <c r="K12" s="1755">
        <f>SUM(K5:K11)</f>
        <v>4388</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42653</v>
      </c>
      <c r="I24" s="1767">
        <f>SUM(I3,I12)-I23</f>
        <v>0</v>
      </c>
      <c r="J24" s="1767">
        <f>SUM(J3,J12)-J23</f>
        <v>0</v>
      </c>
      <c r="K24" s="1767">
        <f>SUM(K3,K12)-K23</f>
        <v>4388</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42653</v>
      </c>
      <c r="I26" s="1755">
        <f>I24-I25</f>
        <v>0</v>
      </c>
      <c r="J26" s="1755">
        <f>J24-J25</f>
        <v>0</v>
      </c>
      <c r="K26" s="1755">
        <f>K24-K25</f>
        <v>4388</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22" sqref="I22:S2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110000</v>
      </c>
      <c r="D5" s="1770"/>
      <c r="E5" s="1770"/>
      <c r="F5" s="1765">
        <f>(C5+D5)-E5</f>
        <v>110000</v>
      </c>
      <c r="G5" s="676"/>
      <c r="H5" s="680"/>
      <c r="I5" s="680"/>
      <c r="J5" s="680"/>
      <c r="K5" s="637"/>
      <c r="L5" s="1442">
        <f>F5-K5</f>
        <v>110000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10226402</v>
      </c>
      <c r="D8" s="1771">
        <v>80383</v>
      </c>
      <c r="E8" s="1771"/>
      <c r="F8" s="1765">
        <f>(C8+D8)-E8</f>
        <v>10306785</v>
      </c>
      <c r="G8" s="681">
        <v>50</v>
      </c>
      <c r="H8" s="619">
        <v>3465173</v>
      </c>
      <c r="I8" s="619">
        <v>253023</v>
      </c>
      <c r="J8" s="619"/>
      <c r="K8" s="1442">
        <f>(H8+I8)-J8</f>
        <v>3718196</v>
      </c>
      <c r="L8" s="1442">
        <f>F8-K8</f>
        <v>6588589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244107</v>
      </c>
      <c r="D10" s="1772">
        <v>46224</v>
      </c>
      <c r="E10" s="1772"/>
      <c r="F10" s="1773">
        <f>(C10+D10)-E10</f>
        <v>290331</v>
      </c>
      <c r="G10" s="681">
        <v>20</v>
      </c>
      <c r="H10" s="683">
        <v>142371</v>
      </c>
      <c r="I10" s="683">
        <v>18514</v>
      </c>
      <c r="J10" s="683"/>
      <c r="K10" s="1442">
        <f>(H10+I10)-J10</f>
        <v>160885</v>
      </c>
      <c r="L10" s="1442">
        <f>F10-K10</f>
        <v>129446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618865</v>
      </c>
      <c r="D12" s="1771">
        <v>12428</v>
      </c>
      <c r="E12" s="1771"/>
      <c r="F12" s="1765">
        <f>(C12+D12)-E12</f>
        <v>631293</v>
      </c>
      <c r="G12" s="681">
        <v>10</v>
      </c>
      <c r="H12" s="619">
        <v>497919</v>
      </c>
      <c r="I12" s="619">
        <v>32831</v>
      </c>
      <c r="J12" s="619"/>
      <c r="K12" s="1442">
        <f>(H12+I12)-J12</f>
        <v>530750</v>
      </c>
      <c r="L12" s="1442">
        <f>F12-K12</f>
        <v>100543</v>
      </c>
    </row>
    <row r="13" spans="1:14" ht="14.25" thickTop="1" thickBot="1" x14ac:dyDescent="0.25">
      <c r="A13" s="684" t="s">
        <v>1112</v>
      </c>
      <c r="B13" s="679">
        <v>252</v>
      </c>
      <c r="C13" s="1771">
        <v>765877</v>
      </c>
      <c r="D13" s="1771">
        <v>85643</v>
      </c>
      <c r="E13" s="1771"/>
      <c r="F13" s="1765">
        <f>(C13+D13)-E13</f>
        <v>851520</v>
      </c>
      <c r="G13" s="681">
        <v>5</v>
      </c>
      <c r="H13" s="619">
        <v>621712</v>
      </c>
      <c r="I13" s="619">
        <v>69815</v>
      </c>
      <c r="J13" s="619"/>
      <c r="K13" s="1442">
        <f>(H13+I13)-J13</f>
        <v>691527</v>
      </c>
      <c r="L13" s="1442">
        <f>F13-K13</f>
        <v>159993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11965251</v>
      </c>
      <c r="D16" s="1765">
        <f>SUM(D3,D5:D6,D8:D10,D12:D15)</f>
        <v>224678</v>
      </c>
      <c r="E16" s="1765">
        <f>SUM(E3,E5:E6,E8:E10,E12:E15)</f>
        <v>0</v>
      </c>
      <c r="F16" s="1765">
        <f>SUM(F3,F5:F6,F8:F10,F12:F15)</f>
        <v>12189929</v>
      </c>
      <c r="G16" s="681"/>
      <c r="H16" s="1435">
        <f>SUM(H3,H6,H8:H10,H12:H14,)</f>
        <v>4727175</v>
      </c>
      <c r="I16" s="1435">
        <f>SUM(I3,I6,I8:I10,I12:I14,)</f>
        <v>374183</v>
      </c>
      <c r="J16" s="1435">
        <f>SUM(J3,J6,J8:J10,J12:J14,)</f>
        <v>0</v>
      </c>
      <c r="K16" s="1435">
        <f>(H16+I16)-J16</f>
        <v>5101358</v>
      </c>
      <c r="L16" s="1435">
        <f>F16-K16</f>
        <v>7088571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374183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9" colorId="8" zoomScale="110" zoomScaleNormal="110" workbookViewId="0">
      <selection activeCell="I22" sqref="I22:S2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3850359</v>
      </c>
      <c r="G8" s="701"/>
    </row>
    <row r="9" spans="1:9" x14ac:dyDescent="0.2">
      <c r="A9" s="705" t="s">
        <v>457</v>
      </c>
      <c r="B9" s="706" t="s">
        <v>1848</v>
      </c>
      <c r="C9" s="707"/>
      <c r="D9" s="705" t="s">
        <v>498</v>
      </c>
      <c r="E9" s="704"/>
      <c r="F9" s="1775">
        <f>'Expenditures 15-22'!K151</f>
        <v>584132</v>
      </c>
      <c r="G9" s="708"/>
    </row>
    <row r="10" spans="1:9" x14ac:dyDescent="0.2">
      <c r="A10" s="705" t="s">
        <v>496</v>
      </c>
      <c r="B10" s="706" t="s">
        <v>1849</v>
      </c>
      <c r="C10" s="707"/>
      <c r="D10" s="705" t="s">
        <v>498</v>
      </c>
      <c r="E10" s="704"/>
      <c r="F10" s="1775">
        <f>'Expenditures 15-22'!K174</f>
        <v>521259</v>
      </c>
      <c r="G10" s="708"/>
    </row>
    <row r="11" spans="1:9" x14ac:dyDescent="0.2">
      <c r="A11" s="705" t="s">
        <v>458</v>
      </c>
      <c r="B11" s="706" t="s">
        <v>1850</v>
      </c>
      <c r="C11" s="707"/>
      <c r="D11" s="705" t="s">
        <v>498</v>
      </c>
      <c r="E11" s="704"/>
      <c r="F11" s="1775">
        <f>'Expenditures 15-22'!K210</f>
        <v>350100</v>
      </c>
      <c r="G11" s="708"/>
    </row>
    <row r="12" spans="1:9" x14ac:dyDescent="0.2">
      <c r="A12" s="705" t="s">
        <v>459</v>
      </c>
      <c r="B12" s="706" t="s">
        <v>1851</v>
      </c>
      <c r="C12" s="707"/>
      <c r="D12" s="705" t="s">
        <v>498</v>
      </c>
      <c r="E12" s="704"/>
      <c r="F12" s="1775">
        <f>'Expenditures 15-22'!K295</f>
        <v>146629</v>
      </c>
      <c r="G12" s="708"/>
    </row>
    <row r="13" spans="1:9" x14ac:dyDescent="0.2">
      <c r="A13" s="705" t="s">
        <v>106</v>
      </c>
      <c r="B13" s="706" t="s">
        <v>1852</v>
      </c>
      <c r="C13" s="707"/>
      <c r="D13" s="705" t="s">
        <v>498</v>
      </c>
      <c r="E13" s="704"/>
      <c r="F13" s="1775">
        <f>'Expenditures 15-22'!K342</f>
        <v>170377</v>
      </c>
      <c r="G13" s="709"/>
    </row>
    <row r="14" spans="1:9" ht="12" customHeight="1" thickBot="1" x14ac:dyDescent="0.25">
      <c r="A14" s="1443"/>
      <c r="B14" s="1444"/>
      <c r="C14" s="1445"/>
      <c r="D14" s="1446" t="s">
        <v>498</v>
      </c>
      <c r="E14" s="1447" t="s">
        <v>952</v>
      </c>
      <c r="F14" s="1776">
        <f>SUM(F8:F13)</f>
        <v>5622856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130608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1088014</v>
      </c>
      <c r="G53" s="701"/>
    </row>
    <row r="54" spans="1:7" x14ac:dyDescent="0.2">
      <c r="A54" s="705" t="s">
        <v>456</v>
      </c>
      <c r="B54" s="705" t="s">
        <v>1459</v>
      </c>
      <c r="C54" s="724" t="s">
        <v>975</v>
      </c>
      <c r="D54" s="720" t="s">
        <v>1086</v>
      </c>
      <c r="E54" s="704"/>
      <c r="F54" s="1782">
        <f>'Expenditures 15-22'!G114</f>
        <v>85642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255276</v>
      </c>
      <c r="G57" s="701"/>
    </row>
    <row r="58" spans="1:7" x14ac:dyDescent="0.2">
      <c r="A58" s="705" t="s">
        <v>457</v>
      </c>
      <c r="B58" s="705" t="s">
        <v>1854</v>
      </c>
      <c r="C58" s="721" t="s">
        <v>975</v>
      </c>
      <c r="D58" s="720" t="s">
        <v>1086</v>
      </c>
      <c r="E58" s="704"/>
      <c r="F58" s="1784">
        <f>'Expenditures 15-22'!G151</f>
        <v>12428</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340000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33360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57885</v>
      </c>
      <c r="G73" s="701"/>
    </row>
    <row r="74" spans="1:9" x14ac:dyDescent="0.2">
      <c r="A74" s="705" t="s">
        <v>433</v>
      </c>
      <c r="B74" s="705" t="s">
        <v>1869</v>
      </c>
      <c r="C74" s="721" t="s">
        <v>855</v>
      </c>
      <c r="D74" s="722" t="s">
        <v>1470</v>
      </c>
      <c r="E74" s="704"/>
      <c r="F74" s="1786">
        <f>'Expenditures 15-22'!K334</f>
        <v>50697</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2053910</v>
      </c>
      <c r="G77" s="701"/>
    </row>
    <row r="78" spans="1:9" s="728" customFormat="1" ht="12" customHeight="1" thickTop="1" thickBot="1" x14ac:dyDescent="0.25">
      <c r="A78" s="1450"/>
      <c r="B78" s="1448"/>
      <c r="C78" s="1445"/>
      <c r="D78" s="1449" t="s">
        <v>2012</v>
      </c>
      <c r="E78" s="1447"/>
      <c r="F78" s="1788">
        <f>(F14-F77)</f>
        <v>3568946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465.08</v>
      </c>
      <c r="G79" s="733"/>
      <c r="H79" s="705"/>
      <c r="I79" s="705"/>
    </row>
    <row r="80" spans="1:9" s="728" customFormat="1" ht="12" customHeight="1" thickBot="1" x14ac:dyDescent="0.25">
      <c r="A80" s="1452"/>
      <c r="B80" s="1448"/>
      <c r="C80" s="1445"/>
      <c r="D80" s="1449" t="s">
        <v>2013</v>
      </c>
      <c r="E80" s="1447" t="s">
        <v>952</v>
      </c>
      <c r="F80" s="1790">
        <f>IF(F79&gt;0,F78/F79," Complete Line 79")</f>
        <v>7673.8324589317972</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61062</v>
      </c>
      <c r="G95" s="745"/>
    </row>
    <row r="96" spans="1:7" x14ac:dyDescent="0.2">
      <c r="A96" s="741" t="s">
        <v>139</v>
      </c>
      <c r="B96" s="741" t="s">
        <v>174</v>
      </c>
      <c r="C96" s="743">
        <v>1700</v>
      </c>
      <c r="D96" s="751" t="str">
        <f>'Revenues 9-14'!A82</f>
        <v>Total District/School Activity Income</v>
      </c>
      <c r="E96" s="739"/>
      <c r="F96" s="1793">
        <f>SUM('Revenues 9-14'!C82,'Revenues 9-14'!D82)</f>
        <v>9106</v>
      </c>
      <c r="G96" s="745"/>
    </row>
    <row r="97" spans="1:7" x14ac:dyDescent="0.2">
      <c r="A97" s="741" t="s">
        <v>456</v>
      </c>
      <c r="B97" s="741" t="s">
        <v>175</v>
      </c>
      <c r="C97" s="743">
        <f>'Revenues 9-14'!B84</f>
        <v>1811</v>
      </c>
      <c r="D97" s="744" t="str">
        <f>'Revenues 9-14'!A84</f>
        <v>Rentals - Regular Textbooks</v>
      </c>
      <c r="E97" s="739"/>
      <c r="F97" s="1793">
        <f>'Revenues 9-14'!C84</f>
        <v>23375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180428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3538</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737</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4388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225799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65119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83066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6486</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70000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7607</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17859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9959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4238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773517</v>
      </c>
    </row>
    <row r="176" spans="1:7" ht="12" customHeight="1" x14ac:dyDescent="0.2">
      <c r="A176" s="1443"/>
      <c r="B176" s="1453"/>
      <c r="C176" s="1454"/>
      <c r="D176" s="1455" t="s">
        <v>2014</v>
      </c>
      <c r="E176" s="1456"/>
      <c r="F176" s="1793">
        <f>'PCTC-OEPP 27-28'!F78-F175</f>
        <v>2795429</v>
      </c>
    </row>
    <row r="177" spans="1:9" ht="12" customHeight="1" x14ac:dyDescent="0.2">
      <c r="A177" s="1443"/>
      <c r="B177" s="1453"/>
      <c r="C177" s="1454"/>
      <c r="D177" s="1455" t="s">
        <v>1794</v>
      </c>
      <c r="E177" s="1456"/>
      <c r="F177" s="1793">
        <f>'Cap Outlay Deprec 26'!I18</f>
        <v>374183</v>
      </c>
    </row>
    <row r="178" spans="1:9" ht="12" customHeight="1" x14ac:dyDescent="0.2">
      <c r="A178" s="1443"/>
      <c r="B178" s="1453"/>
      <c r="C178" s="1454"/>
      <c r="D178" s="1455" t="s">
        <v>2015</v>
      </c>
      <c r="E178" s="1456"/>
      <c r="F178" s="1793">
        <f>F176+F177</f>
        <v>3169612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465.08</v>
      </c>
      <c r="G179" s="763"/>
      <c r="I179" s="701"/>
    </row>
    <row r="180" spans="1:9" ht="12" customHeight="1" thickBot="1" x14ac:dyDescent="0.25">
      <c r="A180" s="1443"/>
      <c r="B180" s="1457"/>
      <c r="C180" s="1454"/>
      <c r="D180" s="1455" t="s">
        <v>2017</v>
      </c>
      <c r="E180" s="1456" t="s">
        <v>1528</v>
      </c>
      <c r="F180" s="1798">
        <f>F178/F179</f>
        <v>6815.1973853960608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I22" sqref="I22:S22"/>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2067</v>
      </c>
      <c r="B18" s="1908">
        <v>402550300</v>
      </c>
      <c r="C18" s="2036" t="s">
        <v>2068</v>
      </c>
      <c r="D18" s="1886">
        <v>275884</v>
      </c>
      <c r="E18" s="1906" t="str">
        <f t="shared" ref="E18:E81" si="0">IF(D18&lt;25000,D18,"25,000")</f>
        <v>25,000</v>
      </c>
      <c r="F18" s="1906">
        <f t="shared" ref="F18:F81" si="1">IF(D18&gt;=25000,(D18-E18),"0")</f>
        <v>250884</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275884</v>
      </c>
      <c r="E142" s="1893">
        <f>SUM(E18:E141)</f>
        <v>0</v>
      </c>
      <c r="F142" s="1894">
        <f>SUM(F18:F141)</f>
        <v>250884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I22" sqref="I22:S2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2037501</v>
      </c>
      <c r="F19" s="1802"/>
      <c r="G19" s="1804">
        <f>'Expenditures 15-22'!K33-SUM('Expenditures 15-22'!G33,'Expenditures 15-22'!I33)+'Expenditures 15-22'!D229</f>
        <v>2037501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220196</v>
      </c>
      <c r="F21" s="1805"/>
      <c r="G21" s="1808">
        <f>'Expenditures 15-22'!K42-SUM('Expenditures 15-22'!G42,'Expenditures 15-22'!I42)+'Expenditures 15-22'!K120-SUM('Expenditures 15-22'!G120,'Expenditures 15-22'!I120)+'Expenditures 15-22'!K180-SUM('Expenditures 15-22'!G180,'Expenditures 15-22'!I180)+'Expenditures 15-22'!D238</f>
        <v>220196</v>
      </c>
      <c r="H21" s="817"/>
      <c r="I21" s="157"/>
    </row>
    <row r="22" spans="1:9" s="542" customFormat="1" ht="12" customHeight="1" x14ac:dyDescent="0.2">
      <c r="A22" s="824" t="s">
        <v>560</v>
      </c>
      <c r="B22" s="825"/>
      <c r="C22" s="823">
        <v>2200</v>
      </c>
      <c r="D22" s="1805"/>
      <c r="E22" s="1807">
        <f>'Expenditures 15-22'!K47-SUM('Expenditures 15-22'!G47,'Expenditures 15-22'!I47)+'Expenditures 15-22'!D243</f>
        <v>63361</v>
      </c>
      <c r="F22" s="1805"/>
      <c r="G22" s="1808">
        <f>'Expenditures 15-22'!K47-SUM('Expenditures 15-22'!G47,'Expenditures 15-22'!I47)+'Expenditures 15-22'!D243</f>
        <v>63361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329197</v>
      </c>
      <c r="F23" s="1805"/>
      <c r="G23" s="1807">
        <f>'Expenditures 15-22'!K53-SUM('Expenditures 15-22'!G53,'Expenditures 15-22'!I53)+'Expenditures 15-22'!D257+'Expenditures 15-22'!K330-SUM('Expenditures 15-22'!G330,'Expenditures 15-22'!I330)</f>
        <v>329197</v>
      </c>
      <c r="H23" s="817"/>
      <c r="I23" s="157"/>
    </row>
    <row r="24" spans="1:9" s="542" customFormat="1" ht="12" customHeight="1" x14ac:dyDescent="0.2">
      <c r="A24" s="824" t="s">
        <v>562</v>
      </c>
      <c r="B24" s="825"/>
      <c r="C24" s="823">
        <v>2400</v>
      </c>
      <c r="D24" s="1805"/>
      <c r="E24" s="1807">
        <f>'Expenditures 15-22'!K57-SUM('Expenditures 15-22'!G57,'Expenditures 15-22'!I57)+'Expenditures 15-22'!D261</f>
        <v>91588</v>
      </c>
      <c r="F24" s="1805"/>
      <c r="G24" s="1808">
        <f>'Expenditures 15-22'!K57-SUM('Expenditures 15-22'!G57,'Expenditures 15-22'!I57)+'Expenditures 15-22'!D261</f>
        <v>91588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28685</v>
      </c>
      <c r="E27" s="1807">
        <f>E8</f>
        <v>0</v>
      </c>
      <c r="F27" s="1807">
        <f>'Expenditures 15-22'!K60-SUM('Expenditures 15-22'!G60,'Expenditures 15-22'!I60)+'Expenditures 15-22'!D264-E8</f>
        <v>28685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316428</v>
      </c>
      <c r="F28" s="1809">
        <f>'Expenditures 15-22'!K61-SUM('Expenditures 15-22'!G61,'Expenditures 15-22'!I61)+'Expenditures 15-22'!K124-SUM('Expenditures 15-22'!G124,'Expenditures 15-22'!I124)+'Expenditures 15-22'!D266-E9</f>
        <v>316428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316740</v>
      </c>
      <c r="F29" s="1805"/>
      <c r="G29" s="1808">
        <f>'Expenditures 15-22'!K62-SUM('Expenditures 15-22'!G62,'Expenditures 15-22'!I62)+'Expenditures 15-22'!K125-SUM('Expenditures 15-22'!G125,'Expenditures 15-22'!I125)+'Expenditures 15-22'!K182-SUM('Expenditures 15-22'!G182,'Expenditures 15-22'!I182)+'Expenditures 15-22'!D267</f>
        <v>316740</v>
      </c>
      <c r="H29" s="815"/>
    </row>
    <row r="30" spans="1:9" ht="12" customHeight="1" x14ac:dyDescent="0.2">
      <c r="A30" s="824" t="s">
        <v>100</v>
      </c>
      <c r="B30" s="827"/>
      <c r="C30" s="823">
        <v>2560</v>
      </c>
      <c r="D30" s="1805"/>
      <c r="E30" s="1807">
        <f>'Expenditures 15-22'!K63-SUM('Expenditures 15-22'!G63,'Expenditures 15-22'!I63)+'Expenditures 15-22'!D268-E10</f>
        <v>114350</v>
      </c>
      <c r="F30" s="1805"/>
      <c r="G30" s="1807">
        <f>'Expenditures 15-22'!K63-SUM('Expenditures 15-22'!G63,'Expenditures 15-22'!I63)+'Expenditures 15-22'!D268-E10</f>
        <v>114350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249</v>
      </c>
      <c r="F38" s="1805"/>
      <c r="G38" s="1807">
        <f>'Expenditures 15-22'!K73-SUM('Expenditures 15-22'!G73,'Expenditures 15-22'!I73)+'Expenditures 15-22'!K128-SUM('Expenditures 15-22'!G128,'Expenditures 15-22'!I128)+'Expenditures 15-22'!K183-SUM('Expenditures 15-22'!G183,'Expenditures 15-22'!I183)+'Expenditures 15-22'!D278</f>
        <v>249</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-250884</v>
      </c>
      <c r="F40" s="1805"/>
      <c r="G40" s="1809">
        <f>-'Contracts Paid in CY 29'!F142</f>
        <v>-250884</v>
      </c>
    </row>
    <row r="41" spans="1:7" ht="12" customHeight="1" x14ac:dyDescent="0.2">
      <c r="A41" s="828" t="s">
        <v>155</v>
      </c>
      <c r="B41" s="829"/>
      <c r="C41" s="830"/>
      <c r="D41" s="1809">
        <f>SUM(D19:D39)</f>
        <v>28685</v>
      </c>
      <c r="E41" s="1809">
        <f>SUM(E19:E40)</f>
        <v>3238726</v>
      </c>
      <c r="F41" s="1809">
        <f>SUM(F19:F39)</f>
        <v>345113</v>
      </c>
      <c r="G41" s="1809">
        <f>SUM(G19:G40)</f>
        <v>2922298</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28685</v>
      </c>
      <c r="F43" s="1458" t="s">
        <v>470</v>
      </c>
      <c r="G43" s="1810">
        <f>F41</f>
        <v>345113</v>
      </c>
    </row>
    <row r="44" spans="1:7" ht="12" customHeight="1" x14ac:dyDescent="0.2">
      <c r="A44" s="817"/>
      <c r="B44" s="157"/>
      <c r="C44" s="831"/>
      <c r="D44" s="1458" t="s">
        <v>471</v>
      </c>
      <c r="E44" s="1810">
        <f>E41</f>
        <v>3238726</v>
      </c>
      <c r="F44" s="1458" t="s">
        <v>471</v>
      </c>
      <c r="G44" s="1810">
        <f>G41</f>
        <v>2922298</v>
      </c>
    </row>
    <row r="45" spans="1:7" ht="12" customHeight="1" x14ac:dyDescent="0.2">
      <c r="A45" s="817"/>
      <c r="B45" s="157"/>
      <c r="C45" s="157"/>
      <c r="D45" s="1459" t="s">
        <v>999</v>
      </c>
      <c r="E45" s="1811">
        <f>(E43/E44)</f>
        <v>8.8568776735049523E-3</v>
      </c>
      <c r="F45" s="1459" t="s">
        <v>999</v>
      </c>
      <c r="G45" s="1811">
        <f>(G43/G44)</f>
        <v>0.11809644327854311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7" zoomScale="110" zoomScaleNormal="110" workbookViewId="0">
      <selection activeCell="I22" sqref="I22:S2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Paris CUSD 4</v>
      </c>
      <c r="D6" s="2415"/>
      <c r="E6" s="2415"/>
      <c r="F6" s="1482"/>
      <c r="G6" s="1507"/>
      <c r="L6" s="1507"/>
      <c r="M6" s="1855"/>
      <c r="N6" s="1855"/>
      <c r="O6" s="1855"/>
    </row>
    <row r="7" spans="1:15" ht="11.25" customHeight="1" thickBot="1" x14ac:dyDescent="0.3">
      <c r="A7" s="1480"/>
      <c r="B7" s="1481"/>
      <c r="C7" s="2416">
        <f>COVER!A13</f>
        <v>11023004026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t="s">
        <v>2069</v>
      </c>
      <c r="D27" s="1495" t="s">
        <v>2069</v>
      </c>
      <c r="E27" s="1498" t="s">
        <v>2069</v>
      </c>
      <c r="F27" s="1497" t="s">
        <v>2070</v>
      </c>
      <c r="G27" s="1507"/>
      <c r="H27" s="1507">
        <f t="shared" si="0"/>
        <v>5</v>
      </c>
      <c r="I27" s="1507">
        <f t="shared" si="1"/>
        <v>5</v>
      </c>
      <c r="J27" s="1507">
        <f t="shared" si="2"/>
        <v>5</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2069</v>
      </c>
      <c r="D33" s="1495" t="s">
        <v>2069</v>
      </c>
      <c r="E33" s="1498" t="s">
        <v>2069</v>
      </c>
      <c r="F33" s="1497" t="s">
        <v>2071</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9" zoomScaleNormal="100" workbookViewId="0">
      <selection activeCell="I22" sqref="I22:S2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Paris CUSD 4</v>
      </c>
      <c r="K6" s="2437"/>
      <c r="L6" s="2451"/>
      <c r="M6" s="838"/>
      <c r="N6" s="1998"/>
    </row>
    <row r="7" spans="1:14" x14ac:dyDescent="0.2">
      <c r="A7" s="2452" t="s">
        <v>864</v>
      </c>
      <c r="B7" s="2453"/>
      <c r="C7" s="2453"/>
      <c r="D7" s="2453"/>
      <c r="E7" s="2454"/>
      <c r="F7" s="839"/>
      <c r="G7" s="838"/>
      <c r="H7" s="838"/>
      <c r="I7" s="1924" t="s">
        <v>369</v>
      </c>
      <c r="J7" s="2439">
        <f>COVER!A13</f>
        <v>11023004026</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157075</v>
      </c>
      <c r="F12" s="1942"/>
      <c r="G12" s="1968">
        <f>G68</f>
        <v>23890</v>
      </c>
      <c r="H12" s="1944">
        <f t="shared" ref="H12:H18" si="0">SUM(E12:G12)</f>
        <v>180965</v>
      </c>
      <c r="I12" s="1943">
        <v>164921</v>
      </c>
      <c r="J12" s="1942"/>
      <c r="K12" s="1943">
        <v>25591</v>
      </c>
      <c r="L12" s="1944">
        <f t="shared" ref="L12:L18" si="1">SUM(I12:K12)</f>
        <v>190512</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157075</v>
      </c>
      <c r="F19" s="1950">
        <f t="shared" si="2"/>
        <v>0</v>
      </c>
      <c r="G19" s="1950">
        <f t="shared" ref="G19" si="3">SUM(G12:G17)-G18</f>
        <v>23890</v>
      </c>
      <c r="H19" s="1950">
        <f t="shared" si="2"/>
        <v>180965</v>
      </c>
      <c r="I19" s="1950">
        <f t="shared" si="2"/>
        <v>164921</v>
      </c>
      <c r="J19" s="1950">
        <f t="shared" si="2"/>
        <v>0</v>
      </c>
      <c r="K19" s="1950">
        <f t="shared" si="2"/>
        <v>25591</v>
      </c>
      <c r="L19" s="1950">
        <f t="shared" si="2"/>
        <v>190512</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5.2756057801232284E-2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Paris CUSD 4</v>
      </c>
      <c r="M52" s="2437"/>
      <c r="N52" s="2438"/>
    </row>
    <row r="53" spans="1:14" x14ac:dyDescent="0.2">
      <c r="A53" s="1982"/>
      <c r="B53" s="1983"/>
      <c r="C53" s="1983"/>
      <c r="D53" s="1983"/>
      <c r="E53" s="1983"/>
      <c r="F53" s="1983"/>
      <c r="G53" s="1983"/>
      <c r="H53" s="1983"/>
      <c r="I53" s="1983"/>
      <c r="J53" s="1983"/>
      <c r="K53" s="1924" t="s">
        <v>369</v>
      </c>
      <c r="L53" s="2439">
        <f>J7</f>
        <v>11023004026</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12965</v>
      </c>
      <c r="F58" s="1972"/>
      <c r="G58" s="2031"/>
      <c r="H58" s="2032"/>
      <c r="I58" s="2032"/>
      <c r="J58" s="2032"/>
      <c r="K58" s="2032"/>
      <c r="L58" s="2032"/>
      <c r="M58" s="2032"/>
      <c r="N58" s="1975" t="str">
        <f>IF((SUM(G58:M58))=E58,SUM(G58:M58),"Column N does not agree with Column E")</f>
        <v>Column N does not agree with Column E</v>
      </c>
    </row>
    <row r="59" spans="1:14" ht="24.75" customHeight="1" x14ac:dyDescent="0.2">
      <c r="A59" s="2419" t="s">
        <v>297</v>
      </c>
      <c r="B59" s="2420"/>
      <c r="C59" s="2420"/>
      <c r="D59" s="1967">
        <v>2363</v>
      </c>
      <c r="E59" s="1977">
        <f>'Expenditures 15-22'!K321</f>
        <v>2487</v>
      </c>
      <c r="F59" s="1972"/>
      <c r="G59" s="2031"/>
      <c r="H59" s="2032"/>
      <c r="I59" s="2032"/>
      <c r="J59" s="2032"/>
      <c r="K59" s="2032"/>
      <c r="L59" s="2032"/>
      <c r="M59" s="2032"/>
      <c r="N59" s="1975" t="str">
        <f>IF((SUM(G59:M59))=E59,SUM(G59:M59),"Column N does not agree with Column E")</f>
        <v>Column N does not agree with Column E</v>
      </c>
    </row>
    <row r="60" spans="1:14" ht="24" customHeight="1" x14ac:dyDescent="0.2">
      <c r="A60" s="2419" t="s">
        <v>236</v>
      </c>
      <c r="B60" s="2420"/>
      <c r="C60" s="2420"/>
      <c r="D60" s="1967">
        <v>2364</v>
      </c>
      <c r="E60" s="1977">
        <f>'Expenditures 15-22'!K322</f>
        <v>13848</v>
      </c>
      <c r="F60" s="1972"/>
      <c r="G60" s="2031"/>
      <c r="H60" s="2032"/>
      <c r="I60" s="2032"/>
      <c r="J60" s="2032"/>
      <c r="K60" s="2032"/>
      <c r="L60" s="2032"/>
      <c r="M60" s="2032"/>
      <c r="N60" s="1975" t="str">
        <f t="shared" ref="N60:N67" si="4">IF((SUM(G60:M60))=E60,SUM(G60:M60),"Column N does not agree with Column E")</f>
        <v>Column N does not agree with Column E</v>
      </c>
    </row>
    <row r="61" spans="1:14" ht="24.75" customHeight="1" x14ac:dyDescent="0.2">
      <c r="A61" s="2419" t="s">
        <v>697</v>
      </c>
      <c r="B61" s="2420"/>
      <c r="C61" s="2420"/>
      <c r="D61" s="1967">
        <v>2365</v>
      </c>
      <c r="E61" s="1977">
        <f>'Expenditures 15-22'!K323</f>
        <v>14448</v>
      </c>
      <c r="F61" s="1972"/>
      <c r="G61" s="2031"/>
      <c r="H61" s="2032"/>
      <c r="I61" s="2032"/>
      <c r="J61" s="2032"/>
      <c r="K61" s="2032"/>
      <c r="L61" s="2032"/>
      <c r="M61" s="2032"/>
      <c r="N61" s="1975" t="str">
        <f t="shared" si="4"/>
        <v>Column N does not agree with Column E</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59137</v>
      </c>
      <c r="F63" s="1972"/>
      <c r="G63" s="2031">
        <v>23890</v>
      </c>
      <c r="H63" s="2032"/>
      <c r="I63" s="2032"/>
      <c r="J63" s="2032"/>
      <c r="K63" s="2032"/>
      <c r="L63" s="2032"/>
      <c r="M63" s="2032"/>
      <c r="N63" s="1975" t="str">
        <f t="shared" si="4"/>
        <v>Column N does not agree with Column E</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900</v>
      </c>
      <c r="F65" s="1972"/>
      <c r="G65" s="2031"/>
      <c r="H65" s="2032"/>
      <c r="I65" s="2032"/>
      <c r="J65" s="2032"/>
      <c r="K65" s="2032"/>
      <c r="L65" s="2032"/>
      <c r="M65" s="2032"/>
      <c r="N65" s="1975" t="str">
        <f t="shared" si="4"/>
        <v>Column N does not agree with Column E</v>
      </c>
    </row>
    <row r="66" spans="1:14" ht="24" customHeight="1" x14ac:dyDescent="0.2">
      <c r="A66" s="2419" t="s">
        <v>469</v>
      </c>
      <c r="B66" s="2420"/>
      <c r="C66" s="2420"/>
      <c r="D66" s="1967">
        <v>2371</v>
      </c>
      <c r="E66" s="1977">
        <f>'Expenditures 15-22'!K328</f>
        <v>14044</v>
      </c>
      <c r="F66" s="1972"/>
      <c r="G66" s="2031"/>
      <c r="H66" s="2032"/>
      <c r="I66" s="2032"/>
      <c r="J66" s="2032"/>
      <c r="K66" s="2032"/>
      <c r="L66" s="2032"/>
      <c r="M66" s="2032"/>
      <c r="N66" s="1975" t="str">
        <f t="shared" si="4"/>
        <v>Column N does not agree with Column E</v>
      </c>
    </row>
    <row r="67" spans="1:14" ht="24.75" customHeight="1" x14ac:dyDescent="0.2">
      <c r="A67" s="2421" t="s">
        <v>2042</v>
      </c>
      <c r="B67" s="2422"/>
      <c r="C67" s="2422"/>
      <c r="D67" s="1969">
        <v>2372</v>
      </c>
      <c r="E67" s="1978">
        <f>'Expenditures 15-22'!K329</f>
        <v>1851</v>
      </c>
      <c r="F67" s="1972"/>
      <c r="G67" s="2033"/>
      <c r="H67" s="2034"/>
      <c r="I67" s="2034"/>
      <c r="J67" s="2034"/>
      <c r="K67" s="2034"/>
      <c r="L67" s="2034"/>
      <c r="M67" s="2034"/>
      <c r="N67" s="1975" t="str">
        <f t="shared" si="4"/>
        <v>Column N does not agree with Column E</v>
      </c>
    </row>
    <row r="68" spans="1:14" x14ac:dyDescent="0.2">
      <c r="A68" s="2423" t="s">
        <v>1151</v>
      </c>
      <c r="B68" s="2424"/>
      <c r="C68" s="2424"/>
      <c r="D68" s="1970"/>
      <c r="E68" s="1974">
        <f>SUM(E57:E67)</f>
        <v>119680</v>
      </c>
      <c r="F68" s="1973"/>
      <c r="G68" s="1974">
        <f t="shared" ref="G68:N68" si="5">SUM(G57:G67)</f>
        <v>23890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I22" sqref="I22:S2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2072</v>
      </c>
    </row>
    <row r="6" spans="1:2" x14ac:dyDescent="0.2">
      <c r="A6" s="847">
        <v>2</v>
      </c>
      <c r="B6" s="307" t="s">
        <v>2073</v>
      </c>
    </row>
    <row r="7" spans="1:2" x14ac:dyDescent="0.2">
      <c r="A7" s="847">
        <v>3</v>
      </c>
      <c r="B7" s="307" t="s">
        <v>2074</v>
      </c>
    </row>
    <row r="8" spans="1:2" x14ac:dyDescent="0.2">
      <c r="A8" s="847">
        <v>4</v>
      </c>
      <c r="B8" s="307" t="s">
        <v>2075</v>
      </c>
    </row>
    <row r="9" spans="1:2" x14ac:dyDescent="0.2">
      <c r="A9" s="848">
        <v>5</v>
      </c>
      <c r="B9" s="307" t="s">
        <v>2076</v>
      </c>
    </row>
    <row r="10" spans="1:2" x14ac:dyDescent="0.2">
      <c r="A10" s="848">
        <v>6</v>
      </c>
      <c r="B10" s="307" t="s">
        <v>2077</v>
      </c>
    </row>
    <row r="11" spans="1:2" x14ac:dyDescent="0.2">
      <c r="A11" s="848">
        <v>7</v>
      </c>
      <c r="B11" s="307" t="s">
        <v>2078</v>
      </c>
    </row>
    <row r="12" spans="1:2" x14ac:dyDescent="0.2">
      <c r="A12" s="848">
        <v>8</v>
      </c>
      <c r="B12" s="307" t="s">
        <v>2079</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Paris CUSD 4</v>
      </c>
    </row>
    <row r="65" spans="2:2" x14ac:dyDescent="0.2">
      <c r="B65" s="849">
        <f>COVER!A13</f>
        <v>11023004026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I22" sqref="I22:S2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22" sqref="I22:S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31" zoomScale="110" zoomScaleNormal="110" workbookViewId="0">
      <selection activeCell="I22" sqref="I22:S2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Exch.Document.DC" shapeId="43009" r:id="rId4">
          <objectPr defaultSize="0" r:id="rId5">
            <anchor moveWithCells="1">
              <from>
                <xdr:col>1</xdr:col>
                <xdr:colOff>0</xdr:colOff>
                <xdr:row>2</xdr:row>
                <xdr:rowOff>0</xdr:rowOff>
              </from>
              <to>
                <xdr:col>5</xdr:col>
                <xdr:colOff>152400</xdr:colOff>
                <xdr:row>50</xdr:row>
                <xdr:rowOff>123825</xdr:rowOff>
              </to>
            </anchor>
          </objectPr>
        </oleObject>
      </mc:Choice>
      <mc:Fallback>
        <oleObject progId="AcroExch.Document.DC" shapeId="43009" r:id="rId4"/>
      </mc:Fallback>
    </mc:AlternateContent>
    <mc:AlternateContent xmlns:mc="http://schemas.openxmlformats.org/markup-compatibility/2006">
      <mc:Choice Requires="x14">
        <oleObject progId="AcroExch.Document.DC" dvAspect="DVASPECT_ICON" shapeId="43010" r:id="rId6">
          <objectPr defaultSize="0" r:id="rId7">
            <anchor moveWithCells="1">
              <from>
                <xdr:col>1</xdr:col>
                <xdr:colOff>0</xdr:colOff>
                <xdr:row>49</xdr:row>
                <xdr:rowOff>0</xdr:rowOff>
              </from>
              <to>
                <xdr:col>1</xdr:col>
                <xdr:colOff>914400</xdr:colOff>
                <xdr:row>53</xdr:row>
                <xdr:rowOff>38100</xdr:rowOff>
              </to>
            </anchor>
          </objectPr>
        </oleObject>
      </mc:Choice>
      <mc:Fallback>
        <oleObject progId="AcroExch.Document.DC"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22" sqref="I22:S2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4587339</v>
      </c>
      <c r="C8" s="1813">
        <f>'Acct Summary 7-8'!D8</f>
        <v>648310</v>
      </c>
      <c r="D8" s="1813">
        <f>'Acct Summary 7-8'!F8</f>
        <v>485342</v>
      </c>
      <c r="E8" s="1813">
        <f>'Acct Summary 7-8'!I8</f>
        <v>74342</v>
      </c>
      <c r="F8" s="1813">
        <f>SUM(B8:E8)</f>
        <v>5795333</v>
      </c>
    </row>
    <row r="9" spans="1:8" s="858" customFormat="1" ht="14.25" customHeight="1" thickBot="1" x14ac:dyDescent="0.25">
      <c r="A9" s="857" t="s">
        <v>1353</v>
      </c>
      <c r="B9" s="1814">
        <f>'Acct Summary 7-8'!C17</f>
        <v>3850359</v>
      </c>
      <c r="C9" s="1814">
        <f>'Acct Summary 7-8'!D17</f>
        <v>584132</v>
      </c>
      <c r="D9" s="1814">
        <f>'Acct Summary 7-8'!F17</f>
        <v>350100</v>
      </c>
      <c r="E9" s="1813"/>
      <c r="F9" s="1813">
        <f>SUM(B9:E9)</f>
        <v>4784591</v>
      </c>
    </row>
    <row r="10" spans="1:8" s="858" customFormat="1" ht="14.25" thickTop="1" thickBot="1" x14ac:dyDescent="0.25">
      <c r="A10" s="859" t="s">
        <v>1354</v>
      </c>
      <c r="B10" s="1815">
        <f>(B8-B9)</f>
        <v>736980</v>
      </c>
      <c r="C10" s="1815">
        <f>(C8-C9)</f>
        <v>64178</v>
      </c>
      <c r="D10" s="1815">
        <f>(D8-D9)</f>
        <v>135242</v>
      </c>
      <c r="E10" s="1814">
        <f>(E8-E9)</f>
        <v>74342</v>
      </c>
      <c r="F10" s="1816">
        <f>SUM(F8-F9)</f>
        <v>1010742</v>
      </c>
    </row>
    <row r="11" spans="1:8" s="858" customFormat="1" ht="14.25" thickTop="1" thickBot="1" x14ac:dyDescent="0.25">
      <c r="A11" s="860" t="s">
        <v>1903</v>
      </c>
      <c r="B11" s="1817">
        <f>'Acct Summary 7-8'!C81</f>
        <v>2297686</v>
      </c>
      <c r="C11" s="1817">
        <f>'Acct Summary 7-8'!D81</f>
        <v>301170</v>
      </c>
      <c r="D11" s="1817">
        <f>'Acct Summary 7-8'!F81</f>
        <v>1001651</v>
      </c>
      <c r="E11" s="1817">
        <f>'Acct Summary 7-8'!I81</f>
        <v>799800</v>
      </c>
      <c r="F11" s="1818">
        <f>SUM(B11:E11)</f>
        <v>4400307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election activeCell="I22" sqref="I2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51" firstPageNumber="32" fitToWidth="0" orientation="landscape"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11023004026</v>
      </c>
      <c r="E2" s="1542">
        <v>2020</v>
      </c>
      <c r="F2" s="1542">
        <v>1</v>
      </c>
      <c r="G2" s="1899">
        <v>101000300</v>
      </c>
    </row>
    <row r="3" spans="1:7" ht="15" x14ac:dyDescent="0.25">
      <c r="A3" t="s">
        <v>950</v>
      </c>
      <c r="B3" s="135" t="str">
        <f>COVER!A15</f>
        <v>EDGAR</v>
      </c>
      <c r="E3" s="1830" t="s">
        <v>1971</v>
      </c>
      <c r="F3" s="1830" t="s">
        <v>1970</v>
      </c>
      <c r="G3" s="1899">
        <v>101000400</v>
      </c>
    </row>
    <row r="4" spans="1:7" ht="15" x14ac:dyDescent="0.25">
      <c r="A4" t="s">
        <v>1000</v>
      </c>
      <c r="B4" s="135" t="str">
        <f>COVER!A17</f>
        <v>Paris CUSD 4</v>
      </c>
      <c r="E4" s="1828">
        <v>44119</v>
      </c>
      <c r="F4" s="1829">
        <v>44151</v>
      </c>
      <c r="G4" s="1899">
        <v>101000600</v>
      </c>
    </row>
    <row r="5" spans="1:7" ht="15" x14ac:dyDescent="0.25">
      <c r="A5" t="s">
        <v>699</v>
      </c>
      <c r="B5" s="135" t="str">
        <f>COVER!A38</f>
        <v>DANETTE YOUNG</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065-007373</v>
      </c>
      <c r="G15" s="1899">
        <v>402100400</v>
      </c>
    </row>
    <row r="16" spans="1:7" ht="15" x14ac:dyDescent="0.25">
      <c r="A16" t="s">
        <v>419</v>
      </c>
      <c r="B16" s="135" t="str">
        <f>COVER!T13</f>
        <v>JAMES D MOTLEY, CPA</v>
      </c>
      <c r="G16" s="1899">
        <v>402100600</v>
      </c>
    </row>
    <row r="17" spans="1:7" ht="15" x14ac:dyDescent="0.25">
      <c r="A17" t="s">
        <v>878</v>
      </c>
      <c r="B17" s="135" t="str">
        <f>COVER!T15</f>
        <v>JAMES D MOTLEY</v>
      </c>
      <c r="G17" s="1899">
        <v>402100800</v>
      </c>
    </row>
    <row r="18" spans="1:7" ht="15" x14ac:dyDescent="0.25">
      <c r="A18" t="s">
        <v>1140</v>
      </c>
      <c r="B18" s="135" t="str">
        <f>COVER!T17</f>
        <v>121 E WASHINGTON STREET</v>
      </c>
      <c r="G18" s="1899">
        <v>102200300</v>
      </c>
    </row>
    <row r="19" spans="1:7" ht="15" x14ac:dyDescent="0.25">
      <c r="A19" t="s">
        <v>880</v>
      </c>
      <c r="B19" s="135">
        <f>COVER!T25</f>
        <v>0</v>
      </c>
      <c r="G19" s="1899">
        <v>102200400</v>
      </c>
    </row>
    <row r="20" spans="1:7" ht="15" x14ac:dyDescent="0.25">
      <c r="A20" t="s">
        <v>881</v>
      </c>
      <c r="B20" s="135" t="str">
        <f>COVER!T19</f>
        <v>PARIS</v>
      </c>
      <c r="G20" s="1899">
        <v>102200600</v>
      </c>
    </row>
    <row r="21" spans="1:7" ht="15" x14ac:dyDescent="0.25">
      <c r="A21" t="s">
        <v>476</v>
      </c>
      <c r="B21" s="135" t="str">
        <f>COVER!X19</f>
        <v>IL</v>
      </c>
      <c r="G21" s="1899">
        <v>102200800</v>
      </c>
    </row>
    <row r="22" spans="1:7" ht="15" x14ac:dyDescent="0.25">
      <c r="A22" t="s">
        <v>882</v>
      </c>
      <c r="B22" s="135">
        <f>COVER!Z19</f>
        <v>61944</v>
      </c>
      <c r="G22" s="1899">
        <v>102300300</v>
      </c>
    </row>
    <row r="23" spans="1:7" ht="15" x14ac:dyDescent="0.25">
      <c r="A23" t="s">
        <v>1142</v>
      </c>
      <c r="B23" s="135" t="str">
        <f>COVER!T21</f>
        <v>217-465-8406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366647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2297686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2297686</v>
      </c>
      <c r="D92" s="2" t="str">
        <f t="shared" si="0"/>
        <v>Error?</v>
      </c>
      <c r="G92" s="1899">
        <v>102640600</v>
      </c>
    </row>
    <row r="93" spans="1:7" ht="15" x14ac:dyDescent="0.25">
      <c r="A93" s="5">
        <v>32</v>
      </c>
      <c r="B93" s="1832">
        <f>'Assets-Liab 5-6'!C41</f>
        <v>2297686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301170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301170</v>
      </c>
      <c r="D123" s="2" t="str">
        <f t="shared" si="0"/>
        <v>Error?</v>
      </c>
      <c r="G123" s="1899">
        <v>203000400</v>
      </c>
    </row>
    <row r="124" spans="1:7" ht="15" x14ac:dyDescent="0.25">
      <c r="A124" s="5">
        <v>63</v>
      </c>
      <c r="B124" s="1832">
        <f>'Assets-Liab 5-6'!D41</f>
        <v>301170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36598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36598</v>
      </c>
      <c r="D140" s="2" t="str">
        <f t="shared" si="1"/>
        <v>Error?</v>
      </c>
    </row>
    <row r="141" spans="1:7" x14ac:dyDescent="0.2">
      <c r="A141" s="5">
        <v>80</v>
      </c>
      <c r="B141" s="1832">
        <f>'Assets-Liab 5-6'!E41</f>
        <v>36598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1001651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1001651</v>
      </c>
      <c r="D170" s="2" t="str">
        <f t="shared" si="1"/>
        <v>Error?</v>
      </c>
    </row>
    <row r="171" spans="1:4" x14ac:dyDescent="0.2">
      <c r="A171" s="5">
        <v>110</v>
      </c>
      <c r="B171" s="1832">
        <f>'Assets-Liab 5-6'!F41</f>
        <v>1001651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135357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135357</v>
      </c>
      <c r="D189" s="2" t="str">
        <f t="shared" si="1"/>
        <v>Error?</v>
      </c>
    </row>
    <row r="190" spans="1:4" x14ac:dyDescent="0.2">
      <c r="A190" s="5">
        <v>129</v>
      </c>
      <c r="B190" s="1832">
        <f>'Assets-Liab 5-6'!G41</f>
        <v>135357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67400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378534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378534</v>
      </c>
      <c r="D212" s="2" t="str">
        <f t="shared" si="2"/>
        <v>Error?</v>
      </c>
    </row>
    <row r="213" spans="1:4" x14ac:dyDescent="0.2">
      <c r="A213" s="12">
        <v>152</v>
      </c>
      <c r="B213" s="1832">
        <f>'Assets-Liab 5-6'!H41</f>
        <v>378534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110000</v>
      </c>
      <c r="D273" s="2" t="str">
        <f t="shared" si="3"/>
        <v>Error?</v>
      </c>
    </row>
    <row r="274" spans="1:4" x14ac:dyDescent="0.2">
      <c r="A274" s="5">
        <v>213</v>
      </c>
      <c r="B274" s="1832">
        <f>'Assets-Liab 5-6'!M17</f>
        <v>10306785</v>
      </c>
      <c r="D274" s="2" t="str">
        <f t="shared" si="3"/>
        <v>Error?</v>
      </c>
    </row>
    <row r="275" spans="1:4" x14ac:dyDescent="0.2">
      <c r="A275" s="5">
        <v>214</v>
      </c>
      <c r="B275" s="1832">
        <f>'Assets-Liab 5-6'!M18</f>
        <v>290331</v>
      </c>
      <c r="D275" s="2" t="str">
        <f t="shared" si="3"/>
        <v>Error?</v>
      </c>
    </row>
    <row r="276" spans="1:4" x14ac:dyDescent="0.2">
      <c r="A276" s="5">
        <v>215</v>
      </c>
      <c r="B276" s="1832">
        <f>'Assets-Liab 5-6'!M19</f>
        <v>1482813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12189929</v>
      </c>
      <c r="C279" s="2" t="s">
        <v>569</v>
      </c>
      <c r="D279" s="2" t="str">
        <f t="shared" si="3"/>
        <v>Error?</v>
      </c>
    </row>
    <row r="280" spans="1:4" x14ac:dyDescent="0.2">
      <c r="A280" s="5">
        <v>219</v>
      </c>
      <c r="B280" s="1832">
        <f>'Assets-Liab 5-6'!M40</f>
        <v>12189929</v>
      </c>
      <c r="D280" s="2" t="str">
        <f t="shared" si="3"/>
        <v>Error?</v>
      </c>
    </row>
    <row r="281" spans="1:4" x14ac:dyDescent="0.2">
      <c r="A281" s="5">
        <v>220</v>
      </c>
      <c r="B281" s="1832">
        <f>'Assets-Liab 5-6'!M41</f>
        <v>12189929</v>
      </c>
      <c r="C281" s="2" t="s">
        <v>569</v>
      </c>
      <c r="D281" s="2" t="str">
        <f t="shared" si="3"/>
        <v>Error?</v>
      </c>
    </row>
    <row r="282" spans="1:4" x14ac:dyDescent="0.2">
      <c r="A282" s="5">
        <v>221</v>
      </c>
      <c r="B282" s="1832">
        <f>'Assets-Liab 5-6'!N21</f>
        <v>36598</v>
      </c>
      <c r="D282" s="2" t="str">
        <f t="shared" si="3"/>
        <v>Error?</v>
      </c>
    </row>
    <row r="283" spans="1:4" x14ac:dyDescent="0.2">
      <c r="A283" s="5">
        <v>222</v>
      </c>
      <c r="B283" s="1832">
        <f>'Assets-Liab 5-6'!N22</f>
        <v>4968402</v>
      </c>
      <c r="D283" s="2" t="str">
        <f t="shared" si="3"/>
        <v>Error?</v>
      </c>
    </row>
    <row r="284" spans="1:4" x14ac:dyDescent="0.2">
      <c r="A284" s="5">
        <v>223</v>
      </c>
      <c r="B284" s="1832">
        <f>'Assets-Liab 5-6'!N23</f>
        <v>5005000</v>
      </c>
      <c r="C284" s="2" t="s">
        <v>569</v>
      </c>
      <c r="D284" s="2" t="str">
        <f t="shared" si="3"/>
        <v>Error?</v>
      </c>
    </row>
    <row r="285" spans="1:4" x14ac:dyDescent="0.2">
      <c r="A285" s="5">
        <v>224</v>
      </c>
      <c r="B285" s="1832">
        <f>'Assets-Liab 5-6'!N36</f>
        <v>5005000</v>
      </c>
      <c r="D285" s="2" t="str">
        <f t="shared" si="3"/>
        <v>Error?</v>
      </c>
    </row>
    <row r="286" spans="1:4" x14ac:dyDescent="0.2">
      <c r="A286" s="10">
        <v>225</v>
      </c>
      <c r="B286" s="1832"/>
      <c r="D286" s="2" t="str">
        <f t="shared" si="3"/>
        <v>OK</v>
      </c>
    </row>
    <row r="287" spans="1:4" x14ac:dyDescent="0.2">
      <c r="A287" s="5">
        <v>226</v>
      </c>
      <c r="B287" s="1832">
        <f>'Assets-Liab 5-6'!N37</f>
        <v>5005000</v>
      </c>
      <c r="C287" s="2" t="s">
        <v>569</v>
      </c>
      <c r="D287" s="2" t="str">
        <f t="shared" si="3"/>
        <v>Error?</v>
      </c>
    </row>
    <row r="288" spans="1:4" x14ac:dyDescent="0.2">
      <c r="A288" s="5">
        <v>227</v>
      </c>
      <c r="B288" s="1832">
        <f>'Assets-Liab 5-6'!N41</f>
        <v>5005000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1159764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40348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1481803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71228</v>
      </c>
      <c r="D722" s="2" t="str">
        <f t="shared" si="10"/>
        <v>Error?</v>
      </c>
    </row>
    <row r="723" spans="1:4" x14ac:dyDescent="0.2">
      <c r="A723" s="5">
        <v>662</v>
      </c>
      <c r="B723" s="1832">
        <f>'Expenditures 15-22'!C38</f>
        <v>40397</v>
      </c>
      <c r="D723" s="2" t="str">
        <f t="shared" si="10"/>
        <v>Error?</v>
      </c>
    </row>
    <row r="724" spans="1:4" x14ac:dyDescent="0.2">
      <c r="A724" s="5">
        <v>663</v>
      </c>
      <c r="B724" s="1832">
        <f>'Expenditures 15-22'!C39</f>
        <v>13754</v>
      </c>
      <c r="D724" s="2" t="str">
        <f t="shared" si="10"/>
        <v>Error?</v>
      </c>
    </row>
    <row r="725" spans="1:4" x14ac:dyDescent="0.2">
      <c r="A725" s="5">
        <v>664</v>
      </c>
      <c r="B725" s="1832">
        <f>'Expenditures 15-22'!C40</f>
        <v>44902</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170281</v>
      </c>
      <c r="C727" s="2" t="s">
        <v>569</v>
      </c>
      <c r="D727" s="2" t="str">
        <f t="shared" si="10"/>
        <v>Error?</v>
      </c>
    </row>
    <row r="728" spans="1:4" x14ac:dyDescent="0.2">
      <c r="A728" s="5">
        <v>667</v>
      </c>
      <c r="B728" s="1832">
        <f>'Expenditures 15-22'!C44</f>
        <v>2340</v>
      </c>
      <c r="D728" s="2" t="str">
        <f t="shared" si="10"/>
        <v>Error?</v>
      </c>
    </row>
    <row r="729" spans="1:4" x14ac:dyDescent="0.2">
      <c r="A729" s="5">
        <v>668</v>
      </c>
      <c r="B729" s="1832">
        <f>'Expenditures 15-22'!C45</f>
        <v>35176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37516</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118008</v>
      </c>
      <c r="D733" s="2" t="str">
        <f t="shared" si="10"/>
        <v>Error?</v>
      </c>
    </row>
    <row r="734" spans="1:4" x14ac:dyDescent="0.2">
      <c r="A734" s="5">
        <v>673</v>
      </c>
      <c r="B734" s="1832">
        <f>'Expenditures 15-22'!C53</f>
        <v>118008</v>
      </c>
      <c r="C734" s="2" t="s">
        <v>569</v>
      </c>
      <c r="D734" s="2" t="str">
        <f t="shared" si="10"/>
        <v>Error?</v>
      </c>
    </row>
    <row r="735" spans="1:4" x14ac:dyDescent="0.2">
      <c r="A735" s="5">
        <v>674</v>
      </c>
      <c r="B735" s="1832">
        <f>'Expenditures 15-22'!C55</f>
        <v>73224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73224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22157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41345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63502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462531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1944334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307999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794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404052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22558</v>
      </c>
      <c r="D780" s="2" t="str">
        <f t="shared" si="11"/>
        <v>Error?</v>
      </c>
    </row>
    <row r="781" spans="1:4" x14ac:dyDescent="0.2">
      <c r="A781" s="5">
        <v>720</v>
      </c>
      <c r="B781" s="1832">
        <f>'Expenditures 15-22'!D38</f>
        <v>6422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12660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41640</v>
      </c>
      <c r="C785" s="2" t="s">
        <v>569</v>
      </c>
      <c r="D785" s="2" t="str">
        <f t="shared" si="11"/>
        <v>Error?</v>
      </c>
    </row>
    <row r="786" spans="1:4" x14ac:dyDescent="0.2">
      <c r="A786" s="5">
        <v>725</v>
      </c>
      <c r="B786" s="1832">
        <f>'Expenditures 15-22'!D44</f>
        <v>79</v>
      </c>
      <c r="D786" s="2" t="str">
        <f t="shared" si="11"/>
        <v>Error?</v>
      </c>
    </row>
    <row r="787" spans="1:4" x14ac:dyDescent="0.2">
      <c r="A787" s="5">
        <v>726</v>
      </c>
      <c r="B787" s="1832">
        <f>'Expenditures 15-22'!D45</f>
        <v>7094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7173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18214</v>
      </c>
      <c r="D791" s="2" t="str">
        <f t="shared" si="11"/>
        <v>Error?</v>
      </c>
    </row>
    <row r="792" spans="1:4" x14ac:dyDescent="0.2">
      <c r="A792" s="5">
        <v>731</v>
      </c>
      <c r="B792" s="1832">
        <f>'Expenditures 15-22'!D53</f>
        <v>18214</v>
      </c>
      <c r="C792" s="2" t="s">
        <v>569</v>
      </c>
      <c r="D792" s="2" t="str">
        <f t="shared" si="11"/>
        <v>Error?</v>
      </c>
    </row>
    <row r="793" spans="1:4" x14ac:dyDescent="0.2">
      <c r="A793" s="5">
        <v>732</v>
      </c>
      <c r="B793" s="1832">
        <f>'Expenditures 15-22'!D55</f>
        <v>12254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12254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3575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17515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21090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100371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504423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56348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6592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65441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412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412</v>
      </c>
      <c r="C843" s="2" t="s">
        <v>569</v>
      </c>
      <c r="D843" s="2" t="str">
        <f t="shared" si="12"/>
        <v>Error?</v>
      </c>
    </row>
    <row r="844" spans="1:4" x14ac:dyDescent="0.2">
      <c r="A844" s="5">
        <v>783</v>
      </c>
      <c r="B844" s="1832">
        <f>'Expenditures 15-22'!E44</f>
        <v>4090</v>
      </c>
      <c r="D844" s="2" t="str">
        <f t="shared" si="12"/>
        <v>Error?</v>
      </c>
    </row>
    <row r="845" spans="1:4" x14ac:dyDescent="0.2">
      <c r="A845" s="5">
        <v>784</v>
      </c>
      <c r="B845" s="1832">
        <f>'Expenditures 15-22'!E45</f>
        <v>845</v>
      </c>
      <c r="D845" s="2" t="str">
        <f t="shared" si="12"/>
        <v>Error?</v>
      </c>
    </row>
    <row r="846" spans="1:4" x14ac:dyDescent="0.2">
      <c r="A846" s="5">
        <v>785</v>
      </c>
      <c r="B846" s="1832">
        <f>'Expenditures 15-22'!E46</f>
        <v>6732</v>
      </c>
      <c r="D846" s="2" t="str">
        <f t="shared" si="12"/>
        <v>Error?</v>
      </c>
    </row>
    <row r="847" spans="1:4" x14ac:dyDescent="0.2">
      <c r="A847" s="5">
        <v>786</v>
      </c>
      <c r="B847" s="1832">
        <f>'Expenditures 15-22'!E47</f>
        <v>11667</v>
      </c>
      <c r="C847" s="2" t="s">
        <v>569</v>
      </c>
      <c r="D847" s="2" t="str">
        <f t="shared" si="12"/>
        <v>Error?</v>
      </c>
    </row>
    <row r="848" spans="1:4" x14ac:dyDescent="0.2">
      <c r="A848" s="5">
        <v>787</v>
      </c>
      <c r="B848" s="1832">
        <f>'Expenditures 15-22'!E49</f>
        <v>22491</v>
      </c>
      <c r="D848" s="2" t="str">
        <f t="shared" si="12"/>
        <v>Error?</v>
      </c>
    </row>
    <row r="849" spans="1:4" x14ac:dyDescent="0.2">
      <c r="A849" s="5">
        <v>788</v>
      </c>
      <c r="B849" s="1832">
        <f>'Expenditures 15-22'!E50</f>
        <v>14227</v>
      </c>
      <c r="D849" s="2" t="str">
        <f t="shared" si="12"/>
        <v>Error?</v>
      </c>
    </row>
    <row r="850" spans="1:4" x14ac:dyDescent="0.2">
      <c r="A850" s="5">
        <v>789</v>
      </c>
      <c r="B850" s="1832">
        <f>'Expenditures 15-22'!E53</f>
        <v>36718</v>
      </c>
      <c r="C850" s="2" t="s">
        <v>569</v>
      </c>
      <c r="D850" s="2" t="str">
        <f t="shared" si="12"/>
        <v>Error?</v>
      </c>
    </row>
    <row r="851" spans="1:4" x14ac:dyDescent="0.2">
      <c r="A851" s="5">
        <v>790</v>
      </c>
      <c r="B851" s="1832">
        <f>'Expenditures 15-22'!E55</f>
        <v>2104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2104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1311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1311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52212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1205667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36133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8081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48855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3534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3534</v>
      </c>
      <c r="C905" s="2" t="s">
        <v>569</v>
      </c>
      <c r="D905" s="2" t="str">
        <f t="shared" si="13"/>
        <v>Error?</v>
      </c>
    </row>
    <row r="906" spans="1:4" x14ac:dyDescent="0.2">
      <c r="A906" s="5">
        <v>845</v>
      </c>
      <c r="B906" s="1832">
        <f>'Expenditures 15-22'!F49</f>
        <v>363</v>
      </c>
      <c r="D906" s="2" t="str">
        <f t="shared" si="13"/>
        <v>Error?</v>
      </c>
    </row>
    <row r="907" spans="1:4" x14ac:dyDescent="0.2">
      <c r="A907" s="5">
        <v>846</v>
      </c>
      <c r="B907" s="1832">
        <f>'Expenditures 15-22'!F50</f>
        <v>5035</v>
      </c>
      <c r="D907" s="2" t="str">
        <f t="shared" si="13"/>
        <v>Error?</v>
      </c>
    </row>
    <row r="908" spans="1:4" x14ac:dyDescent="0.2">
      <c r="A908" s="5">
        <v>847</v>
      </c>
      <c r="B908" s="1832">
        <f>'Expenditures 15-22'!F53</f>
        <v>5398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48777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48777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249</v>
      </c>
      <c r="D928" s="2" t="str">
        <f t="shared" si="13"/>
        <v>Error?</v>
      </c>
    </row>
    <row r="929" spans="1:4" x14ac:dyDescent="0.2">
      <c r="A929" s="5">
        <v>868</v>
      </c>
      <c r="B929" s="1832">
        <f>'Expenditures 15-22'!F74</f>
        <v>57958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106813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71449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84051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1591</v>
      </c>
      <c r="D965" s="2" t="str">
        <f t="shared" si="14"/>
        <v>Error?</v>
      </c>
    </row>
    <row r="966" spans="1:4" x14ac:dyDescent="0.2">
      <c r="A966" s="5">
        <v>905</v>
      </c>
      <c r="B966" s="1832">
        <f>'Expenditures 15-22'!G53</f>
        <v>1591</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1591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85642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796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796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2684</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2684</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2684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3480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1631693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56611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2084998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93786</v>
      </c>
      <c r="C1110" s="2" t="s">
        <v>569</v>
      </c>
      <c r="D1110" s="2" t="str">
        <f t="shared" si="16"/>
        <v>Error?</v>
      </c>
    </row>
    <row r="1111" spans="1:4" x14ac:dyDescent="0.2">
      <c r="A1111" s="5">
        <v>1050</v>
      </c>
      <c r="B1111" s="1832">
        <f>'Expenditures 15-22'!K38</f>
        <v>46819</v>
      </c>
      <c r="C1111" s="2" t="s">
        <v>569</v>
      </c>
      <c r="D1111" s="2" t="str">
        <f t="shared" si="16"/>
        <v>Error?</v>
      </c>
    </row>
    <row r="1112" spans="1:4" x14ac:dyDescent="0.2">
      <c r="A1112" s="5">
        <v>1051</v>
      </c>
      <c r="B1112" s="1832">
        <f>'Expenditures 15-22'!K39</f>
        <v>13754</v>
      </c>
      <c r="C1112" s="2" t="s">
        <v>569</v>
      </c>
      <c r="D1112" s="2" t="str">
        <f t="shared" si="16"/>
        <v>Error?</v>
      </c>
    </row>
    <row r="1113" spans="1:4" x14ac:dyDescent="0.2">
      <c r="A1113" s="5">
        <v>1052</v>
      </c>
      <c r="B1113" s="1832">
        <f>'Expenditures 15-22'!K40</f>
        <v>57974</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212333</v>
      </c>
      <c r="C1115" s="2" t="s">
        <v>569</v>
      </c>
      <c r="D1115" s="2" t="str">
        <f t="shared" si="16"/>
        <v>Error?</v>
      </c>
    </row>
    <row r="1116" spans="1:4" x14ac:dyDescent="0.2">
      <c r="A1116" s="5">
        <v>1055</v>
      </c>
      <c r="B1116" s="1832">
        <f>'Expenditures 15-22'!K44</f>
        <v>6509</v>
      </c>
      <c r="C1116" s="2" t="s">
        <v>569</v>
      </c>
      <c r="D1116" s="2" t="str">
        <f t="shared" si="16"/>
        <v>Error?</v>
      </c>
    </row>
    <row r="1117" spans="1:4" x14ac:dyDescent="0.2">
      <c r="A1117" s="5">
        <v>1056</v>
      </c>
      <c r="B1117" s="1832">
        <f>'Expenditures 15-22'!K45</f>
        <v>46649</v>
      </c>
      <c r="C1117" s="2" t="s">
        <v>569</v>
      </c>
      <c r="D1117" s="2" t="str">
        <f t="shared" si="16"/>
        <v>Error?</v>
      </c>
    </row>
    <row r="1118" spans="1:4" x14ac:dyDescent="0.2">
      <c r="A1118" s="5">
        <v>1057</v>
      </c>
      <c r="B1118" s="1832">
        <f>'Expenditures 15-22'!K46</f>
        <v>6732</v>
      </c>
      <c r="C1118" s="2" t="s">
        <v>569</v>
      </c>
      <c r="D1118" s="2" t="str">
        <f t="shared" si="16"/>
        <v>Error?</v>
      </c>
    </row>
    <row r="1119" spans="1:4" x14ac:dyDescent="0.2">
      <c r="A1119" s="5">
        <v>1058</v>
      </c>
      <c r="B1119" s="1832">
        <f>'Expenditures 15-22'!K47</f>
        <v>59890</v>
      </c>
      <c r="C1119" s="2" t="s">
        <v>569</v>
      </c>
      <c r="D1119" s="2" t="str">
        <f t="shared" si="16"/>
        <v>Error?</v>
      </c>
    </row>
    <row r="1120" spans="1:4" x14ac:dyDescent="0.2">
      <c r="A1120" s="5">
        <v>1059</v>
      </c>
      <c r="B1120" s="1832">
        <f>'Expenditures 15-22'!K49</f>
        <v>25538</v>
      </c>
      <c r="C1120" s="2" t="s">
        <v>569</v>
      </c>
      <c r="D1120" s="2" t="str">
        <f t="shared" si="16"/>
        <v>Error?</v>
      </c>
    </row>
    <row r="1121" spans="1:4" x14ac:dyDescent="0.2">
      <c r="A1121" s="5">
        <v>1060</v>
      </c>
      <c r="B1121" s="1832">
        <f>'Expenditures 15-22'!K50</f>
        <v>157075</v>
      </c>
      <c r="C1121" s="2" t="s">
        <v>569</v>
      </c>
      <c r="D1121" s="2" t="str">
        <f t="shared" si="16"/>
        <v>Error?</v>
      </c>
    </row>
    <row r="1122" spans="1:4" x14ac:dyDescent="0.2">
      <c r="A1122" s="5">
        <v>1061</v>
      </c>
      <c r="B1122" s="1832">
        <f>'Expenditures 15-22'!K53</f>
        <v>182613</v>
      </c>
      <c r="C1122" s="2" t="s">
        <v>569</v>
      </c>
      <c r="D1122" s="2" t="str">
        <f t="shared" si="16"/>
        <v>Error?</v>
      </c>
    </row>
    <row r="1123" spans="1:4" x14ac:dyDescent="0.2">
      <c r="A1123" s="5">
        <v>1062</v>
      </c>
      <c r="B1123" s="1832">
        <f>'Expenditures 15-22'!K55</f>
        <v>87582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87582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25732</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108948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134680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249</v>
      </c>
      <c r="C1142" s="2" t="s">
        <v>569</v>
      </c>
      <c r="D1142" s="2" t="str">
        <f t="shared" si="16"/>
        <v>Error?</v>
      </c>
    </row>
    <row r="1143" spans="1:4" x14ac:dyDescent="0.2">
      <c r="A1143" s="5">
        <v>1082</v>
      </c>
      <c r="B1143" s="1832">
        <f>'Expenditures 15-22'!K74</f>
        <v>677347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1088014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3850359</v>
      </c>
      <c r="C1152" s="2" t="s">
        <v>569</v>
      </c>
      <c r="D1152" s="2" t="str">
        <f t="shared" si="17"/>
        <v>Error?</v>
      </c>
    </row>
    <row r="1153" spans="1:4" x14ac:dyDescent="0.2">
      <c r="A1153" s="5">
        <v>1092</v>
      </c>
      <c r="B1153" s="1832">
        <f>'Expenditures 15-22'!K115</f>
        <v>736980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143457</v>
      </c>
      <c r="D1221" s="2" t="str">
        <f t="shared" si="18"/>
        <v>Error?</v>
      </c>
    </row>
    <row r="1222" spans="1:4" x14ac:dyDescent="0.2">
      <c r="A1222" s="10">
        <v>1161</v>
      </c>
      <c r="B1222" s="1832"/>
      <c r="D1222" s="2" t="str">
        <f t="shared" si="18"/>
        <v>OK</v>
      </c>
    </row>
    <row r="1223" spans="1:4" x14ac:dyDescent="0.2">
      <c r="A1223" s="5">
        <v>1162</v>
      </c>
      <c r="B1223" s="1832">
        <f>'Expenditures 15-22'!C127</f>
        <v>143457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143457</v>
      </c>
      <c r="C1225" s="2" t="s">
        <v>569</v>
      </c>
      <c r="D1225" s="2" t="str">
        <f t="shared" si="18"/>
        <v>Error?</v>
      </c>
    </row>
    <row r="1226" spans="1:4" x14ac:dyDescent="0.2">
      <c r="A1226" s="5">
        <v>1165</v>
      </c>
      <c r="B1226" s="1832">
        <f>'Expenditures 15-22'!C151</f>
        <v>143457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24414</v>
      </c>
      <c r="D1229" s="2" t="str">
        <f t="shared" si="18"/>
        <v>Error?</v>
      </c>
    </row>
    <row r="1230" spans="1:4" x14ac:dyDescent="0.2">
      <c r="A1230" s="10">
        <v>1169</v>
      </c>
      <c r="B1230" s="1832"/>
      <c r="D1230" s="2" t="str">
        <f t="shared" si="18"/>
        <v>OK</v>
      </c>
    </row>
    <row r="1231" spans="1:4" x14ac:dyDescent="0.2">
      <c r="A1231" s="5">
        <v>1170</v>
      </c>
      <c r="B1231" s="1832">
        <f>'Expenditures 15-22'!D127</f>
        <v>24414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24414</v>
      </c>
      <c r="C1233" s="2" t="s">
        <v>569</v>
      </c>
      <c r="D1233" s="2" t="str">
        <f t="shared" si="18"/>
        <v>Error?</v>
      </c>
    </row>
    <row r="1234" spans="1:4" x14ac:dyDescent="0.2">
      <c r="A1234" s="5">
        <v>1173</v>
      </c>
      <c r="B1234" s="1832">
        <f>'Expenditures 15-22'!D151</f>
        <v>24414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48913</v>
      </c>
      <c r="D1237" s="2" t="str">
        <f t="shared" si="18"/>
        <v>Error?</v>
      </c>
    </row>
    <row r="1238" spans="1:4" x14ac:dyDescent="0.2">
      <c r="A1238" s="10">
        <v>1177</v>
      </c>
      <c r="B1238" s="1832"/>
      <c r="D1238" s="2" t="str">
        <f t="shared" si="18"/>
        <v>OK</v>
      </c>
    </row>
    <row r="1239" spans="1:4" x14ac:dyDescent="0.2">
      <c r="A1239" s="5">
        <v>1178</v>
      </c>
      <c r="B1239" s="1832">
        <f>'Expenditures 15-22'!E127</f>
        <v>48913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48913</v>
      </c>
      <c r="C1241" s="2" t="s">
        <v>569</v>
      </c>
      <c r="D1241" s="2" t="str">
        <f t="shared" si="18"/>
        <v>Error?</v>
      </c>
    </row>
    <row r="1242" spans="1:4" x14ac:dyDescent="0.2">
      <c r="A1242" s="5">
        <v>1181</v>
      </c>
      <c r="B1242" s="1832">
        <f>'Expenditures 15-22'!E151</f>
        <v>304189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99644</v>
      </c>
      <c r="D1245" s="2" t="str">
        <f t="shared" si="18"/>
        <v>Error?</v>
      </c>
    </row>
    <row r="1246" spans="1:4" x14ac:dyDescent="0.2">
      <c r="A1246" s="10">
        <v>1185</v>
      </c>
      <c r="B1246" s="1832"/>
      <c r="D1246" s="2" t="str">
        <f t="shared" si="18"/>
        <v>OK</v>
      </c>
    </row>
    <row r="1247" spans="1:4" x14ac:dyDescent="0.2">
      <c r="A1247" s="5">
        <v>1186</v>
      </c>
      <c r="B1247" s="1832">
        <f>'Expenditures 15-22'!F127</f>
        <v>99644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99644</v>
      </c>
      <c r="C1249" s="2" t="s">
        <v>569</v>
      </c>
      <c r="D1249" s="2" t="str">
        <f t="shared" si="18"/>
        <v>Error?</v>
      </c>
    </row>
    <row r="1250" spans="1:4" x14ac:dyDescent="0.2">
      <c r="A1250" s="5">
        <v>1189</v>
      </c>
      <c r="B1250" s="1832">
        <f>'Expenditures 15-22'!F151</f>
        <v>99644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12428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12428</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12428</v>
      </c>
      <c r="C1258" s="2" t="s">
        <v>569</v>
      </c>
      <c r="D1258" s="2" t="str">
        <f t="shared" si="18"/>
        <v>Error?</v>
      </c>
    </row>
    <row r="1259" spans="1:4" x14ac:dyDescent="0.2">
      <c r="A1259" s="5">
        <v>1198</v>
      </c>
      <c r="B1259" s="1832">
        <f>'Expenditures 15-22'!G151</f>
        <v>12428</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328856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328856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328856</v>
      </c>
      <c r="C1281" s="2" t="s">
        <v>569</v>
      </c>
      <c r="D1281" s="2" t="str">
        <f t="shared" si="19"/>
        <v>Error?</v>
      </c>
    </row>
    <row r="1282" spans="1:4" x14ac:dyDescent="0.2">
      <c r="A1282" s="5">
        <v>1221</v>
      </c>
      <c r="B1282" s="1832">
        <f>'Expenditures 15-22'!K139</f>
        <v>255276</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584132</v>
      </c>
      <c r="C1288" s="2" t="s">
        <v>569</v>
      </c>
      <c r="D1288" s="2" t="str">
        <f t="shared" si="19"/>
        <v>Error?</v>
      </c>
    </row>
    <row r="1289" spans="1:4" x14ac:dyDescent="0.2">
      <c r="A1289" s="5">
        <v>1228</v>
      </c>
      <c r="B1289" s="1832">
        <f>'Expenditures 15-22'!K152</f>
        <v>64178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1000</v>
      </c>
      <c r="D1307" s="2" t="str">
        <f t="shared" si="19"/>
        <v>Error?</v>
      </c>
    </row>
    <row r="1308" spans="1:4" x14ac:dyDescent="0.2">
      <c r="A1308" s="5">
        <v>1247</v>
      </c>
      <c r="B1308" s="1832">
        <f>'Expenditures 15-22'!E172</f>
        <v>1000</v>
      </c>
      <c r="C1308" s="2" t="s">
        <v>569</v>
      </c>
      <c r="D1308" s="2" t="str">
        <f t="shared" si="19"/>
        <v>Error?</v>
      </c>
    </row>
    <row r="1309" spans="1:4" x14ac:dyDescent="0.2">
      <c r="A1309" s="5">
        <v>1248</v>
      </c>
      <c r="B1309" s="1832">
        <f>'Expenditures 15-22'!E174</f>
        <v>1000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180259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340000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520259</v>
      </c>
      <c r="C1317" s="2" t="s">
        <v>569</v>
      </c>
      <c r="D1317" s="2" t="str">
        <f t="shared" si="19"/>
        <v>Error?</v>
      </c>
    </row>
    <row r="1318" spans="1:4" x14ac:dyDescent="0.2">
      <c r="A1318" s="5">
        <v>1257</v>
      </c>
      <c r="B1318" s="1832">
        <f>'Expenditures 15-22'!H174</f>
        <v>520259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180259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340000</v>
      </c>
      <c r="C1329" s="2" t="s">
        <v>569</v>
      </c>
      <c r="D1329" s="2" t="str">
        <f t="shared" si="19"/>
        <v>Error?</v>
      </c>
    </row>
    <row r="1330" spans="1:4" x14ac:dyDescent="0.2">
      <c r="A1330" s="5">
        <v>1269</v>
      </c>
      <c r="B1330" s="1832">
        <f>'Expenditures 15-22'!K171</f>
        <v>1000</v>
      </c>
      <c r="C1330" s="2" t="s">
        <v>569</v>
      </c>
      <c r="D1330" s="2" t="str">
        <f t="shared" si="19"/>
        <v>Error?</v>
      </c>
    </row>
    <row r="1331" spans="1:4" x14ac:dyDescent="0.2">
      <c r="A1331" s="5">
        <v>1270</v>
      </c>
      <c r="B1331" s="1832">
        <f>'Expenditures 15-22'!K172</f>
        <v>521259</v>
      </c>
      <c r="C1331" s="2" t="s">
        <v>569</v>
      </c>
      <c r="D1331" s="2" t="str">
        <f t="shared" si="19"/>
        <v>Error?</v>
      </c>
    </row>
    <row r="1332" spans="1:4" x14ac:dyDescent="0.2">
      <c r="A1332" s="5">
        <v>1271</v>
      </c>
      <c r="B1332" s="1832">
        <f>'Expenditures 15-22'!K174</f>
        <v>521259</v>
      </c>
      <c r="C1332" s="2" t="s">
        <v>569</v>
      </c>
      <c r="D1332" s="2" t="str">
        <f t="shared" si="19"/>
        <v>Error?</v>
      </c>
    </row>
    <row r="1333" spans="1:4" x14ac:dyDescent="0.2">
      <c r="A1333" s="5">
        <v>1272</v>
      </c>
      <c r="B1333" s="1832">
        <f>'Expenditures 15-22'!K175</f>
        <v>5099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6900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6900</v>
      </c>
      <c r="C1339" s="2" t="s">
        <v>569</v>
      </c>
      <c r="D1339" s="2" t="str">
        <f t="shared" si="19"/>
        <v>Error?</v>
      </c>
    </row>
    <row r="1340" spans="1:4" x14ac:dyDescent="0.2">
      <c r="A1340" s="5">
        <v>1279</v>
      </c>
      <c r="B1340" s="1832">
        <f>'Expenditures 15-22'!C210</f>
        <v>6900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275884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275884</v>
      </c>
      <c r="C1351" s="2" t="s">
        <v>569</v>
      </c>
      <c r="D1351" s="2" t="str">
        <f t="shared" si="20"/>
        <v>Error?</v>
      </c>
    </row>
    <row r="1352" spans="1:4" x14ac:dyDescent="0.2">
      <c r="A1352" s="5">
        <v>1291</v>
      </c>
      <c r="B1352" s="1832">
        <f>'Expenditures 15-22'!E196</f>
        <v>33360</v>
      </c>
      <c r="C1352" s="2" t="s">
        <v>569</v>
      </c>
      <c r="D1352" s="2" t="str">
        <f t="shared" si="20"/>
        <v>Error?</v>
      </c>
    </row>
    <row r="1353" spans="1:4" x14ac:dyDescent="0.2">
      <c r="A1353" s="5">
        <v>1292</v>
      </c>
      <c r="B1353" s="1832">
        <f>'Expenditures 15-22'!E210</f>
        <v>309244</v>
      </c>
      <c r="C1353" s="2" t="s">
        <v>569</v>
      </c>
      <c r="D1353" s="2" t="str">
        <f t="shared" si="20"/>
        <v>Error?</v>
      </c>
    </row>
    <row r="1354" spans="1:4" x14ac:dyDescent="0.2">
      <c r="A1354" s="5">
        <v>1293</v>
      </c>
      <c r="B1354" s="1832">
        <f>'Expenditures 15-22'!F182</f>
        <v>33956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33956</v>
      </c>
      <c r="C1358" s="2" t="s">
        <v>569</v>
      </c>
      <c r="D1358" s="2" t="str">
        <f t="shared" si="20"/>
        <v>Error?</v>
      </c>
    </row>
    <row r="1359" spans="1:4" x14ac:dyDescent="0.2">
      <c r="A1359" s="5">
        <v>1298</v>
      </c>
      <c r="B1359" s="1832">
        <f>'Expenditures 15-22'!F210</f>
        <v>33956</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316740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316740</v>
      </c>
      <c r="C1381" s="2" t="s">
        <v>569</v>
      </c>
      <c r="D1381" s="2" t="str">
        <f t="shared" si="20"/>
        <v>Error?</v>
      </c>
    </row>
    <row r="1382" spans="1:4" x14ac:dyDescent="0.2">
      <c r="A1382" s="5">
        <v>1321</v>
      </c>
      <c r="B1382" s="1832">
        <f>'Expenditures 15-22'!K196</f>
        <v>33360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350100</v>
      </c>
      <c r="C1388" s="2" t="s">
        <v>569</v>
      </c>
      <c r="D1388" s="2" t="str">
        <f t="shared" si="20"/>
        <v>Error?</v>
      </c>
    </row>
    <row r="1389" spans="1:4" x14ac:dyDescent="0.2">
      <c r="A1389" s="5">
        <v>1328</v>
      </c>
      <c r="B1389" s="1832">
        <f>'Expenditures 15-22'!K211</f>
        <v>135242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1974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36554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995</v>
      </c>
      <c r="D1412" s="2" t="str">
        <f t="shared" si="21"/>
        <v>Error?</v>
      </c>
    </row>
    <row r="1413" spans="1:4" x14ac:dyDescent="0.2">
      <c r="A1413" s="5">
        <v>1352</v>
      </c>
      <c r="B1413" s="1832">
        <f>'Expenditures 15-22'!D234</f>
        <v>6056</v>
      </c>
      <c r="D1413" s="2" t="str">
        <f t="shared" si="21"/>
        <v>Error?</v>
      </c>
    </row>
    <row r="1414" spans="1:4" x14ac:dyDescent="0.2">
      <c r="A1414" s="5">
        <v>1353</v>
      </c>
      <c r="B1414" s="1832">
        <f>'Expenditures 15-22'!D235</f>
        <v>199</v>
      </c>
      <c r="D1414" s="2" t="str">
        <f t="shared" si="21"/>
        <v>Error?</v>
      </c>
    </row>
    <row r="1415" spans="1:4" x14ac:dyDescent="0.2">
      <c r="A1415" s="5">
        <v>1354</v>
      </c>
      <c r="B1415" s="1832">
        <f>'Expenditures 15-22'!D236</f>
        <v>613</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7863</v>
      </c>
      <c r="C1417" s="2" t="s">
        <v>569</v>
      </c>
      <c r="D1417" s="2" t="str">
        <f t="shared" si="21"/>
        <v>Error?</v>
      </c>
    </row>
    <row r="1418" spans="1:4" x14ac:dyDescent="0.2">
      <c r="A1418" s="5">
        <v>1357</v>
      </c>
      <c r="B1418" s="1832">
        <f>'Expenditures 15-22'!D240</f>
        <v>27</v>
      </c>
      <c r="D1418" s="2" t="str">
        <f t="shared" si="21"/>
        <v>Error?</v>
      </c>
    </row>
    <row r="1419" spans="1:4" x14ac:dyDescent="0.2">
      <c r="A1419" s="5">
        <v>1358</v>
      </c>
      <c r="B1419" s="1832">
        <f>'Expenditures 15-22'!D241</f>
        <v>3444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3471</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6560</v>
      </c>
      <c r="D1423" s="2" t="str">
        <f t="shared" si="21"/>
        <v>Error?</v>
      </c>
    </row>
    <row r="1424" spans="1:4" x14ac:dyDescent="0.2">
      <c r="A1424" s="5">
        <v>1363</v>
      </c>
      <c r="B1424" s="1832">
        <f>'Expenditures 15-22'!D257</f>
        <v>28495</v>
      </c>
      <c r="C1424" s="2" t="s">
        <v>569</v>
      </c>
      <c r="D1424" s="2" t="str">
        <f t="shared" si="21"/>
        <v>Error?</v>
      </c>
    </row>
    <row r="1425" spans="1:4" x14ac:dyDescent="0.2">
      <c r="A1425" s="5">
        <v>1364</v>
      </c>
      <c r="B1425" s="1832">
        <f>'Expenditures 15-22'!D259</f>
        <v>4006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4006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2953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5402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8355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52190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146629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1974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36554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995</v>
      </c>
      <c r="C1476" s="2" t="s">
        <v>569</v>
      </c>
      <c r="D1476" s="2" t="str">
        <f t="shared" si="22"/>
        <v>Error?</v>
      </c>
    </row>
    <row r="1477" spans="1:4" x14ac:dyDescent="0.2">
      <c r="A1477" s="5">
        <v>1416</v>
      </c>
      <c r="B1477" s="1832">
        <f>'Expenditures 15-22'!K234</f>
        <v>6056</v>
      </c>
      <c r="C1477" s="2" t="s">
        <v>569</v>
      </c>
      <c r="D1477" s="2" t="str">
        <f t="shared" si="22"/>
        <v>Error?</v>
      </c>
    </row>
    <row r="1478" spans="1:4" x14ac:dyDescent="0.2">
      <c r="A1478" s="5">
        <v>1417</v>
      </c>
      <c r="B1478" s="1832">
        <f>'Expenditures 15-22'!K235</f>
        <v>199</v>
      </c>
      <c r="C1478" s="2" t="s">
        <v>569</v>
      </c>
      <c r="D1478" s="2" t="str">
        <f t="shared" si="22"/>
        <v>Error?</v>
      </c>
    </row>
    <row r="1479" spans="1:4" x14ac:dyDescent="0.2">
      <c r="A1479" s="5">
        <v>1418</v>
      </c>
      <c r="B1479" s="1832">
        <f>'Expenditures 15-22'!K236</f>
        <v>613</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7863</v>
      </c>
      <c r="C1481" s="2" t="s">
        <v>569</v>
      </c>
      <c r="D1481" s="2" t="str">
        <f t="shared" si="22"/>
        <v>Error?</v>
      </c>
    </row>
    <row r="1482" spans="1:4" x14ac:dyDescent="0.2">
      <c r="A1482" s="5">
        <v>1421</v>
      </c>
      <c r="B1482" s="1832">
        <f>'Expenditures 15-22'!K240</f>
        <v>27</v>
      </c>
      <c r="C1482" s="2" t="s">
        <v>569</v>
      </c>
      <c r="D1482" s="2" t="str">
        <f t="shared" si="22"/>
        <v>Error?</v>
      </c>
    </row>
    <row r="1483" spans="1:4" x14ac:dyDescent="0.2">
      <c r="A1483" s="5">
        <v>1422</v>
      </c>
      <c r="B1483" s="1832">
        <f>'Expenditures 15-22'!K241</f>
        <v>3444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3471</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6560</v>
      </c>
      <c r="C1487" s="2" t="s">
        <v>569</v>
      </c>
      <c r="D1487" s="2" t="str">
        <f t="shared" si="22"/>
        <v>Error?</v>
      </c>
    </row>
    <row r="1488" spans="1:4" x14ac:dyDescent="0.2">
      <c r="A1488" s="5">
        <v>1427</v>
      </c>
      <c r="B1488" s="1832">
        <f>'Expenditures 15-22'!K257</f>
        <v>28495</v>
      </c>
      <c r="C1488" s="2" t="s">
        <v>569</v>
      </c>
      <c r="D1488" s="2" t="str">
        <f t="shared" si="22"/>
        <v>Error?</v>
      </c>
    </row>
    <row r="1489" spans="1:4" x14ac:dyDescent="0.2">
      <c r="A1489" s="5">
        <v>1428</v>
      </c>
      <c r="B1489" s="1832">
        <f>'Expenditures 15-22'!K259</f>
        <v>4006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4006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2953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5402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8355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52190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146629</v>
      </c>
      <c r="C1517" s="2" t="s">
        <v>569</v>
      </c>
      <c r="D1517" s="2" t="str">
        <f t="shared" si="22"/>
        <v>Error?</v>
      </c>
    </row>
    <row r="1518" spans="1:4" x14ac:dyDescent="0.2">
      <c r="A1518" s="5">
        <v>1457</v>
      </c>
      <c r="B1518" s="1832">
        <f>'Expenditures 15-22'!K296</f>
        <v>-6538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5719</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5719</v>
      </c>
      <c r="C1535" s="2" t="s">
        <v>569</v>
      </c>
      <c r="D1535" s="2" t="str">
        <f t="shared" ref="D1535:D1598" si="23">IF(ISBLANK(B1535),"OK",IF(A1535-B1535=0,"OK","Error?"))</f>
        <v>Error?</v>
      </c>
    </row>
    <row r="1536" spans="1:4" x14ac:dyDescent="0.2">
      <c r="A1536" s="5">
        <v>1475</v>
      </c>
      <c r="B1536" s="1832">
        <f>'Expenditures 15-22'!E312</f>
        <v>5719</v>
      </c>
      <c r="C1536" s="2" t="s">
        <v>569</v>
      </c>
      <c r="D1536" s="2" t="str">
        <f t="shared" si="23"/>
        <v>Error?</v>
      </c>
    </row>
    <row r="1537" spans="1:4" x14ac:dyDescent="0.2">
      <c r="A1537" s="5">
        <v>1476</v>
      </c>
      <c r="B1537" s="1832">
        <f>'Expenditures 15-22'!F301</f>
        <v>383</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383</v>
      </c>
      <c r="C1541" s="2" t="s">
        <v>569</v>
      </c>
      <c r="D1541" s="2" t="str">
        <f t="shared" si="23"/>
        <v>Error?</v>
      </c>
    </row>
    <row r="1542" spans="1:4" x14ac:dyDescent="0.2">
      <c r="A1542" s="5">
        <v>1481</v>
      </c>
      <c r="B1542" s="1832">
        <f>'Expenditures 15-22'!F312</f>
        <v>383</v>
      </c>
      <c r="C1542" s="2" t="s">
        <v>569</v>
      </c>
      <c r="D1542" s="2" t="str">
        <f t="shared" si="23"/>
        <v>Error?</v>
      </c>
    </row>
    <row r="1543" spans="1:4" x14ac:dyDescent="0.2">
      <c r="A1543" s="5">
        <v>1482</v>
      </c>
      <c r="B1543" s="1832">
        <f>'Expenditures 15-22'!G301</f>
        <v>126606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126606</v>
      </c>
      <c r="C1547" s="2" t="s">
        <v>569</v>
      </c>
      <c r="D1547" s="2" t="str">
        <f t="shared" si="23"/>
        <v>Error?</v>
      </c>
    </row>
    <row r="1548" spans="1:4" x14ac:dyDescent="0.2">
      <c r="A1548" s="5">
        <v>1487</v>
      </c>
      <c r="B1548" s="1832">
        <f>'Expenditures 15-22'!G312</f>
        <v>126606</v>
      </c>
      <c r="C1548" s="2" t="s">
        <v>569</v>
      </c>
      <c r="D1548" s="2" t="str">
        <f t="shared" si="23"/>
        <v>Error?</v>
      </c>
    </row>
    <row r="1549" spans="1:4" x14ac:dyDescent="0.2">
      <c r="A1549" s="5">
        <v>1488</v>
      </c>
      <c r="B1549" s="1832">
        <f>'Expenditures 15-22'!H301</f>
        <v>44000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44000</v>
      </c>
      <c r="C1553" s="2" t="s">
        <v>569</v>
      </c>
      <c r="D1553" s="2" t="str">
        <f t="shared" si="23"/>
        <v>Error?</v>
      </c>
    </row>
    <row r="1554" spans="1:4" x14ac:dyDescent="0.2">
      <c r="A1554" s="5">
        <v>1493</v>
      </c>
      <c r="B1554" s="1832">
        <f>'Expenditures 15-22'!H312</f>
        <v>44000</v>
      </c>
      <c r="C1554" s="2" t="s">
        <v>569</v>
      </c>
      <c r="D1554" s="2" t="str">
        <f t="shared" si="23"/>
        <v>Error?</v>
      </c>
    </row>
    <row r="1555" spans="1:4" x14ac:dyDescent="0.2">
      <c r="A1555" s="5">
        <v>1494</v>
      </c>
      <c r="B1555" s="1832">
        <f>'Expenditures 15-22'!K301</f>
        <v>176708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176708</v>
      </c>
      <c r="C1559" s="2" t="s">
        <v>569</v>
      </c>
      <c r="D1559" s="2" t="str">
        <f t="shared" si="23"/>
        <v>Error?</v>
      </c>
    </row>
    <row r="1560" spans="1:4" x14ac:dyDescent="0.2">
      <c r="A1560" s="5">
        <v>1499</v>
      </c>
      <c r="B1560" s="1832">
        <f>'Expenditures 15-22'!K312</f>
        <v>176708</v>
      </c>
      <c r="C1560" s="2" t="s">
        <v>569</v>
      </c>
      <c r="D1560" s="2" t="str">
        <f t="shared" si="23"/>
        <v>Error?</v>
      </c>
    </row>
    <row r="1561" spans="1:4" x14ac:dyDescent="0.2">
      <c r="A1561" s="5">
        <v>1500</v>
      </c>
      <c r="B1561" s="1832">
        <f>'Expenditures 15-22'!K313</f>
        <v>81597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1560706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2297686</v>
      </c>
      <c r="C1630" s="2" t="s">
        <v>569</v>
      </c>
      <c r="D1630" s="2" t="str">
        <f t="shared" si="24"/>
        <v>Error?</v>
      </c>
    </row>
    <row r="1631" spans="1:4" x14ac:dyDescent="0.2">
      <c r="A1631" s="5">
        <v>1570</v>
      </c>
      <c r="B1631" s="1832">
        <f>'Acct Summary 7-8'!D79</f>
        <v>236992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301170</v>
      </c>
      <c r="C1644" s="2" t="s">
        <v>569</v>
      </c>
      <c r="D1644" s="2" t="str">
        <f t="shared" si="24"/>
        <v>Error?</v>
      </c>
    </row>
    <row r="1645" spans="1:4" x14ac:dyDescent="0.2">
      <c r="A1645" s="5">
        <v>1584</v>
      </c>
      <c r="B1645" s="1832">
        <f>'Acct Summary 7-8'!E79</f>
        <v>31499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36598</v>
      </c>
      <c r="C1658" s="2" t="s">
        <v>569</v>
      </c>
      <c r="D1658" s="2" t="str">
        <f t="shared" si="24"/>
        <v>Error?</v>
      </c>
    </row>
    <row r="1659" spans="1:4" x14ac:dyDescent="0.2">
      <c r="A1659" s="5">
        <v>1598</v>
      </c>
      <c r="B1659" s="1832">
        <f>'Acct Summary 7-8'!F79</f>
        <v>866409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1001651</v>
      </c>
      <c r="C1672" s="2" t="s">
        <v>569</v>
      </c>
      <c r="D1672" s="2" t="str">
        <f t="shared" si="25"/>
        <v>Error?</v>
      </c>
    </row>
    <row r="1673" spans="1:4" x14ac:dyDescent="0.2">
      <c r="A1673" s="5">
        <v>1612</v>
      </c>
      <c r="B1673" s="1832">
        <f>'Acct Summary 7-8'!G79</f>
        <v>141895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135357</v>
      </c>
      <c r="C1686" s="2" t="s">
        <v>569</v>
      </c>
      <c r="D1686" s="2" t="str">
        <f t="shared" si="25"/>
        <v>Error?</v>
      </c>
    </row>
    <row r="1687" spans="1:4" x14ac:dyDescent="0.2">
      <c r="A1687" s="5">
        <v>1626</v>
      </c>
      <c r="B1687" s="1832">
        <f>'Acct Summary 7-8'!H79</f>
        <v>296937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378534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2345938</v>
      </c>
      <c r="C1744" s="2" t="s">
        <v>569</v>
      </c>
      <c r="D1744" s="2" t="str">
        <f t="shared" si="26"/>
        <v>Error?</v>
      </c>
    </row>
    <row r="1745" spans="1:5" x14ac:dyDescent="0.2">
      <c r="A1745" s="5">
        <v>1684</v>
      </c>
      <c r="B1745" s="1832">
        <f>'Tax Sched 23'!B5</f>
        <v>533168</v>
      </c>
      <c r="C1745" s="2" t="s">
        <v>569</v>
      </c>
      <c r="D1745" s="2" t="str">
        <f t="shared" si="26"/>
        <v>Error?</v>
      </c>
    </row>
    <row r="1746" spans="1:5" x14ac:dyDescent="0.2">
      <c r="A1746" s="5">
        <v>1685</v>
      </c>
      <c r="B1746" s="1832">
        <f>'Tax Sched 23'!B6</f>
        <v>479289</v>
      </c>
      <c r="C1746" s="2" t="s">
        <v>569</v>
      </c>
      <c r="D1746" s="2" t="str">
        <f t="shared" si="26"/>
        <v>Error?</v>
      </c>
    </row>
    <row r="1747" spans="1:5" x14ac:dyDescent="0.2">
      <c r="A1747" s="5">
        <v>1686</v>
      </c>
      <c r="B1747" s="1832">
        <f>'Tax Sched 23'!B7</f>
        <v>213267</v>
      </c>
      <c r="C1747" s="2" t="s">
        <v>569</v>
      </c>
      <c r="D1747" s="2" t="str">
        <f t="shared" si="26"/>
        <v>Error?</v>
      </c>
    </row>
    <row r="1748" spans="1:5" x14ac:dyDescent="0.2">
      <c r="A1748" s="5">
        <v>1687</v>
      </c>
      <c r="B1748" s="1832">
        <f>'Tax Sched 23'!B8</f>
        <v>54800</v>
      </c>
      <c r="C1748" s="2" t="s">
        <v>569</v>
      </c>
      <c r="D1748" s="2" t="str">
        <f t="shared" si="26"/>
        <v>Error?</v>
      </c>
    </row>
    <row r="1749" spans="1:5" x14ac:dyDescent="0.2">
      <c r="A1749" s="5">
        <v>1688</v>
      </c>
      <c r="B1749" s="1832">
        <f>'Tax Sched 23'!B10</f>
        <v>53317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209239</v>
      </c>
      <c r="C1752" s="2" t="s">
        <v>569</v>
      </c>
      <c r="D1752" s="2" t="str">
        <f t="shared" si="26"/>
        <v>Error?</v>
      </c>
    </row>
    <row r="1753" spans="1:5" x14ac:dyDescent="0.2">
      <c r="A1753" s="5">
        <v>1692</v>
      </c>
      <c r="B1753" s="1832">
        <f>'Tax Sched 23'!B12</f>
        <v>53316</v>
      </c>
      <c r="C1753" s="2" t="s">
        <v>569</v>
      </c>
      <c r="D1753" s="2" t="str">
        <f t="shared" si="26"/>
        <v>Error?</v>
      </c>
    </row>
    <row r="1754" spans="1:5" x14ac:dyDescent="0.2">
      <c r="A1754" s="5">
        <v>1693</v>
      </c>
      <c r="B1754" s="1832">
        <f>'Tax Sched 23'!B14</f>
        <v>42653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4118014</v>
      </c>
      <c r="C1759" s="2" t="s">
        <v>569</v>
      </c>
      <c r="D1759" s="2" t="str">
        <f t="shared" si="26"/>
        <v>Error?</v>
      </c>
    </row>
    <row r="1760" spans="1:5" x14ac:dyDescent="0.2">
      <c r="A1760" s="5">
        <v>1699</v>
      </c>
      <c r="B1760" s="1832">
        <f>'Tax Sched 23'!D4</f>
        <v>2345938</v>
      </c>
      <c r="C1760" s="2" t="s">
        <v>569</v>
      </c>
      <c r="D1760" s="2" t="str">
        <f t="shared" si="26"/>
        <v>Error?</v>
      </c>
    </row>
    <row r="1761" spans="1:7" x14ac:dyDescent="0.2">
      <c r="A1761" s="5">
        <v>1700</v>
      </c>
      <c r="B1761" s="1832">
        <f>'Tax Sched 23'!D5</f>
        <v>533168</v>
      </c>
      <c r="C1761" s="2" t="s">
        <v>569</v>
      </c>
      <c r="D1761" s="2" t="str">
        <f t="shared" si="26"/>
        <v>Error?</v>
      </c>
    </row>
    <row r="1762" spans="1:7" s="8" customFormat="1" x14ac:dyDescent="0.2">
      <c r="A1762" s="5">
        <v>1701</v>
      </c>
      <c r="B1762" s="1832">
        <f>'Tax Sched 23'!D6</f>
        <v>479289</v>
      </c>
      <c r="C1762" s="2" t="s">
        <v>569</v>
      </c>
      <c r="D1762" s="2" t="str">
        <f t="shared" si="26"/>
        <v>Error?</v>
      </c>
      <c r="E1762" s="9"/>
      <c r="G1762"/>
    </row>
    <row r="1763" spans="1:7" x14ac:dyDescent="0.2">
      <c r="A1763" s="5">
        <v>1702</v>
      </c>
      <c r="B1763" s="1832">
        <f>'Tax Sched 23'!D7</f>
        <v>213267</v>
      </c>
      <c r="C1763" s="2" t="s">
        <v>569</v>
      </c>
      <c r="D1763" s="2" t="str">
        <f t="shared" si="26"/>
        <v>Error?</v>
      </c>
    </row>
    <row r="1764" spans="1:7" x14ac:dyDescent="0.2">
      <c r="A1764" s="5">
        <v>1703</v>
      </c>
      <c r="B1764" s="1832">
        <f>'Tax Sched 23'!D8</f>
        <v>54800</v>
      </c>
      <c r="C1764" s="2" t="s">
        <v>569</v>
      </c>
      <c r="D1764" s="2" t="str">
        <f t="shared" si="26"/>
        <v>Error?</v>
      </c>
    </row>
    <row r="1765" spans="1:7" x14ac:dyDescent="0.2">
      <c r="A1765" s="5">
        <v>1704</v>
      </c>
      <c r="B1765" s="1832">
        <f>'Tax Sched 23'!D10</f>
        <v>53317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209239</v>
      </c>
      <c r="C1768" s="2" t="s">
        <v>569</v>
      </c>
      <c r="D1768" s="2" t="str">
        <f t="shared" si="26"/>
        <v>Error?</v>
      </c>
    </row>
    <row r="1769" spans="1:7" x14ac:dyDescent="0.2">
      <c r="A1769" s="5">
        <v>1708</v>
      </c>
      <c r="B1769" s="1832">
        <f>'Tax Sched 23'!D12</f>
        <v>53316</v>
      </c>
      <c r="C1769" s="2" t="s">
        <v>569</v>
      </c>
      <c r="D1769" s="2" t="str">
        <f t="shared" si="26"/>
        <v>Error?</v>
      </c>
    </row>
    <row r="1770" spans="1:7" x14ac:dyDescent="0.2">
      <c r="A1770" s="5">
        <v>1709</v>
      </c>
      <c r="B1770" s="1832">
        <f>'Tax Sched 23'!D14</f>
        <v>42653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4118014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2454872</v>
      </c>
      <c r="C1792" s="2" t="s">
        <v>569</v>
      </c>
      <c r="D1792" s="2" t="str">
        <f t="shared" si="27"/>
        <v>Error?</v>
      </c>
    </row>
    <row r="1793" spans="1:4" x14ac:dyDescent="0.2">
      <c r="A1793" s="5">
        <v>1732</v>
      </c>
      <c r="B1793" s="1832">
        <f>'Tax Sched 23'!F5</f>
        <v>557925</v>
      </c>
      <c r="C1793" s="2" t="s">
        <v>569</v>
      </c>
      <c r="D1793" s="2" t="str">
        <f t="shared" si="27"/>
        <v>Error?</v>
      </c>
    </row>
    <row r="1794" spans="1:4" x14ac:dyDescent="0.2">
      <c r="A1794" s="5">
        <v>1733</v>
      </c>
      <c r="B1794" s="1832">
        <f>'Tax Sched 23'!F6</f>
        <v>471213</v>
      </c>
      <c r="C1794" s="2" t="s">
        <v>569</v>
      </c>
      <c r="D1794" s="2" t="str">
        <f t="shared" si="27"/>
        <v>Error?</v>
      </c>
    </row>
    <row r="1795" spans="1:4" x14ac:dyDescent="0.2">
      <c r="A1795" s="5">
        <v>1734</v>
      </c>
      <c r="B1795" s="1832">
        <f>'Tax Sched 23'!F7</f>
        <v>223170</v>
      </c>
      <c r="C1795" s="2" t="s">
        <v>569</v>
      </c>
      <c r="D1795" s="2" t="str">
        <f t="shared" si="27"/>
        <v>Error?</v>
      </c>
    </row>
    <row r="1796" spans="1:4" x14ac:dyDescent="0.2">
      <c r="A1796" s="5">
        <v>1735</v>
      </c>
      <c r="B1796" s="1832">
        <f>'Tax Sched 23'!F8</f>
        <v>59999</v>
      </c>
      <c r="C1796" s="2" t="s">
        <v>569</v>
      </c>
      <c r="D1796" s="2" t="str">
        <f t="shared" si="27"/>
        <v>Error?</v>
      </c>
    </row>
    <row r="1797" spans="1:4" x14ac:dyDescent="0.2">
      <c r="A1797" s="5">
        <v>1736</v>
      </c>
      <c r="B1797" s="1832">
        <f>'Tax Sched 23'!F10</f>
        <v>55793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174999</v>
      </c>
      <c r="C1800" s="2" t="s">
        <v>569</v>
      </c>
      <c r="D1800" s="2" t="str">
        <f t="shared" si="27"/>
        <v>Error?</v>
      </c>
    </row>
    <row r="1801" spans="1:4" x14ac:dyDescent="0.2">
      <c r="A1801" s="5">
        <v>1740</v>
      </c>
      <c r="B1801" s="1832">
        <f>'Tax Sched 23'!F12</f>
        <v>55793</v>
      </c>
      <c r="C1801" s="2" t="s">
        <v>569</v>
      </c>
      <c r="D1801" s="2" t="str">
        <f t="shared" si="27"/>
        <v>Error?</v>
      </c>
    </row>
    <row r="1802" spans="1:4" x14ac:dyDescent="0.2">
      <c r="A1802" s="5">
        <v>1741</v>
      </c>
      <c r="B1802" s="1832">
        <f>'Tax Sched 23'!F14</f>
        <v>44634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4254194</v>
      </c>
      <c r="C1807" s="2" t="s">
        <v>569</v>
      </c>
      <c r="D1807" s="2" t="str">
        <f t="shared" si="27"/>
        <v>Error?</v>
      </c>
    </row>
    <row r="1808" spans="1:4" x14ac:dyDescent="0.2">
      <c r="A1808" s="5">
        <v>1747</v>
      </c>
      <c r="B1808" s="1832">
        <f>'Tax Sched 23'!E4</f>
        <v>2454872</v>
      </c>
      <c r="D1808" s="2" t="str">
        <f t="shared" si="27"/>
        <v>Error?</v>
      </c>
    </row>
    <row r="1809" spans="1:4" x14ac:dyDescent="0.2">
      <c r="A1809" s="5">
        <v>1748</v>
      </c>
      <c r="B1809" s="1832">
        <f>'Tax Sched 23'!E5</f>
        <v>557925</v>
      </c>
      <c r="D1809" s="2" t="str">
        <f t="shared" si="27"/>
        <v>Error?</v>
      </c>
    </row>
    <row r="1810" spans="1:4" x14ac:dyDescent="0.2">
      <c r="A1810" s="5">
        <v>1749</v>
      </c>
      <c r="B1810" s="1832">
        <f>'Tax Sched 23'!E6</f>
        <v>471213</v>
      </c>
      <c r="D1810" s="2" t="str">
        <f t="shared" si="27"/>
        <v>Error?</v>
      </c>
    </row>
    <row r="1811" spans="1:4" x14ac:dyDescent="0.2">
      <c r="A1811" s="5">
        <v>1750</v>
      </c>
      <c r="B1811" s="1832">
        <f>'Tax Sched 23'!E7</f>
        <v>223170</v>
      </c>
      <c r="D1811" s="2" t="str">
        <f t="shared" si="27"/>
        <v>Error?</v>
      </c>
    </row>
    <row r="1812" spans="1:4" x14ac:dyDescent="0.2">
      <c r="A1812" s="5">
        <v>1751</v>
      </c>
      <c r="B1812" s="1832">
        <f>'Tax Sched 23'!E8</f>
        <v>59999</v>
      </c>
      <c r="D1812" s="2" t="str">
        <f t="shared" si="27"/>
        <v>Error?</v>
      </c>
    </row>
    <row r="1813" spans="1:4" x14ac:dyDescent="0.2">
      <c r="A1813" s="5">
        <v>1752</v>
      </c>
      <c r="B1813" s="1832">
        <f>'Tax Sched 23'!E10</f>
        <v>55793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174999</v>
      </c>
      <c r="D1816" s="2" t="str">
        <f t="shared" si="27"/>
        <v>Error?</v>
      </c>
    </row>
    <row r="1817" spans="1:4" x14ac:dyDescent="0.2">
      <c r="A1817" s="5">
        <v>1756</v>
      </c>
      <c r="B1817" s="1832">
        <f>'Tax Sched 23'!E12</f>
        <v>55793</v>
      </c>
      <c r="D1817" s="2" t="str">
        <f t="shared" si="27"/>
        <v>Error?</v>
      </c>
    </row>
    <row r="1818" spans="1:4" x14ac:dyDescent="0.2">
      <c r="A1818" s="5">
        <v>1757</v>
      </c>
      <c r="B1818" s="1832">
        <f>'Tax Sched 23'!E14</f>
        <v>44634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4254194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5345000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42653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42653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42653</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110000</v>
      </c>
      <c r="D2008" s="2" t="str">
        <f t="shared" si="30"/>
        <v>Error?</v>
      </c>
    </row>
    <row r="2009" spans="1:4" x14ac:dyDescent="0.2">
      <c r="A2009" s="5">
        <v>1948</v>
      </c>
      <c r="B2009" s="1832">
        <f>'Cap Outlay Deprec 26'!C8</f>
        <v>10226402</v>
      </c>
      <c r="D2009" s="2" t="str">
        <f t="shared" si="30"/>
        <v>Error?</v>
      </c>
    </row>
    <row r="2010" spans="1:4" x14ac:dyDescent="0.2">
      <c r="A2010" s="5">
        <v>1949</v>
      </c>
      <c r="B2010" s="1832">
        <f>'Cap Outlay Deprec 26'!C10</f>
        <v>244107</v>
      </c>
      <c r="D2010" s="2" t="str">
        <f t="shared" si="30"/>
        <v>Error?</v>
      </c>
    </row>
    <row r="2011" spans="1:4" x14ac:dyDescent="0.2">
      <c r="A2011" s="5">
        <v>1950</v>
      </c>
      <c r="B2011" s="1832">
        <f>'Cap Outlay Deprec 26'!C12</f>
        <v>618865</v>
      </c>
      <c r="D2011" s="2" t="str">
        <f t="shared" si="30"/>
        <v>Error?</v>
      </c>
    </row>
    <row r="2012" spans="1:4" x14ac:dyDescent="0.2">
      <c r="A2012" s="5">
        <v>1951</v>
      </c>
      <c r="B2012" s="1832">
        <f>'Cap Outlay Deprec 26'!C13</f>
        <v>765877</v>
      </c>
      <c r="D2012" s="2" t="str">
        <f t="shared" si="30"/>
        <v>Error?</v>
      </c>
    </row>
    <row r="2013" spans="1:4" x14ac:dyDescent="0.2">
      <c r="A2013" s="5">
        <v>1952</v>
      </c>
      <c r="B2013" s="1832">
        <f>'Cap Outlay Deprec 26'!C16</f>
        <v>11965251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80383</v>
      </c>
      <c r="D2015" s="2" t="str">
        <f t="shared" si="30"/>
        <v>Error?</v>
      </c>
    </row>
    <row r="2016" spans="1:4" x14ac:dyDescent="0.2">
      <c r="A2016" s="5">
        <v>1955</v>
      </c>
      <c r="B2016" s="1832">
        <f>'Cap Outlay Deprec 26'!D10</f>
        <v>46224</v>
      </c>
      <c r="D2016" s="2" t="str">
        <f t="shared" si="30"/>
        <v>Error?</v>
      </c>
    </row>
    <row r="2017" spans="1:4" x14ac:dyDescent="0.2">
      <c r="A2017" s="5">
        <v>1956</v>
      </c>
      <c r="B2017" s="1832">
        <f>'Cap Outlay Deprec 26'!D12</f>
        <v>12428</v>
      </c>
      <c r="D2017" s="2" t="str">
        <f t="shared" si="30"/>
        <v>Error?</v>
      </c>
    </row>
    <row r="2018" spans="1:4" x14ac:dyDescent="0.2">
      <c r="A2018" s="5">
        <v>1957</v>
      </c>
      <c r="B2018" s="1832">
        <f>'Cap Outlay Deprec 26'!D13</f>
        <v>85643</v>
      </c>
      <c r="D2018" s="2" t="str">
        <f t="shared" si="30"/>
        <v>Error?</v>
      </c>
    </row>
    <row r="2019" spans="1:4" x14ac:dyDescent="0.2">
      <c r="A2019" s="5">
        <v>1958</v>
      </c>
      <c r="B2019" s="1832">
        <f>'Cap Outlay Deprec 26'!D16</f>
        <v>224678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110000</v>
      </c>
      <c r="C2026" s="2" t="s">
        <v>569</v>
      </c>
      <c r="D2026" s="2" t="str">
        <f t="shared" si="30"/>
        <v>Error?</v>
      </c>
    </row>
    <row r="2027" spans="1:4" x14ac:dyDescent="0.2">
      <c r="A2027" s="5">
        <v>1966</v>
      </c>
      <c r="B2027" s="1832">
        <f>'Cap Outlay Deprec 26'!F8</f>
        <v>10306785</v>
      </c>
      <c r="C2027" s="2" t="s">
        <v>569</v>
      </c>
      <c r="D2027" s="2" t="str">
        <f t="shared" si="30"/>
        <v>Error?</v>
      </c>
    </row>
    <row r="2028" spans="1:4" x14ac:dyDescent="0.2">
      <c r="A2028" s="5">
        <v>1967</v>
      </c>
      <c r="B2028" s="1832">
        <f>'Cap Outlay Deprec 26'!F10</f>
        <v>290331</v>
      </c>
      <c r="C2028" s="2" t="s">
        <v>569</v>
      </c>
      <c r="D2028" s="2" t="str">
        <f t="shared" si="30"/>
        <v>Error?</v>
      </c>
    </row>
    <row r="2029" spans="1:4" x14ac:dyDescent="0.2">
      <c r="A2029" s="5">
        <v>1968</v>
      </c>
      <c r="B2029" s="1832">
        <f>'Cap Outlay Deprec 26'!F12</f>
        <v>631293</v>
      </c>
      <c r="C2029" s="2" t="s">
        <v>569</v>
      </c>
      <c r="D2029" s="2" t="str">
        <f t="shared" si="30"/>
        <v>Error?</v>
      </c>
    </row>
    <row r="2030" spans="1:4" x14ac:dyDescent="0.2">
      <c r="A2030" s="5">
        <v>1969</v>
      </c>
      <c r="B2030" s="1832">
        <f>'Cap Outlay Deprec 26'!F13</f>
        <v>851520</v>
      </c>
      <c r="C2030" s="2" t="s">
        <v>569</v>
      </c>
      <c r="D2030" s="2" t="str">
        <f t="shared" si="30"/>
        <v>Error?</v>
      </c>
    </row>
    <row r="2031" spans="1:4" x14ac:dyDescent="0.2">
      <c r="A2031" s="5">
        <v>1970</v>
      </c>
      <c r="B2031" s="1832">
        <f>'Cap Outlay Deprec 26'!F16</f>
        <v>12189929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3465173</v>
      </c>
      <c r="D2033" s="2" t="str">
        <f t="shared" si="30"/>
        <v>Error?</v>
      </c>
    </row>
    <row r="2034" spans="1:4" x14ac:dyDescent="0.2">
      <c r="A2034" s="5">
        <v>1973</v>
      </c>
      <c r="B2034" s="1832">
        <f>'Cap Outlay Deprec 26'!H10</f>
        <v>142371</v>
      </c>
      <c r="D2034" s="2" t="str">
        <f t="shared" si="30"/>
        <v>Error?</v>
      </c>
    </row>
    <row r="2035" spans="1:4" x14ac:dyDescent="0.2">
      <c r="A2035" s="5">
        <v>1974</v>
      </c>
      <c r="B2035" s="1832">
        <f>'Cap Outlay Deprec 26'!H12</f>
        <v>497919</v>
      </c>
      <c r="D2035" s="2" t="str">
        <f t="shared" si="30"/>
        <v>Error?</v>
      </c>
    </row>
    <row r="2036" spans="1:4" x14ac:dyDescent="0.2">
      <c r="A2036" s="5">
        <v>1975</v>
      </c>
      <c r="B2036" s="1832">
        <f>'Cap Outlay Deprec 26'!H13</f>
        <v>621712</v>
      </c>
      <c r="D2036" s="2" t="str">
        <f t="shared" si="30"/>
        <v>Error?</v>
      </c>
    </row>
    <row r="2037" spans="1:4" x14ac:dyDescent="0.2">
      <c r="A2037" s="5">
        <v>1976</v>
      </c>
      <c r="B2037" s="1832">
        <f>'Cap Outlay Deprec 26'!H16</f>
        <v>4727175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253023</v>
      </c>
      <c r="D2039" s="2" t="str">
        <f t="shared" si="30"/>
        <v>Error?</v>
      </c>
    </row>
    <row r="2040" spans="1:4" x14ac:dyDescent="0.2">
      <c r="A2040" s="5">
        <v>1979</v>
      </c>
      <c r="B2040" s="1832">
        <f>'Cap Outlay Deprec 26'!I10</f>
        <v>18514</v>
      </c>
      <c r="D2040" s="2" t="str">
        <f t="shared" si="30"/>
        <v>Error?</v>
      </c>
    </row>
    <row r="2041" spans="1:4" x14ac:dyDescent="0.2">
      <c r="A2041" s="5">
        <v>1980</v>
      </c>
      <c r="B2041" s="1832">
        <f>'Cap Outlay Deprec 26'!I12</f>
        <v>32831</v>
      </c>
      <c r="D2041" s="2" t="str">
        <f t="shared" si="30"/>
        <v>Error?</v>
      </c>
    </row>
    <row r="2042" spans="1:4" x14ac:dyDescent="0.2">
      <c r="A2042" s="5">
        <v>1981</v>
      </c>
      <c r="B2042" s="1832">
        <f>'Cap Outlay Deprec 26'!I13</f>
        <v>69815</v>
      </c>
      <c r="D2042" s="2" t="str">
        <f t="shared" si="30"/>
        <v>Error?</v>
      </c>
    </row>
    <row r="2043" spans="1:4" x14ac:dyDescent="0.2">
      <c r="A2043" s="5">
        <v>1982</v>
      </c>
      <c r="B2043" s="1832">
        <f>'Cap Outlay Deprec 26'!I16</f>
        <v>374183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3718196</v>
      </c>
      <c r="C2051" s="2" t="s">
        <v>569</v>
      </c>
      <c r="D2051" s="2" t="str">
        <f t="shared" si="31"/>
        <v>Error?</v>
      </c>
    </row>
    <row r="2052" spans="1:4" x14ac:dyDescent="0.2">
      <c r="A2052" s="5">
        <v>1991</v>
      </c>
      <c r="B2052" s="1832">
        <f>'Cap Outlay Deprec 26'!K10</f>
        <v>160885</v>
      </c>
      <c r="C2052" s="2" t="s">
        <v>569</v>
      </c>
      <c r="D2052" s="2" t="str">
        <f t="shared" si="31"/>
        <v>Error?</v>
      </c>
    </row>
    <row r="2053" spans="1:4" x14ac:dyDescent="0.2">
      <c r="A2053" s="5">
        <v>1992</v>
      </c>
      <c r="B2053" s="1832">
        <f>'Cap Outlay Deprec 26'!K12</f>
        <v>530750</v>
      </c>
      <c r="C2053" s="2" t="s">
        <v>569</v>
      </c>
      <c r="D2053" s="2" t="str">
        <f t="shared" si="31"/>
        <v>Error?</v>
      </c>
    </row>
    <row r="2054" spans="1:4" x14ac:dyDescent="0.2">
      <c r="A2054" s="5">
        <v>1993</v>
      </c>
      <c r="B2054" s="1832">
        <f>'Cap Outlay Deprec 26'!K13</f>
        <v>691527</v>
      </c>
      <c r="C2054" s="2" t="s">
        <v>569</v>
      </c>
      <c r="D2054" s="2" t="str">
        <f t="shared" si="31"/>
        <v>Error?</v>
      </c>
    </row>
    <row r="2055" spans="1:4" x14ac:dyDescent="0.2">
      <c r="A2055" s="5">
        <v>1994</v>
      </c>
      <c r="B2055" s="1832">
        <f>'Cap Outlay Deprec 26'!K16</f>
        <v>5101358</v>
      </c>
      <c r="C2055" s="2" t="s">
        <v>569</v>
      </c>
      <c r="D2055" s="2" t="str">
        <f t="shared" si="31"/>
        <v>Error?</v>
      </c>
    </row>
    <row r="2056" spans="1:4" x14ac:dyDescent="0.2">
      <c r="A2056" s="5">
        <v>1995</v>
      </c>
      <c r="B2056" s="1832">
        <f>'Cap Outlay Deprec 26'!L5</f>
        <v>110000</v>
      </c>
      <c r="C2056" s="2" t="s">
        <v>569</v>
      </c>
      <c r="D2056" s="2" t="str">
        <f t="shared" si="31"/>
        <v>Error?</v>
      </c>
    </row>
    <row r="2057" spans="1:4" x14ac:dyDescent="0.2">
      <c r="A2057" s="5">
        <v>1996</v>
      </c>
      <c r="B2057" s="1832">
        <f>'Cap Outlay Deprec 26'!L8</f>
        <v>6588589</v>
      </c>
      <c r="C2057" s="2" t="s">
        <v>569</v>
      </c>
      <c r="D2057" s="2" t="str">
        <f t="shared" si="31"/>
        <v>Error?</v>
      </c>
    </row>
    <row r="2058" spans="1:4" x14ac:dyDescent="0.2">
      <c r="A2058" s="5">
        <v>1997</v>
      </c>
      <c r="B2058" s="1832">
        <f>'Cap Outlay Deprec 26'!L10</f>
        <v>129446</v>
      </c>
      <c r="C2058" s="2" t="s">
        <v>569</v>
      </c>
      <c r="D2058" s="2" t="str">
        <f t="shared" si="31"/>
        <v>Error?</v>
      </c>
    </row>
    <row r="2059" spans="1:4" x14ac:dyDescent="0.2">
      <c r="A2059" s="5">
        <v>1998</v>
      </c>
      <c r="B2059" s="1832">
        <f>'Cap Outlay Deprec 26'!L12</f>
        <v>100543</v>
      </c>
      <c r="C2059" s="2" t="s">
        <v>569</v>
      </c>
      <c r="D2059" s="2" t="str">
        <f t="shared" si="31"/>
        <v>Error?</v>
      </c>
    </row>
    <row r="2060" spans="1:4" x14ac:dyDescent="0.2">
      <c r="A2060" s="5">
        <v>1999</v>
      </c>
      <c r="B2060" s="1832">
        <f>'Cap Outlay Deprec 26'!L13</f>
        <v>159993</v>
      </c>
      <c r="C2060" s="2" t="s">
        <v>569</v>
      </c>
      <c r="D2060" s="2" t="str">
        <f t="shared" si="31"/>
        <v>Error?</v>
      </c>
    </row>
    <row r="2061" spans="1:4" x14ac:dyDescent="0.2">
      <c r="A2061" s="5">
        <v>2000</v>
      </c>
      <c r="B2061" s="1832">
        <f>'Cap Outlay Deprec 26'!L16</f>
        <v>7088571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1088014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255276</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2705126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1487531</v>
      </c>
      <c r="C2553" s="2" t="s">
        <v>569</v>
      </c>
      <c r="D2553" s="2" t="str">
        <f t="shared" si="38"/>
        <v>Error?</v>
      </c>
    </row>
    <row r="2554" spans="1:4" x14ac:dyDescent="0.2">
      <c r="A2554" s="5">
        <v>2493</v>
      </c>
      <c r="B2554" s="1832">
        <f>'Acct Summary 7-8'!C7</f>
        <v>264334</v>
      </c>
      <c r="C2554" s="2" t="s">
        <v>569</v>
      </c>
      <c r="D2554" s="2" t="str">
        <f t="shared" si="38"/>
        <v>Error?</v>
      </c>
    </row>
    <row r="2555" spans="1:4" x14ac:dyDescent="0.2">
      <c r="A2555" s="5">
        <v>2494</v>
      </c>
      <c r="B2555" s="1832">
        <f>'Acct Summary 7-8'!C8</f>
        <v>4587339</v>
      </c>
      <c r="C2555" s="2" t="s">
        <v>569</v>
      </c>
      <c r="D2555" s="2" t="str">
        <f t="shared" si="38"/>
        <v>Error?</v>
      </c>
    </row>
    <row r="2556" spans="1:4" x14ac:dyDescent="0.2">
      <c r="A2556" s="5">
        <v>2495</v>
      </c>
      <c r="B2556" s="1832">
        <f>'Acct Summary 7-8'!C12</f>
        <v>2084998</v>
      </c>
      <c r="C2556" s="2" t="s">
        <v>569</v>
      </c>
      <c r="D2556" s="2" t="str">
        <f t="shared" si="38"/>
        <v>Error?</v>
      </c>
    </row>
    <row r="2557" spans="1:4" x14ac:dyDescent="0.2">
      <c r="A2557" s="5">
        <v>2496</v>
      </c>
      <c r="B2557" s="1832">
        <f>'Acct Summary 7-8'!C13</f>
        <v>677347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1088014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3850359</v>
      </c>
      <c r="C2561" s="2" t="s">
        <v>569</v>
      </c>
      <c r="D2561" s="2" t="str">
        <f t="shared" si="39"/>
        <v>Error?</v>
      </c>
    </row>
    <row r="2562" spans="1:4" x14ac:dyDescent="0.2">
      <c r="A2562" s="5">
        <v>2501</v>
      </c>
      <c r="B2562" s="1832">
        <f>'Acct Summary 7-8'!C20</f>
        <v>736980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548310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648310</v>
      </c>
      <c r="C2568" s="2" t="s">
        <v>569</v>
      </c>
      <c r="D2568" s="2" t="str">
        <f t="shared" si="39"/>
        <v>Error?</v>
      </c>
    </row>
    <row r="2569" spans="1:4" x14ac:dyDescent="0.2">
      <c r="A2569" s="5">
        <v>2508</v>
      </c>
      <c r="B2569" s="1832">
        <f>'Acct Summary 7-8'!D13</f>
        <v>328856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255276</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584132</v>
      </c>
      <c r="C2573" s="2" t="s">
        <v>569</v>
      </c>
      <c r="D2573" s="2" t="str">
        <f t="shared" si="39"/>
        <v>Error?</v>
      </c>
    </row>
    <row r="2574" spans="1:4" x14ac:dyDescent="0.2">
      <c r="A2574" s="5">
        <v>2513</v>
      </c>
      <c r="B2574" s="1832">
        <f>'Acct Summary 7-8'!D20</f>
        <v>64178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226286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225799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485342</v>
      </c>
      <c r="C2595" s="2" t="s">
        <v>569</v>
      </c>
      <c r="D2595" s="2" t="str">
        <f t="shared" si="39"/>
        <v>Error?</v>
      </c>
    </row>
    <row r="2596" spans="1:4" x14ac:dyDescent="0.2">
      <c r="A2596" s="5">
        <v>2535</v>
      </c>
      <c r="B2596" s="1832">
        <f>'Acct Summary 7-8'!F13</f>
        <v>316740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33360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350100</v>
      </c>
      <c r="C2600" s="2" t="s">
        <v>569</v>
      </c>
      <c r="D2600" s="2" t="str">
        <f t="shared" si="39"/>
        <v>Error?</v>
      </c>
    </row>
    <row r="2601" spans="1:4" x14ac:dyDescent="0.2">
      <c r="A2601" s="5">
        <v>2540</v>
      </c>
      <c r="B2601" s="1832">
        <f>'Acct Summary 7-8'!F20</f>
        <v>135242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140091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140091</v>
      </c>
      <c r="C2606" s="2" t="s">
        <v>569</v>
      </c>
      <c r="D2606" s="2" t="str">
        <f t="shared" si="39"/>
        <v>Error?</v>
      </c>
    </row>
    <row r="2607" spans="1:4" x14ac:dyDescent="0.2">
      <c r="A2607" s="5">
        <v>2546</v>
      </c>
      <c r="B2607" s="1832">
        <f>'Acct Summary 7-8'!G12</f>
        <v>36554</v>
      </c>
      <c r="C2607" s="2" t="s">
        <v>569</v>
      </c>
      <c r="D2607" s="2" t="str">
        <f t="shared" si="39"/>
        <v>Error?</v>
      </c>
    </row>
    <row r="2608" spans="1:4" x14ac:dyDescent="0.2">
      <c r="A2608" s="5">
        <v>2547</v>
      </c>
      <c r="B2608" s="1832">
        <f>'Acct Summary 7-8'!G13</f>
        <v>52190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146629</v>
      </c>
      <c r="C2612" s="2" t="s">
        <v>569</v>
      </c>
      <c r="D2612" s="2" t="str">
        <f t="shared" si="39"/>
        <v>Error?</v>
      </c>
    </row>
    <row r="2613" spans="1:4" x14ac:dyDescent="0.2">
      <c r="A2613" s="5">
        <v>2552</v>
      </c>
      <c r="B2613" s="1832">
        <f>'Acct Summary 7-8'!G20</f>
        <v>-6538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526358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526358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521259</v>
      </c>
      <c r="C2634" s="2" t="s">
        <v>569</v>
      </c>
      <c r="D2634" s="2" t="str">
        <f t="shared" si="40"/>
        <v>Error?</v>
      </c>
    </row>
    <row r="2635" spans="1:4" x14ac:dyDescent="0.2">
      <c r="A2635" s="5">
        <v>2574</v>
      </c>
      <c r="B2635" s="1832">
        <f>'Acct Summary 7-8'!E17</f>
        <v>521259</v>
      </c>
      <c r="C2635" s="2" t="s">
        <v>569</v>
      </c>
      <c r="D2635" s="2" t="str">
        <f t="shared" si="40"/>
        <v>Error?</v>
      </c>
    </row>
    <row r="2636" spans="1:4" x14ac:dyDescent="0.2">
      <c r="A2636" s="5">
        <v>2575</v>
      </c>
      <c r="B2636" s="1832">
        <f>'Acct Summary 7-8'!E20</f>
        <v>5099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258305</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258305</v>
      </c>
      <c r="C2658" s="2" t="s">
        <v>569</v>
      </c>
      <c r="D2658" s="2" t="str">
        <f t="shared" si="40"/>
        <v>Error?</v>
      </c>
    </row>
    <row r="2659" spans="1:4" x14ac:dyDescent="0.2">
      <c r="A2659" s="5">
        <v>2598</v>
      </c>
      <c r="B2659" s="1832">
        <f>'Acct Summary 7-8'!H13</f>
        <v>176708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176708</v>
      </c>
      <c r="C2661" s="2" t="s">
        <v>569</v>
      </c>
      <c r="D2661" s="2" t="str">
        <f t="shared" si="40"/>
        <v>Error?</v>
      </c>
    </row>
    <row r="2662" spans="1:4" x14ac:dyDescent="0.2">
      <c r="A2662" s="5">
        <v>2601</v>
      </c>
      <c r="B2662" s="1832">
        <f>'Acct Summary 7-8'!H20</f>
        <v>81597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1088014</v>
      </c>
      <c r="C2789" s="2" t="s">
        <v>569</v>
      </c>
      <c r="D2789" s="2" t="str">
        <f t="shared" si="42"/>
        <v>Error?</v>
      </c>
    </row>
    <row r="2790" spans="1:4" x14ac:dyDescent="0.2">
      <c r="A2790" s="5">
        <v>2729</v>
      </c>
      <c r="B2790" s="1832">
        <f>'Expenditures 15-22'!E102</f>
        <v>1088014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33360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33360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799324</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799800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2442</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86905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799800</v>
      </c>
      <c r="D2912" s="2" t="str">
        <f t="shared" si="44"/>
        <v>Error?</v>
      </c>
    </row>
    <row r="2913" spans="1:4" x14ac:dyDescent="0.2">
      <c r="A2913" s="5">
        <v>2852</v>
      </c>
      <c r="B2913" s="1832">
        <f>'Assets-Liab 5-6'!I41</f>
        <v>799800</v>
      </c>
      <c r="C2913" s="2" t="s">
        <v>569</v>
      </c>
      <c r="D2913" s="2" t="str">
        <f t="shared" si="44"/>
        <v>Error?</v>
      </c>
    </row>
    <row r="2914" spans="1:4" x14ac:dyDescent="0.2">
      <c r="A2914" s="5">
        <v>2853</v>
      </c>
      <c r="B2914" s="1832">
        <f>'Assets-Liab 5-6'!L33</f>
        <v>86905</v>
      </c>
      <c r="D2914" s="2" t="str">
        <f t="shared" si="44"/>
        <v>Error?</v>
      </c>
    </row>
    <row r="2915" spans="1:4" x14ac:dyDescent="0.2">
      <c r="A2915" s="10">
        <v>2854</v>
      </c>
      <c r="B2915" s="1832"/>
      <c r="D2915" s="2" t="str">
        <f t="shared" si="44"/>
        <v>OK</v>
      </c>
    </row>
    <row r="2916" spans="1:4" x14ac:dyDescent="0.2">
      <c r="A2916" s="5">
        <v>2855</v>
      </c>
      <c r="B2916" s="1832">
        <f>'Assets-Liab 5-6'!L34</f>
        <v>86905</v>
      </c>
      <c r="C2916" s="2" t="s">
        <v>569</v>
      </c>
      <c r="D2916" s="2" t="str">
        <f t="shared" si="44"/>
        <v>Error?</v>
      </c>
    </row>
    <row r="2917" spans="1:4" x14ac:dyDescent="0.2">
      <c r="A2917" s="5">
        <v>2856</v>
      </c>
      <c r="B2917" s="1832">
        <f>'Assets-Liab 5-6'!L41</f>
        <v>86905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1081023</v>
      </c>
      <c r="D2949" s="2" t="str">
        <f t="shared" si="45"/>
        <v>Error?</v>
      </c>
    </row>
    <row r="2950" spans="1:4" x14ac:dyDescent="0.2">
      <c r="A2950" s="5">
        <v>2889</v>
      </c>
      <c r="B2950" s="1832">
        <f>'Expenditures 15-22'!E79</f>
        <v>6991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1081023</v>
      </c>
      <c r="C2973" s="2" t="s">
        <v>569</v>
      </c>
      <c r="D2973" s="2" t="str">
        <f t="shared" si="45"/>
        <v>Error?</v>
      </c>
    </row>
    <row r="2974" spans="1:4" x14ac:dyDescent="0.2">
      <c r="A2974" s="5">
        <v>2913</v>
      </c>
      <c r="B2974" s="1832">
        <f>'Expenditures 15-22'!K79</f>
        <v>6991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276</v>
      </c>
      <c r="C2988" s="2" t="s">
        <v>569</v>
      </c>
      <c r="D2988" s="2" t="str">
        <f t="shared" si="45"/>
        <v>Error?</v>
      </c>
    </row>
    <row r="2989" spans="1:4" x14ac:dyDescent="0.2">
      <c r="A2989" s="5">
        <v>2928</v>
      </c>
      <c r="B2989" s="1832">
        <f>'Expenditures 15-22'!E188</f>
        <v>26985</v>
      </c>
      <c r="D2989" s="2" t="str">
        <f t="shared" si="45"/>
        <v>Error?</v>
      </c>
    </row>
    <row r="2990" spans="1:4" x14ac:dyDescent="0.2">
      <c r="A2990" s="5">
        <v>2929</v>
      </c>
      <c r="B2990" s="1832">
        <f>'Expenditures 15-22'!E189</f>
        <v>6375</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26985</v>
      </c>
      <c r="C3007" s="2" t="s">
        <v>569</v>
      </c>
      <c r="D3007" s="2" t="str">
        <f t="shared" ref="D3007:D3070" si="46">IF(ISBLANK(B3007),"OK",IF(A3007-B3007=0,"OK","Error?"))</f>
        <v>Error?</v>
      </c>
    </row>
    <row r="3008" spans="1:4" x14ac:dyDescent="0.2">
      <c r="A3008" s="5">
        <v>2947</v>
      </c>
      <c r="B3008" s="1832">
        <f>'Expenditures 15-22'!K189</f>
        <v>6375</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42982</v>
      </c>
      <c r="D3055" s="2" t="str">
        <f t="shared" si="46"/>
        <v>Error?</v>
      </c>
    </row>
    <row r="3056" spans="1:4" x14ac:dyDescent="0.2">
      <c r="A3056" s="5">
        <v>2995</v>
      </c>
      <c r="B3056" s="1832">
        <f>'Expenditures 15-22'!D10</f>
        <v>17010</v>
      </c>
      <c r="D3056" s="2" t="str">
        <f t="shared" si="46"/>
        <v>Error?</v>
      </c>
    </row>
    <row r="3057" spans="1:4" x14ac:dyDescent="0.2">
      <c r="A3057" s="5">
        <v>2996</v>
      </c>
      <c r="B3057" s="1832">
        <f>'Expenditures 15-22'!E10</f>
        <v>325</v>
      </c>
      <c r="D3057" s="2" t="str">
        <f t="shared" si="46"/>
        <v>Error?</v>
      </c>
    </row>
    <row r="3058" spans="1:4" x14ac:dyDescent="0.2">
      <c r="A3058" s="5">
        <v>2997</v>
      </c>
      <c r="B3058" s="1832">
        <f>'Expenditures 15-22'!F10</f>
        <v>2839</v>
      </c>
      <c r="D3058" s="2" t="str">
        <f t="shared" si="46"/>
        <v>Error?</v>
      </c>
    </row>
    <row r="3059" spans="1:4" x14ac:dyDescent="0.2">
      <c r="A3059" s="5">
        <v>2998</v>
      </c>
      <c r="B3059" s="1832">
        <f>'Expenditures 15-22'!G10</f>
        <v>12602</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75758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74342</v>
      </c>
      <c r="C3225" s="2" t="s">
        <v>569</v>
      </c>
      <c r="D3225" s="2" t="str">
        <f t="shared" si="49"/>
        <v>Error?</v>
      </c>
    </row>
    <row r="3226" spans="1:4" x14ac:dyDescent="0.2">
      <c r="A3226" s="5">
        <v>3165</v>
      </c>
      <c r="B3226" s="1832">
        <f>'Acct Summary 7-8'!I8</f>
        <v>74342</v>
      </c>
      <c r="C3226" s="2" t="s">
        <v>569</v>
      </c>
      <c r="D3226" s="2" t="str">
        <f t="shared" si="49"/>
        <v>Error?</v>
      </c>
    </row>
    <row r="3227" spans="1:4" x14ac:dyDescent="0.2">
      <c r="A3227" s="5">
        <v>3166</v>
      </c>
      <c r="B3227" s="1832">
        <f>'Acct Summary 7-8'!I20</f>
        <v>74342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736980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64178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135242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-6538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5099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81597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74342</v>
      </c>
      <c r="C3320" s="2" t="s">
        <v>569</v>
      </c>
      <c r="D3320" s="2" t="str">
        <f t="shared" si="50"/>
        <v>Error?</v>
      </c>
    </row>
    <row r="3321" spans="1:4" x14ac:dyDescent="0.2">
      <c r="A3321" s="5">
        <v>3260</v>
      </c>
      <c r="B3321" s="1832">
        <f>'Acct Summary 7-8'!I79</f>
        <v>725458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799800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140004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47225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2176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923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190328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25144</v>
      </c>
      <c r="D3387" s="2" t="str">
        <f t="shared" si="51"/>
        <v>Error?</v>
      </c>
    </row>
    <row r="3388" spans="1:4" x14ac:dyDescent="0.2">
      <c r="A3388" s="5">
        <v>3327</v>
      </c>
      <c r="B3388" s="1832">
        <f>'Expenditures 15-22'!D217</f>
        <v>9436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25144</v>
      </c>
      <c r="C3390" s="2" t="s">
        <v>569</v>
      </c>
      <c r="D3390" s="2" t="str">
        <f t="shared" si="51"/>
        <v>Error?</v>
      </c>
    </row>
    <row r="3391" spans="1:4" x14ac:dyDescent="0.2">
      <c r="A3391" s="5">
        <v>3330</v>
      </c>
      <c r="B3391" s="1832">
        <f>'Expenditures 15-22'!K217</f>
        <v>9436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130348</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33257</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1931039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301170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36598</v>
      </c>
      <c r="D3417" s="2" t="str">
        <f t="shared" si="52"/>
        <v>Error?</v>
      </c>
    </row>
    <row r="3418" spans="1:4" x14ac:dyDescent="0.2">
      <c r="A3418" s="10">
        <v>3357</v>
      </c>
      <c r="B3418" s="1832"/>
      <c r="D3418" s="2" t="str">
        <f t="shared" si="52"/>
        <v>OK</v>
      </c>
    </row>
    <row r="3419" spans="1:4" x14ac:dyDescent="0.2">
      <c r="A3419" s="5">
        <v>3358</v>
      </c>
      <c r="B3419" s="1832">
        <f>'Assets-Liab 5-6'!F4</f>
        <v>1001651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135357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311134</v>
      </c>
      <c r="D3425" s="2" t="str">
        <f t="shared" si="52"/>
        <v>Error?</v>
      </c>
    </row>
    <row r="3426" spans="1:4" x14ac:dyDescent="0.2">
      <c r="A3426" s="10">
        <v>3365</v>
      </c>
      <c r="B3426" s="1832"/>
      <c r="D3426" s="2" t="str">
        <f t="shared" si="52"/>
        <v>OK</v>
      </c>
    </row>
    <row r="3427" spans="1:4" x14ac:dyDescent="0.2">
      <c r="A3427" s="5">
        <v>3366</v>
      </c>
      <c r="B3427" s="1832">
        <f>'Assets-Liab 5-6'!I4</f>
        <v>476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84463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79710</v>
      </c>
      <c r="C3446" s="2" t="s">
        <v>569</v>
      </c>
      <c r="D3446" s="2" t="str">
        <f t="shared" si="52"/>
        <v>Error?</v>
      </c>
    </row>
    <row r="3447" spans="1:4" x14ac:dyDescent="0.2">
      <c r="A3447" s="5">
        <v>3386</v>
      </c>
      <c r="B3447" s="1832">
        <f>'Tax Sched 23'!D16</f>
        <v>79710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100003</v>
      </c>
      <c r="C3449" s="2" t="s">
        <v>569</v>
      </c>
      <c r="D3449" s="2" t="str">
        <f t="shared" si="52"/>
        <v>Error?</v>
      </c>
    </row>
    <row r="3450" spans="1:4" x14ac:dyDescent="0.2">
      <c r="A3450" s="5">
        <v>3389</v>
      </c>
      <c r="B3450" s="1832">
        <f>'Tax Sched 23'!E16</f>
        <v>100003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222635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188039</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410674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410674</v>
      </c>
      <c r="D3567" s="2" t="str">
        <f t="shared" si="54"/>
        <v>Error?</v>
      </c>
    </row>
    <row r="3568" spans="1:4" x14ac:dyDescent="0.2">
      <c r="A3568" s="5">
        <v>3507</v>
      </c>
      <c r="B3568" s="1832">
        <f>'Assets-Liab 5-6'!K41</f>
        <v>410674</v>
      </c>
      <c r="C3568" s="2" t="s">
        <v>569</v>
      </c>
      <c r="D3568" s="2" t="str">
        <f t="shared" si="54"/>
        <v>Error?</v>
      </c>
    </row>
    <row r="3569" spans="1:4" x14ac:dyDescent="0.2">
      <c r="A3569" s="5">
        <v>3508</v>
      </c>
      <c r="B3569" s="1832">
        <f>'Acct Summary 7-8'!K4</f>
        <v>61039</v>
      </c>
      <c r="C3569" s="2" t="s">
        <v>569</v>
      </c>
      <c r="D3569" s="2" t="str">
        <f t="shared" si="54"/>
        <v>Error?</v>
      </c>
    </row>
    <row r="3570" spans="1:4" x14ac:dyDescent="0.2">
      <c r="A3570" s="5">
        <v>3509</v>
      </c>
      <c r="B3570" s="1832">
        <f>'Acct Summary 7-8'!K6</f>
        <v>50000</v>
      </c>
      <c r="C3570" s="2" t="s">
        <v>569</v>
      </c>
      <c r="D3570" s="2" t="str">
        <f t="shared" si="54"/>
        <v>Error?</v>
      </c>
    </row>
    <row r="3571" spans="1:4" x14ac:dyDescent="0.2">
      <c r="A3571" s="5">
        <v>3510</v>
      </c>
      <c r="B3571" s="1832">
        <f>'Acct Summary 7-8'!K8</f>
        <v>111039</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111039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111039</v>
      </c>
      <c r="C3588" s="2" t="s">
        <v>569</v>
      </c>
      <c r="D3588" s="2" t="str">
        <f t="shared" si="55"/>
        <v>Error?</v>
      </c>
    </row>
    <row r="3589" spans="1:4" x14ac:dyDescent="0.2">
      <c r="A3589" s="5">
        <v>3528</v>
      </c>
      <c r="B3589" s="1832">
        <f>'Acct Summary 7-8'!K79</f>
        <v>299635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410674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111039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3705</v>
      </c>
      <c r="D3721" s="2" t="str">
        <f t="shared" si="57"/>
        <v>Error?</v>
      </c>
    </row>
    <row r="3722" spans="1:4" x14ac:dyDescent="0.2">
      <c r="A3722" s="5">
        <v>3661</v>
      </c>
      <c r="B3722" s="1832">
        <f>'Expenditures 15-22'!D285</f>
        <v>57885</v>
      </c>
      <c r="C3722" s="2" t="s">
        <v>569</v>
      </c>
      <c r="D3722" s="2" t="str">
        <f t="shared" si="57"/>
        <v>Error?</v>
      </c>
    </row>
    <row r="3723" spans="1:4" x14ac:dyDescent="0.2">
      <c r="A3723" s="5">
        <v>3662</v>
      </c>
      <c r="B3723" s="1832">
        <f>'Expenditures 15-22'!K283</f>
        <v>3705</v>
      </c>
      <c r="C3723" s="2" t="s">
        <v>569</v>
      </c>
      <c r="D3723" s="2" t="str">
        <f t="shared" si="57"/>
        <v>Error?</v>
      </c>
    </row>
    <row r="3724" spans="1:4" x14ac:dyDescent="0.2">
      <c r="A3724" s="5">
        <v>3663</v>
      </c>
      <c r="B3724" s="1832">
        <f>'Expenditures 15-22'!K285</f>
        <v>57885</v>
      </c>
      <c r="C3724" s="2" t="s">
        <v>569</v>
      </c>
      <c r="D3724" s="2" t="str">
        <f t="shared" si="57"/>
        <v>Error?</v>
      </c>
    </row>
    <row r="3725" spans="1:4" x14ac:dyDescent="0.2">
      <c r="A3725" s="5">
        <v>3664</v>
      </c>
      <c r="B3725" s="1832">
        <f>'Tax Sched 23'!B13</f>
        <v>53317</v>
      </c>
      <c r="C3725" s="2" t="s">
        <v>569</v>
      </c>
      <c r="D3725" s="2" t="str">
        <f t="shared" si="57"/>
        <v>Error?</v>
      </c>
    </row>
    <row r="3726" spans="1:4" x14ac:dyDescent="0.2">
      <c r="A3726" s="5">
        <v>3665</v>
      </c>
      <c r="B3726" s="1832">
        <f>'Tax Sched 23'!D13</f>
        <v>53317</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55793</v>
      </c>
      <c r="C3728" s="2" t="s">
        <v>569</v>
      </c>
      <c r="D3728" s="2" t="str">
        <f t="shared" si="57"/>
        <v>Error?</v>
      </c>
    </row>
    <row r="3729" spans="1:4" x14ac:dyDescent="0.2">
      <c r="A3729" s="5">
        <v>3668</v>
      </c>
      <c r="B3729" s="1832">
        <f>'Tax Sched 23'!E13</f>
        <v>55793</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213441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4800780</v>
      </c>
      <c r="C4122" s="2" t="s">
        <v>569</v>
      </c>
      <c r="D4122" s="2" t="str">
        <f t="shared" si="63"/>
        <v>Error?</v>
      </c>
    </row>
    <row r="4123" spans="1:4" x14ac:dyDescent="0.2">
      <c r="A4123" s="5">
        <v>4062</v>
      </c>
      <c r="B4123" s="1832">
        <f>'Acct Summary 7-8'!D10</f>
        <v>648310</v>
      </c>
      <c r="C4123" s="2" t="s">
        <v>569</v>
      </c>
      <c r="D4123" s="2" t="str">
        <f t="shared" si="63"/>
        <v>Error?</v>
      </c>
    </row>
    <row r="4124" spans="1:4" x14ac:dyDescent="0.2">
      <c r="A4124" s="5">
        <v>4063</v>
      </c>
      <c r="B4124" s="1832">
        <f>'Acct Summary 7-8'!E10</f>
        <v>526358</v>
      </c>
      <c r="C4124" s="2" t="s">
        <v>569</v>
      </c>
      <c r="D4124" s="2" t="str">
        <f t="shared" si="63"/>
        <v>Error?</v>
      </c>
    </row>
    <row r="4125" spans="1:4" x14ac:dyDescent="0.2">
      <c r="A4125" s="5">
        <v>4064</v>
      </c>
      <c r="B4125" s="1832">
        <f>'Acct Summary 7-8'!F10</f>
        <v>485342</v>
      </c>
      <c r="C4125" s="2" t="s">
        <v>569</v>
      </c>
      <c r="D4125" s="2" t="str">
        <f t="shared" si="63"/>
        <v>Error?</v>
      </c>
    </row>
    <row r="4126" spans="1:4" x14ac:dyDescent="0.2">
      <c r="A4126" s="5">
        <v>4065</v>
      </c>
      <c r="B4126" s="1832">
        <f>'Acct Summary 7-8'!G10</f>
        <v>140091</v>
      </c>
      <c r="C4126" s="2" t="s">
        <v>569</v>
      </c>
      <c r="D4126" s="2" t="str">
        <f t="shared" si="63"/>
        <v>Error?</v>
      </c>
    </row>
    <row r="4127" spans="1:4" x14ac:dyDescent="0.2">
      <c r="A4127" s="5">
        <v>4066</v>
      </c>
      <c r="B4127" s="1832">
        <f>'Acct Summary 7-8'!H10</f>
        <v>258305</v>
      </c>
      <c r="C4127" s="2" t="s">
        <v>569</v>
      </c>
      <c r="D4127" s="2" t="str">
        <f t="shared" si="63"/>
        <v>Error?</v>
      </c>
    </row>
    <row r="4128" spans="1:4" x14ac:dyDescent="0.2">
      <c r="A4128" s="5">
        <v>4067</v>
      </c>
      <c r="B4128" s="1832">
        <f>'Acct Summary 7-8'!I10</f>
        <v>74342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111039</v>
      </c>
      <c r="C4130" s="2" t="s">
        <v>569</v>
      </c>
      <c r="D4130" s="2" t="str">
        <f t="shared" si="63"/>
        <v>Error?</v>
      </c>
    </row>
    <row r="4131" spans="1:4" x14ac:dyDescent="0.2">
      <c r="A4131" s="5">
        <v>4070</v>
      </c>
      <c r="B4131" s="1832">
        <f>'Acct Summary 7-8'!C18</f>
        <v>213441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4063800</v>
      </c>
      <c r="C4136" s="2" t="s">
        <v>569</v>
      </c>
      <c r="D4136" s="2" t="str">
        <f t="shared" si="63"/>
        <v>Error?</v>
      </c>
    </row>
    <row r="4137" spans="1:4" x14ac:dyDescent="0.2">
      <c r="A4137" s="5">
        <v>4076</v>
      </c>
      <c r="B4137" s="1832">
        <f>'Acct Summary 7-8'!D19</f>
        <v>584132</v>
      </c>
      <c r="C4137" s="2" t="s">
        <v>569</v>
      </c>
      <c r="D4137" s="2" t="str">
        <f t="shared" si="63"/>
        <v>Error?</v>
      </c>
    </row>
    <row r="4138" spans="1:4" x14ac:dyDescent="0.2">
      <c r="A4138" s="5">
        <v>4077</v>
      </c>
      <c r="B4138" s="1832">
        <f>'Acct Summary 7-8'!E19</f>
        <v>521259</v>
      </c>
      <c r="C4138" s="2" t="s">
        <v>569</v>
      </c>
      <c r="D4138" s="2" t="str">
        <f t="shared" si="63"/>
        <v>Error?</v>
      </c>
    </row>
    <row r="4139" spans="1:4" x14ac:dyDescent="0.2">
      <c r="A4139" s="5">
        <v>4078</v>
      </c>
      <c r="B4139" s="1832">
        <f>'Acct Summary 7-8'!F19</f>
        <v>350100</v>
      </c>
      <c r="C4139" s="2" t="s">
        <v>569</v>
      </c>
      <c r="D4139" s="2" t="str">
        <f t="shared" si="63"/>
        <v>Error?</v>
      </c>
    </row>
    <row r="4140" spans="1:4" x14ac:dyDescent="0.2">
      <c r="A4140" s="5">
        <v>4079</v>
      </c>
      <c r="B4140" s="1832">
        <f>'Acct Summary 7-8'!G19</f>
        <v>146629</v>
      </c>
      <c r="C4140" s="2" t="s">
        <v>569</v>
      </c>
      <c r="D4140" s="2" t="str">
        <f t="shared" si="63"/>
        <v>Error?</v>
      </c>
    </row>
    <row r="4141" spans="1:4" x14ac:dyDescent="0.2">
      <c r="A4141" s="5">
        <v>4080</v>
      </c>
      <c r="B4141" s="1832">
        <f>'Acct Summary 7-8'!H19</f>
        <v>176708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5005000</v>
      </c>
      <c r="C4171" s="2" t="s">
        <v>569</v>
      </c>
      <c r="D4171" s="2" t="str">
        <f t="shared" si="64"/>
        <v>Error?</v>
      </c>
    </row>
    <row r="4172" spans="1:4" x14ac:dyDescent="0.2">
      <c r="A4172" s="5">
        <v>4111</v>
      </c>
      <c r="B4172" s="1832">
        <f>'Short-Term Long-Term Debt 24'!J49</f>
        <v>4968402</v>
      </c>
      <c r="C4172" s="2" t="s">
        <v>569</v>
      </c>
      <c r="D4172" s="2" t="str">
        <f t="shared" si="64"/>
        <v>Error?</v>
      </c>
    </row>
    <row r="4173" spans="1:4" x14ac:dyDescent="0.2">
      <c r="A4173" s="5">
        <v>4112</v>
      </c>
      <c r="B4173" s="1832">
        <f>'Short-Term Long-Term Debt 24'!H49</f>
        <v>340000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276</v>
      </c>
      <c r="D4201" s="2" t="str">
        <f t="shared" si="64"/>
        <v>Error?</v>
      </c>
    </row>
    <row r="4202" spans="1:4" x14ac:dyDescent="0.2">
      <c r="A4202" s="5">
        <v>4141</v>
      </c>
      <c r="B4202" s="1832">
        <f>'Expenditures 15-22'!E137</f>
        <v>255276</v>
      </c>
      <c r="C4202" s="2" t="s">
        <v>569</v>
      </c>
      <c r="D4202" s="2" t="str">
        <f t="shared" si="64"/>
        <v>Error?</v>
      </c>
    </row>
    <row r="4203" spans="1:4" x14ac:dyDescent="0.2">
      <c r="A4203" s="5">
        <v>4142</v>
      </c>
      <c r="B4203" s="1832">
        <f>'Expenditures 15-22'!E139</f>
        <v>255276</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2900</v>
      </c>
      <c r="C4268" s="2" t="s">
        <v>569</v>
      </c>
      <c r="D4268" s="2" t="str">
        <f t="shared" si="65"/>
        <v>Error?</v>
      </c>
    </row>
    <row r="4269" spans="1:5" x14ac:dyDescent="0.2">
      <c r="A4269" s="12">
        <v>4208</v>
      </c>
      <c r="B4269" s="1832">
        <f>'FP Info 3'!J16</f>
        <v>4400307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158745</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50000</v>
      </c>
      <c r="D4330" s="2" t="str">
        <f t="shared" si="66"/>
        <v>Error?</v>
      </c>
    </row>
    <row r="4331" spans="1:4" x14ac:dyDescent="0.2">
      <c r="A4331" s="5">
        <v>4270</v>
      </c>
      <c r="B4331" s="1832">
        <f>'Revenues 9-14'!C197</f>
        <v>12004</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9959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4238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6486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17859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125143240</v>
      </c>
      <c r="D4995" s="2" t="str">
        <f t="shared" si="77"/>
        <v>Error?</v>
      </c>
    </row>
    <row r="4996" spans="1:4" x14ac:dyDescent="0.2">
      <c r="A4996" s="12">
        <v>4935</v>
      </c>
      <c r="B4996" s="1832">
        <f>'FP Info 3'!H31</f>
        <v>17269767.120000001</v>
      </c>
      <c r="D4996" s="2" t="str">
        <f t="shared" si="77"/>
        <v>Error?</v>
      </c>
    </row>
    <row r="4997" spans="1:4" x14ac:dyDescent="0.2">
      <c r="A4997" s="12">
        <v>4936</v>
      </c>
      <c r="B4997" s="1832">
        <f>'FP Info 3'!H37</f>
        <v>5005000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50000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53317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2345938</v>
      </c>
      <c r="D5061" s="2" t="str">
        <f t="shared" si="78"/>
        <v>Error?</v>
      </c>
    </row>
    <row r="5062" spans="1:4" x14ac:dyDescent="0.2">
      <c r="A5062" s="10">
        <v>5001</v>
      </c>
      <c r="B5062" s="1832"/>
      <c r="D5062" s="2" t="str">
        <f t="shared" si="78"/>
        <v>OK</v>
      </c>
    </row>
    <row r="5063" spans="1:4" x14ac:dyDescent="0.2">
      <c r="A5063" s="5">
        <v>5002</v>
      </c>
      <c r="B5063" s="1832">
        <f>'Revenues 9-14'!C7</f>
        <v>42653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2441908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123959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123959</v>
      </c>
      <c r="C5071" s="2" t="s">
        <v>569</v>
      </c>
      <c r="D5071" s="2" t="str">
        <f t="shared" si="78"/>
        <v>Error?</v>
      </c>
    </row>
    <row r="5072" spans="1:4" x14ac:dyDescent="0.2">
      <c r="A5072" s="5">
        <v>5011</v>
      </c>
      <c r="B5072" s="1832">
        <f>'Revenues 9-14'!C20</f>
        <v>2500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2500</v>
      </c>
      <c r="C5087" s="2" t="s">
        <v>569</v>
      </c>
      <c r="D5087" s="2" t="str">
        <f t="shared" si="78"/>
        <v>Error?</v>
      </c>
    </row>
    <row r="5088" spans="1:4" x14ac:dyDescent="0.2">
      <c r="A5088" s="5">
        <v>5027</v>
      </c>
      <c r="B5088" s="1832">
        <f>'Revenues 9-14'!C65</f>
        <v>43116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43116</v>
      </c>
      <c r="C5090" s="2" t="s">
        <v>569</v>
      </c>
      <c r="D5090" s="2" t="str">
        <f t="shared" si="78"/>
        <v>Error?</v>
      </c>
    </row>
    <row r="5091" spans="1:4" x14ac:dyDescent="0.2">
      <c r="A5091" s="5">
        <v>5030</v>
      </c>
      <c r="B5091" s="1832">
        <f>'Revenues 9-14'!C70</f>
        <v>6053</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1932</v>
      </c>
      <c r="D5094" s="2" t="str">
        <f t="shared" si="78"/>
        <v>Error?</v>
      </c>
    </row>
    <row r="5095" spans="1:4" x14ac:dyDescent="0.2">
      <c r="A5095" s="5">
        <v>5034</v>
      </c>
      <c r="B5095" s="1832">
        <f>'Revenues 9-14'!C74</f>
        <v>40</v>
      </c>
      <c r="D5095" s="2" t="str">
        <f t="shared" si="78"/>
        <v>Error?</v>
      </c>
    </row>
    <row r="5096" spans="1:4" x14ac:dyDescent="0.2">
      <c r="A5096" s="5">
        <v>5035</v>
      </c>
      <c r="B5096" s="1832">
        <f>'Revenues 9-14'!C75</f>
        <v>61062</v>
      </c>
      <c r="C5096" s="2" t="s">
        <v>569</v>
      </c>
      <c r="D5096" s="2" t="str">
        <f t="shared" si="78"/>
        <v>Error?</v>
      </c>
    </row>
    <row r="5097" spans="1:4" x14ac:dyDescent="0.2">
      <c r="A5097" s="5">
        <v>5036</v>
      </c>
      <c r="B5097" s="1832">
        <f>'Revenues 9-14'!C77</f>
        <v>9106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9106</v>
      </c>
      <c r="C5102" s="2" t="s">
        <v>569</v>
      </c>
      <c r="D5102" s="2" t="str">
        <f t="shared" si="78"/>
        <v>Error?</v>
      </c>
    </row>
    <row r="5103" spans="1:4" x14ac:dyDescent="0.2">
      <c r="A5103" s="5">
        <v>5042</v>
      </c>
      <c r="B5103" s="1832">
        <f>'Revenues 9-14'!C84</f>
        <v>23375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23375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100</v>
      </c>
      <c r="D5119" s="2" t="str">
        <f t="shared" ref="D5119:D5182" si="79">IF(ISBLANK(B5119),"OK",IF(A5119-B5119=0,"OK","Error?"))</f>
        <v>Error?</v>
      </c>
    </row>
    <row r="5120" spans="1:4" x14ac:dyDescent="0.2">
      <c r="A5120" s="5">
        <v>5059</v>
      </c>
      <c r="B5120" s="1832">
        <f>'Revenues 9-14'!C108</f>
        <v>100</v>
      </c>
      <c r="C5120" s="2" t="s">
        <v>569</v>
      </c>
      <c r="D5120" s="2" t="str">
        <f t="shared" si="79"/>
        <v>Error?</v>
      </c>
    </row>
    <row r="5121" spans="1:4" x14ac:dyDescent="0.2">
      <c r="A5121" s="5">
        <v>5060</v>
      </c>
      <c r="B5121" s="1832">
        <f>'Revenues 9-14'!C109</f>
        <v>2705126</v>
      </c>
      <c r="C5121" s="2" t="s">
        <v>569</v>
      </c>
      <c r="D5121" s="2" t="str">
        <f t="shared" si="79"/>
        <v>Error?</v>
      </c>
    </row>
    <row r="5122" spans="1:4" x14ac:dyDescent="0.2">
      <c r="A5122" s="5">
        <v>5061</v>
      </c>
      <c r="B5122" s="1832">
        <f>'Revenues 9-14'!C111</f>
        <v>130348</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130348</v>
      </c>
      <c r="C5125" s="2" t="s">
        <v>569</v>
      </c>
      <c r="D5125" s="2" t="str">
        <f t="shared" si="79"/>
        <v>Error?</v>
      </c>
    </row>
    <row r="5126" spans="1:4" x14ac:dyDescent="0.2">
      <c r="A5126" s="5">
        <v>5065</v>
      </c>
      <c r="B5126" s="1832">
        <f>'Revenues 9-14'!C117</f>
        <v>1297690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1297690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21683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180428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3538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737</v>
      </c>
      <c r="D5167" s="2" t="str">
        <f t="shared" si="79"/>
        <v>Error?</v>
      </c>
    </row>
    <row r="5168" spans="1:4" x14ac:dyDescent="0.2">
      <c r="A5168" s="5">
        <v>5107</v>
      </c>
      <c r="B5168" s="1832">
        <f>'Revenues 9-14'!C148</f>
        <v>4388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189841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1487531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40162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12953</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65119</v>
      </c>
      <c r="C5246" s="2" t="s">
        <v>569</v>
      </c>
      <c r="D5246" s="2" t="str">
        <f t="shared" si="80"/>
        <v>Error?</v>
      </c>
    </row>
    <row r="5247" spans="1:4" x14ac:dyDescent="0.2">
      <c r="A5247" s="5">
        <v>5186</v>
      </c>
      <c r="B5247" s="1832">
        <f>'Revenues 9-14'!C200</f>
        <v>83066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6486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83066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70000</v>
      </c>
      <c r="D5278" s="2" t="str">
        <f t="shared" si="81"/>
        <v>Error?</v>
      </c>
    </row>
    <row r="5279" spans="1:4" x14ac:dyDescent="0.2">
      <c r="A5279" s="5">
        <v>5218</v>
      </c>
      <c r="B5279" s="1832">
        <f>'Revenues 9-14'!C214</f>
        <v>7607</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77607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264334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264334</v>
      </c>
      <c r="C5326" s="2" t="s">
        <v>569</v>
      </c>
      <c r="D5326" s="2" t="str">
        <f t="shared" si="82"/>
        <v>Error?</v>
      </c>
    </row>
    <row r="5327" spans="1:5" x14ac:dyDescent="0.2">
      <c r="A5327" s="5">
        <v>5266</v>
      </c>
      <c r="B5327" s="1832">
        <f>'Revenues 9-14'!C268</f>
        <v>4587339</v>
      </c>
      <c r="C5327" s="2" t="s">
        <v>569</v>
      </c>
      <c r="D5327" s="2" t="str">
        <f t="shared" si="82"/>
        <v>Error?</v>
      </c>
    </row>
    <row r="5328" spans="1:5" x14ac:dyDescent="0.2">
      <c r="A5328" s="5">
        <v>5267</v>
      </c>
      <c r="B5328" s="1832">
        <f>'Revenues 9-14'!D5</f>
        <v>533168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533168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5865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5865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9277</v>
      </c>
      <c r="D5354" s="2" t="str">
        <f t="shared" si="82"/>
        <v>Error?</v>
      </c>
    </row>
    <row r="5355" spans="1:4" x14ac:dyDescent="0.2">
      <c r="A5355" s="5">
        <v>5294</v>
      </c>
      <c r="B5355" s="1832">
        <f>'Revenues 9-14'!D108</f>
        <v>9277</v>
      </c>
      <c r="C5355" s="2" t="s">
        <v>569</v>
      </c>
      <c r="D5355" s="2" t="str">
        <f t="shared" si="82"/>
        <v>Error?</v>
      </c>
    </row>
    <row r="5356" spans="1:4" x14ac:dyDescent="0.2">
      <c r="A5356" s="5">
        <v>5295</v>
      </c>
      <c r="B5356" s="1832">
        <f>'Revenues 9-14'!D109</f>
        <v>548310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100000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100000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648310</v>
      </c>
      <c r="C5508" s="2" t="s">
        <v>569</v>
      </c>
      <c r="D5508" s="2" t="str">
        <f t="shared" si="85"/>
        <v>Error?</v>
      </c>
    </row>
    <row r="5509" spans="1:4" x14ac:dyDescent="0.2">
      <c r="A5509" s="5">
        <v>5448</v>
      </c>
      <c r="B5509" s="1832">
        <f>'Revenues 9-14'!E5</f>
        <v>479289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479289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44000</v>
      </c>
      <c r="D5517" s="2" t="str">
        <f t="shared" si="85"/>
        <v>Error?</v>
      </c>
    </row>
    <row r="5518" spans="1:4" x14ac:dyDescent="0.2">
      <c r="A5518" s="5">
        <v>5457</v>
      </c>
      <c r="B5518" s="1832">
        <f>'Revenues 9-14'!E18</f>
        <v>44000</v>
      </c>
      <c r="C5518" s="2" t="s">
        <v>569</v>
      </c>
      <c r="D5518" s="2" t="str">
        <f t="shared" si="85"/>
        <v>Error?</v>
      </c>
    </row>
    <row r="5519" spans="1:4" x14ac:dyDescent="0.2">
      <c r="A5519" s="5">
        <v>5458</v>
      </c>
      <c r="B5519" s="1832">
        <f>'Revenues 9-14'!E65</f>
        <v>3069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3069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526358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526358</v>
      </c>
      <c r="C5552" s="2" t="s">
        <v>569</v>
      </c>
      <c r="D5552" s="2" t="str">
        <f t="shared" si="85"/>
        <v>Error?</v>
      </c>
    </row>
    <row r="5553" spans="1:4" x14ac:dyDescent="0.2">
      <c r="A5553" s="5">
        <v>5492</v>
      </c>
      <c r="B5553" s="1832">
        <f>'Revenues 9-14'!F5</f>
        <v>213267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213267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13019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13019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226286</v>
      </c>
      <c r="C5588" s="2" t="s">
        <v>569</v>
      </c>
      <c r="D5588" s="2" t="str">
        <f t="shared" si="86"/>
        <v>Error?</v>
      </c>
    </row>
    <row r="5589" spans="1:4" x14ac:dyDescent="0.2">
      <c r="A5589" s="5">
        <v>5528</v>
      </c>
      <c r="B5589" s="1832">
        <f>'Revenues 9-14'!F111</f>
        <v>33257</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33257</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180784</v>
      </c>
      <c r="D5615" s="2" t="str">
        <f t="shared" si="86"/>
        <v>Error?</v>
      </c>
    </row>
    <row r="5616" spans="1:4" x14ac:dyDescent="0.2">
      <c r="A5616" s="10">
        <v>5555</v>
      </c>
      <c r="B5616" s="1832"/>
      <c r="D5616" s="2" t="str">
        <f t="shared" si="86"/>
        <v>OK</v>
      </c>
    </row>
    <row r="5617" spans="1:5" x14ac:dyDescent="0.2">
      <c r="A5617" s="5">
        <v>5556</v>
      </c>
      <c r="B5617" s="1832">
        <f>'Revenues 9-14'!F153</f>
        <v>45015</v>
      </c>
      <c r="D5617" s="2" t="str">
        <f t="shared" si="86"/>
        <v>Error?</v>
      </c>
    </row>
    <row r="5618" spans="1:5" x14ac:dyDescent="0.2">
      <c r="A5618" s="5">
        <v>5557</v>
      </c>
      <c r="B5618" s="1832">
        <f>'Revenues 9-14'!F155</f>
        <v>225799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225799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225799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485342</v>
      </c>
      <c r="C5720" s="2" t="s">
        <v>569</v>
      </c>
      <c r="D5720" s="2" t="str">
        <f t="shared" si="88"/>
        <v>Error?</v>
      </c>
    </row>
    <row r="5721" spans="1:4" x14ac:dyDescent="0.2">
      <c r="A5721" s="5">
        <v>5660</v>
      </c>
      <c r="B5721" s="1832">
        <f>'Revenues 9-14'!G5</f>
        <v>54800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79710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134510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3000</v>
      </c>
      <c r="C5730" s="2" t="s">
        <v>569</v>
      </c>
      <c r="D5730" s="2" t="str">
        <f t="shared" si="88"/>
        <v>Error?</v>
      </c>
    </row>
    <row r="5731" spans="1:4" x14ac:dyDescent="0.2">
      <c r="A5731" s="5">
        <v>5670</v>
      </c>
      <c r="B5731" s="1832">
        <f>'Revenues 9-14'!G65</f>
        <v>2581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2581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140091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4749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4749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253556</v>
      </c>
      <c r="D5885" s="2" t="str">
        <f t="shared" si="90"/>
        <v>Error?</v>
      </c>
    </row>
    <row r="5886" spans="1:4" x14ac:dyDescent="0.2">
      <c r="A5886" s="5">
        <v>5825</v>
      </c>
      <c r="B5886" s="1832">
        <f>'Revenues 9-14'!H108</f>
        <v>253556</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258305</v>
      </c>
      <c r="C5915" s="2" t="s">
        <v>569</v>
      </c>
      <c r="D5915" s="2" t="str">
        <f t="shared" si="91"/>
        <v>Error?</v>
      </c>
    </row>
    <row r="5916" spans="1:4" x14ac:dyDescent="0.2">
      <c r="A5916" s="5">
        <v>5855</v>
      </c>
      <c r="B5916" s="1832">
        <f>'Revenues 9-14'!I5</f>
        <v>53317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53317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21025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21025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74342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53316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53316</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7723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7723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111039</v>
      </c>
      <c r="C6023" s="2" t="s">
        <v>569</v>
      </c>
      <c r="D6023" s="2" t="str">
        <f t="shared" si="93"/>
        <v>Error?</v>
      </c>
    </row>
    <row r="6024" spans="1:5" x14ac:dyDescent="0.2">
      <c r="A6024" s="5">
        <v>5963</v>
      </c>
      <c r="B6024" s="1832">
        <f>'Revenues 9-14'!G109</f>
        <v>140091</v>
      </c>
      <c r="C6024" s="2" t="s">
        <v>569</v>
      </c>
      <c r="D6024" s="2" t="str">
        <f t="shared" si="93"/>
        <v>Error?</v>
      </c>
    </row>
    <row r="6025" spans="1:5" x14ac:dyDescent="0.2">
      <c r="A6025" s="5">
        <v>5964</v>
      </c>
      <c r="B6025" s="1832">
        <f>'Revenues 9-14'!H109</f>
        <v>258305</v>
      </c>
      <c r="C6025" s="2" t="s">
        <v>569</v>
      </c>
      <c r="D6025" s="2" t="str">
        <f t="shared" si="93"/>
        <v>Error?</v>
      </c>
    </row>
    <row r="6026" spans="1:5" x14ac:dyDescent="0.2">
      <c r="A6026" s="5">
        <v>5965</v>
      </c>
      <c r="B6026" s="1832">
        <f>'Revenues 9-14'!I109</f>
        <v>74342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61039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53037</v>
      </c>
      <c r="D6031" s="2" t="str">
        <f t="shared" si="93"/>
        <v>Error?</v>
      </c>
    </row>
    <row r="6032" spans="1:5" x14ac:dyDescent="0.2">
      <c r="A6032" s="5">
        <v>5971</v>
      </c>
      <c r="B6032" s="1832">
        <f>'Acct Summary 7-8'!G15</f>
        <v>57885</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465.08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513606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513606</v>
      </c>
      <c r="D6215" s="2" t="str">
        <f t="shared" si="96"/>
        <v>Error?</v>
      </c>
      <c r="E6215" s="2" t="s">
        <v>189</v>
      </c>
    </row>
    <row r="6216" spans="1:5" x14ac:dyDescent="0.2">
      <c r="A6216">
        <v>6155</v>
      </c>
      <c r="B6216" s="1832">
        <f>'Assets-Liab 5-6'!J41</f>
        <v>513606</v>
      </c>
      <c r="D6216" s="2" t="str">
        <f t="shared" si="96"/>
        <v>Error?</v>
      </c>
      <c r="E6216" s="2" t="s">
        <v>189</v>
      </c>
    </row>
    <row r="6217" spans="1:5" x14ac:dyDescent="0.2">
      <c r="A6217">
        <v>6156</v>
      </c>
      <c r="B6217" s="1832">
        <f>'Assets-Liab 5-6'!J4</f>
        <v>78324</v>
      </c>
      <c r="D6217" s="2" t="str">
        <f t="shared" si="96"/>
        <v>Error?</v>
      </c>
      <c r="E6217" s="2" t="s">
        <v>189</v>
      </c>
    </row>
    <row r="6218" spans="1:5" x14ac:dyDescent="0.2">
      <c r="A6218">
        <v>6157</v>
      </c>
      <c r="B6218" s="1832">
        <f>'Assets-Liab 5-6'!J5</f>
        <v>435282</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222951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222951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222951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170377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170377</v>
      </c>
      <c r="D6229" s="2" t="str">
        <f t="shared" si="96"/>
        <v>Error?</v>
      </c>
      <c r="E6229" s="2" t="s">
        <v>189</v>
      </c>
    </row>
    <row r="6230" spans="1:5" x14ac:dyDescent="0.2">
      <c r="A6230">
        <v>6169</v>
      </c>
      <c r="B6230" s="1832">
        <f>'Acct Summary 7-8'!J20</f>
        <v>52574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52574</v>
      </c>
      <c r="D6263" s="2" t="str">
        <f t="shared" si="96"/>
        <v>Error?</v>
      </c>
      <c r="E6263" s="2" t="s">
        <v>189</v>
      </c>
    </row>
    <row r="6264" spans="1:5" x14ac:dyDescent="0.2">
      <c r="A6264">
        <v>6203</v>
      </c>
      <c r="B6264" s="1832">
        <f>'Acct Summary 7-8'!J79</f>
        <v>461032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513606</v>
      </c>
      <c r="D6266" s="2" t="str">
        <f t="shared" si="96"/>
        <v>Error?</v>
      </c>
      <c r="E6266" s="2" t="s">
        <v>189</v>
      </c>
    </row>
    <row r="6267" spans="1:5" x14ac:dyDescent="0.2">
      <c r="A6267">
        <v>6206</v>
      </c>
      <c r="B6267" s="1832">
        <f>'Acct Summary 7-8'!C82</f>
        <v>736980</v>
      </c>
      <c r="D6267" s="2" t="str">
        <f t="shared" si="96"/>
        <v>Error?</v>
      </c>
      <c r="E6267" s="2" t="s">
        <v>189</v>
      </c>
    </row>
    <row r="6268" spans="1:5" x14ac:dyDescent="0.2">
      <c r="A6268">
        <v>6207</v>
      </c>
      <c r="B6268" s="1832">
        <f>'Acct Summary 7-8'!D82</f>
        <v>64178</v>
      </c>
      <c r="D6268" s="2" t="str">
        <f t="shared" si="96"/>
        <v>Error?</v>
      </c>
      <c r="E6268" s="2" t="s">
        <v>189</v>
      </c>
    </row>
    <row r="6269" spans="1:5" x14ac:dyDescent="0.2">
      <c r="A6269">
        <v>6208</v>
      </c>
      <c r="B6269" s="1832">
        <f>'Acct Summary 7-8'!E82</f>
        <v>5099</v>
      </c>
      <c r="D6269" s="2" t="str">
        <f t="shared" si="96"/>
        <v>Error?</v>
      </c>
      <c r="E6269" s="2" t="s">
        <v>189</v>
      </c>
    </row>
    <row r="6270" spans="1:5" x14ac:dyDescent="0.2">
      <c r="A6270">
        <v>6209</v>
      </c>
      <c r="B6270" s="1832">
        <f>'Acct Summary 7-8'!F82</f>
        <v>135242</v>
      </c>
      <c r="D6270" s="2" t="str">
        <f t="shared" si="96"/>
        <v>Error?</v>
      </c>
      <c r="E6270" s="2" t="s">
        <v>189</v>
      </c>
    </row>
    <row r="6271" spans="1:5" x14ac:dyDescent="0.2">
      <c r="A6271">
        <v>6210</v>
      </c>
      <c r="B6271" s="1832">
        <f>'Acct Summary 7-8'!G82</f>
        <v>-6538</v>
      </c>
      <c r="D6271" s="2" t="str">
        <f t="shared" ref="D6271:D6334" si="97">IF(ISBLANK(B6271),"OK",IF(A6271-B6271=0,"OK","Error?"))</f>
        <v>Error?</v>
      </c>
      <c r="E6271" s="2" t="s">
        <v>189</v>
      </c>
    </row>
    <row r="6272" spans="1:5" x14ac:dyDescent="0.2">
      <c r="A6272">
        <v>6211</v>
      </c>
      <c r="B6272" s="1832">
        <f>'Acct Summary 7-8'!H82</f>
        <v>81597</v>
      </c>
      <c r="D6272" s="2" t="str">
        <f t="shared" si="97"/>
        <v>Error?</v>
      </c>
      <c r="E6272" s="2" t="s">
        <v>189</v>
      </c>
    </row>
    <row r="6273" spans="1:5" x14ac:dyDescent="0.2">
      <c r="A6273">
        <v>6212</v>
      </c>
      <c r="B6273" s="1832">
        <f>'Acct Summary 7-8'!I82</f>
        <v>74342</v>
      </c>
      <c r="D6273" s="2" t="str">
        <f t="shared" si="97"/>
        <v>Error?</v>
      </c>
      <c r="E6273" s="2" t="s">
        <v>189</v>
      </c>
    </row>
    <row r="6274" spans="1:5" x14ac:dyDescent="0.2">
      <c r="A6274">
        <v>6213</v>
      </c>
      <c r="B6274" s="1832">
        <f>'Acct Summary 7-8'!J82</f>
        <v>52574</v>
      </c>
      <c r="D6274" s="2" t="str">
        <f t="shared" si="97"/>
        <v>Error?</v>
      </c>
      <c r="E6274" s="2" t="s">
        <v>189</v>
      </c>
    </row>
    <row r="6275" spans="1:5" x14ac:dyDescent="0.2">
      <c r="A6275">
        <v>6214</v>
      </c>
      <c r="B6275" s="1832">
        <f>'Acct Summary 7-8'!K82</f>
        <v>111039</v>
      </c>
      <c r="D6275" s="2" t="str">
        <f t="shared" si="97"/>
        <v>Error?</v>
      </c>
      <c r="E6275" s="2" t="s">
        <v>189</v>
      </c>
    </row>
    <row r="6276" spans="1:5" x14ac:dyDescent="0.2">
      <c r="A6276">
        <v>6215</v>
      </c>
      <c r="B6276" s="1832">
        <f>'Acct Summary 7-8'!C83</f>
        <v>0.32074878812857804</v>
      </c>
      <c r="D6276" s="2" t="str">
        <f t="shared" si="97"/>
        <v>Error?</v>
      </c>
      <c r="E6276" s="2" t="s">
        <v>189</v>
      </c>
    </row>
    <row r="6277" spans="1:5" x14ac:dyDescent="0.2">
      <c r="A6277">
        <v>6216</v>
      </c>
      <c r="B6277" s="1832">
        <f>'Acct Summary 7-8'!D83</f>
        <v>0.21309559385064913</v>
      </c>
      <c r="D6277" s="2" t="str">
        <f t="shared" si="97"/>
        <v>Error?</v>
      </c>
      <c r="E6277" s="2" t="s">
        <v>189</v>
      </c>
    </row>
    <row r="6278" spans="1:5" x14ac:dyDescent="0.2">
      <c r="A6278">
        <v>6217</v>
      </c>
      <c r="B6278" s="1832">
        <f>'Acct Summary 7-8'!E83</f>
        <v>0.1393245532542762</v>
      </c>
      <c r="D6278" s="2" t="str">
        <f t="shared" si="97"/>
        <v>Error?</v>
      </c>
      <c r="E6278" s="2" t="s">
        <v>189</v>
      </c>
    </row>
    <row r="6279" spans="1:5" x14ac:dyDescent="0.2">
      <c r="A6279">
        <v>6218</v>
      </c>
      <c r="B6279" s="1832">
        <f>'Acct Summary 7-8'!F83</f>
        <v>0.13501908349315281</v>
      </c>
      <c r="D6279" s="2" t="str">
        <f t="shared" si="97"/>
        <v>Error?</v>
      </c>
      <c r="E6279" s="2" t="s">
        <v>189</v>
      </c>
    </row>
    <row r="6280" spans="1:5" x14ac:dyDescent="0.2">
      <c r="A6280">
        <v>6219</v>
      </c>
      <c r="B6280" s="1832">
        <f>'Acct Summary 7-8'!G83</f>
        <v>-4.8301897943955611E-2</v>
      </c>
      <c r="D6280" s="2" t="str">
        <f t="shared" si="97"/>
        <v>Error?</v>
      </c>
      <c r="E6280" s="2" t="s">
        <v>189</v>
      </c>
    </row>
    <row r="6281" spans="1:5" x14ac:dyDescent="0.2">
      <c r="A6281">
        <v>6220</v>
      </c>
      <c r="B6281" s="1832">
        <f>'Acct Summary 7-8'!H83</f>
        <v>0.21556055730793006</v>
      </c>
      <c r="D6281" s="2" t="str">
        <f t="shared" si="97"/>
        <v>Error?</v>
      </c>
      <c r="E6281" s="2" t="s">
        <v>189</v>
      </c>
    </row>
    <row r="6282" spans="1:5" x14ac:dyDescent="0.2">
      <c r="A6282">
        <v>6221</v>
      </c>
      <c r="B6282" s="1832">
        <f>'Acct Summary 7-8'!I83</f>
        <v>9.2950737684421109E-2</v>
      </c>
      <c r="D6282" s="2" t="str">
        <f t="shared" si="97"/>
        <v>Error?</v>
      </c>
      <c r="E6282" s="2" t="s">
        <v>189</v>
      </c>
    </row>
    <row r="6283" spans="1:5" x14ac:dyDescent="0.2">
      <c r="A6283">
        <v>6222</v>
      </c>
      <c r="B6283" s="1832">
        <f>'Acct Summary 7-8'!J83</f>
        <v>0.10236251134137841</v>
      </c>
      <c r="D6283" s="2" t="str">
        <f t="shared" si="97"/>
        <v>Error?</v>
      </c>
      <c r="E6283" s="2" t="s">
        <v>189</v>
      </c>
    </row>
    <row r="6284" spans="1:5" x14ac:dyDescent="0.2">
      <c r="A6284">
        <v>6223</v>
      </c>
      <c r="B6284" s="1832">
        <f>'Acct Summary 7-8'!K83</f>
        <v>0.27038234706847769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209239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209239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13712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13712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222951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3538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98705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130608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119680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222951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21935</v>
      </c>
      <c r="D7093" s="2" t="str">
        <f t="shared" si="109"/>
        <v>Error?</v>
      </c>
    </row>
    <row r="7094" spans="1:4" x14ac:dyDescent="0.2">
      <c r="A7094">
        <v>7033</v>
      </c>
      <c r="B7094" s="1832">
        <f>'Expenditures 15-22'!K254</f>
        <v>21935</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12965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12965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2487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2487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13848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13848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13667</v>
      </c>
      <c r="D7156" s="2" t="str">
        <f t="shared" si="110"/>
        <v>Error?</v>
      </c>
    </row>
    <row r="7157" spans="1:4" x14ac:dyDescent="0.2">
      <c r="A7157">
        <v>7096</v>
      </c>
      <c r="B7157" s="1832">
        <f>'Expenditures 15-22'!F323</f>
        <v>781</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14448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50988</v>
      </c>
      <c r="D7172" s="2" t="str">
        <f t="shared" si="111"/>
        <v>Error?</v>
      </c>
    </row>
    <row r="7173" spans="1:4" x14ac:dyDescent="0.2">
      <c r="A7173">
        <v>7112</v>
      </c>
      <c r="B7173" s="1832">
        <f>'Expenditures 15-22'!D325</f>
        <v>8149</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59137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900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900</v>
      </c>
      <c r="D7198" s="2" t="str">
        <f t="shared" si="111"/>
        <v>Error?</v>
      </c>
    </row>
    <row r="7199" spans="1:4" x14ac:dyDescent="0.2">
      <c r="A7199">
        <v>7138</v>
      </c>
      <c r="B7199" s="1832">
        <f>'Expenditures 15-22'!C330</f>
        <v>50988</v>
      </c>
      <c r="D7199" s="2" t="str">
        <f t="shared" si="111"/>
        <v>Error?</v>
      </c>
    </row>
    <row r="7200" spans="1:4" x14ac:dyDescent="0.2">
      <c r="A7200">
        <v>7139</v>
      </c>
      <c r="B7200" s="1832">
        <f>'Expenditures 15-22'!D330</f>
        <v>8149</v>
      </c>
      <c r="D7200" s="2" t="str">
        <f t="shared" si="111"/>
        <v>Error?</v>
      </c>
    </row>
    <row r="7201" spans="1:4" x14ac:dyDescent="0.2">
      <c r="A7201">
        <v>7140</v>
      </c>
      <c r="B7201" s="1832">
        <f>'Expenditures 15-22'!E330</f>
        <v>59762</v>
      </c>
      <c r="D7201" s="2" t="str">
        <f t="shared" si="111"/>
        <v>Error?</v>
      </c>
    </row>
    <row r="7202" spans="1:4" x14ac:dyDescent="0.2">
      <c r="A7202">
        <v>7141</v>
      </c>
      <c r="B7202" s="1832">
        <f>'Expenditures 15-22'!F330</f>
        <v>781</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119680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50988</v>
      </c>
      <c r="D7216" s="2" t="str">
        <f t="shared" si="111"/>
        <v>Error?</v>
      </c>
    </row>
    <row r="7217" spans="1:4" x14ac:dyDescent="0.2">
      <c r="A7217">
        <v>7156</v>
      </c>
      <c r="B7217" s="1832">
        <f>'Expenditures 15-22'!D342</f>
        <v>8149</v>
      </c>
      <c r="D7217" s="2" t="str">
        <f t="shared" si="111"/>
        <v>Error?</v>
      </c>
    </row>
    <row r="7218" spans="1:4" x14ac:dyDescent="0.2">
      <c r="A7218">
        <v>7157</v>
      </c>
      <c r="B7218" s="1832">
        <f>'Expenditures 15-22'!E342</f>
        <v>59762</v>
      </c>
      <c r="D7218" s="2" t="str">
        <f t="shared" si="111"/>
        <v>Error?</v>
      </c>
    </row>
    <row r="7219" spans="1:4" x14ac:dyDescent="0.2">
      <c r="A7219">
        <v>7158</v>
      </c>
      <c r="B7219" s="1832">
        <f>'Expenditures 15-22'!F342</f>
        <v>781</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50697</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170377</v>
      </c>
      <c r="D7224" s="2" t="str">
        <f t="shared" si="111"/>
        <v>Error?</v>
      </c>
    </row>
    <row r="7225" spans="1:4" x14ac:dyDescent="0.2">
      <c r="A7225">
        <v>7164</v>
      </c>
      <c r="B7225" s="1832">
        <f>'Expenditures 15-22'!K343</f>
        <v>52574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31024</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879</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374183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14044</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14044</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1851</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1851</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4388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4388</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4388</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42653</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4388</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255000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255000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54180</v>
      </c>
      <c r="D7783" s="2" t="str">
        <f t="shared" si="127"/>
        <v>Error?</v>
      </c>
      <c r="E7783" s="4" t="s">
        <v>1826</v>
      </c>
    </row>
    <row r="7784" spans="1:5" x14ac:dyDescent="0.2">
      <c r="A7784">
        <v>7723</v>
      </c>
      <c r="B7784" s="1832">
        <f>'Expenditures 15-22'!K282</f>
        <v>54180</v>
      </c>
      <c r="D7784" s="2" t="str">
        <f t="shared" si="127"/>
        <v>Error?</v>
      </c>
      <c r="E7784" s="4" t="s">
        <v>1826</v>
      </c>
    </row>
    <row r="7785" spans="1:5" x14ac:dyDescent="0.2">
      <c r="A7785">
        <v>7724</v>
      </c>
      <c r="B7785" s="1832">
        <f>'Expenditures 15-22'!H332</f>
        <v>50697</v>
      </c>
      <c r="D7785" s="2" t="str">
        <f t="shared" si="127"/>
        <v>Error?</v>
      </c>
      <c r="E7785" s="4" t="s">
        <v>1826</v>
      </c>
    </row>
    <row r="7786" spans="1:5" x14ac:dyDescent="0.2">
      <c r="A7786">
        <v>7725</v>
      </c>
      <c r="B7786" s="1832">
        <f>'Expenditures 15-22'!K332</f>
        <v>50697</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50697</v>
      </c>
      <c r="D7789" s="2" t="str">
        <f t="shared" si="127"/>
        <v>Error?</v>
      </c>
      <c r="E7789" s="4" t="s">
        <v>1826</v>
      </c>
    </row>
    <row r="7790" spans="1:5" x14ac:dyDescent="0.2">
      <c r="A7790">
        <v>7729</v>
      </c>
      <c r="B7790" s="1832">
        <f>'Expenditures 15-22'!K334</f>
        <v>50697</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50697</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6600000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-250884</v>
      </c>
      <c r="D7820" s="2" t="str">
        <f t="shared" si="128"/>
        <v>Error?</v>
      </c>
    </row>
    <row r="7821" spans="1:5" x14ac:dyDescent="0.2">
      <c r="A7821">
        <v>7760</v>
      </c>
      <c r="B7821" s="1832">
        <f>'ICR Computation 30'!G40</f>
        <v>-250884</v>
      </c>
      <c r="D7821" s="2" t="str">
        <f t="shared" si="128"/>
        <v>Error?</v>
      </c>
    </row>
    <row r="7822" spans="1:5" x14ac:dyDescent="0.2">
      <c r="A7822" s="1">
        <v>7761</v>
      </c>
      <c r="B7822" s="1832">
        <f>'PCTC-OEPP 27-28'!F14</f>
        <v>5622856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130608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2053910</v>
      </c>
      <c r="D7834" s="2" t="str">
        <f t="shared" si="129"/>
        <v>Error?</v>
      </c>
      <c r="E7834" s="4" t="s">
        <v>1998</v>
      </c>
    </row>
    <row r="7835" spans="1:5" x14ac:dyDescent="0.2">
      <c r="A7835">
        <v>7774</v>
      </c>
      <c r="B7835" s="1832">
        <f>'PCTC-OEPP 27-28'!F78</f>
        <v>3568946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7673.8324589317972</v>
      </c>
      <c r="D7837" s="2" t="str">
        <f t="shared" si="129"/>
        <v>Error?</v>
      </c>
      <c r="E7837" s="4" t="s">
        <v>1998</v>
      </c>
    </row>
    <row r="7838" spans="1:5" x14ac:dyDescent="0.2">
      <c r="A7838">
        <v>7777</v>
      </c>
      <c r="B7838" s="1832">
        <f>'PCTC-OEPP 27-28'!F96</f>
        <v>9106</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180428</v>
      </c>
      <c r="D7842" s="2" t="str">
        <f t="shared" si="129"/>
        <v>Error?</v>
      </c>
      <c r="E7842" s="4" t="s">
        <v>1998</v>
      </c>
    </row>
    <row r="7843" spans="1:5" x14ac:dyDescent="0.2">
      <c r="A7843">
        <v>7782</v>
      </c>
      <c r="B7843" s="1832">
        <f>'PCTC-OEPP 27-28'!F107</f>
        <v>3538</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4388</v>
      </c>
      <c r="D7846" s="2" t="str">
        <f t="shared" si="129"/>
        <v>Error?</v>
      </c>
      <c r="E7846" s="4" t="s">
        <v>1998</v>
      </c>
    </row>
    <row r="7847" spans="1:5" x14ac:dyDescent="0.2">
      <c r="A7847">
        <v>7786</v>
      </c>
      <c r="B7847" s="1832">
        <f>'PCTC-OEPP 27-28'!F112</f>
        <v>225799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65119</v>
      </c>
      <c r="D7858" s="2" t="str">
        <f t="shared" si="129"/>
        <v>Error?</v>
      </c>
      <c r="E7858" s="4" t="s">
        <v>1998</v>
      </c>
    </row>
    <row r="7859" spans="1:5" x14ac:dyDescent="0.2">
      <c r="A7859">
        <v>7798</v>
      </c>
      <c r="B7859" s="1832">
        <f>'PCTC-OEPP 27-28'!F127</f>
        <v>83066</v>
      </c>
      <c r="D7859" s="2" t="str">
        <f t="shared" si="129"/>
        <v>Error?</v>
      </c>
      <c r="E7859" s="4" t="s">
        <v>1998</v>
      </c>
    </row>
    <row r="7860" spans="1:5" x14ac:dyDescent="0.2">
      <c r="A7860">
        <v>7799</v>
      </c>
      <c r="B7860" s="1832">
        <f>'PCTC-OEPP 27-28'!F128</f>
        <v>6486</v>
      </c>
      <c r="D7860" s="2" t="str">
        <f t="shared" si="129"/>
        <v>Error?</v>
      </c>
      <c r="E7860" s="4" t="s">
        <v>1998</v>
      </c>
    </row>
    <row r="7861" spans="1:5" x14ac:dyDescent="0.2">
      <c r="A7861">
        <v>7800</v>
      </c>
      <c r="B7861" s="1832">
        <f>'PCTC-OEPP 27-28'!F129</f>
        <v>70000</v>
      </c>
      <c r="D7861" s="2" t="str">
        <f t="shared" si="129"/>
        <v>Error?</v>
      </c>
      <c r="E7861" s="4" t="s">
        <v>1998</v>
      </c>
    </row>
    <row r="7862" spans="1:5" x14ac:dyDescent="0.2">
      <c r="A7862">
        <v>7801</v>
      </c>
      <c r="B7862" s="1832">
        <f>'PCTC-OEPP 27-28'!F130</f>
        <v>7607</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17859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9959</v>
      </c>
      <c r="D7874" s="2" t="str">
        <f t="shared" si="129"/>
        <v>Error?</v>
      </c>
      <c r="E7874" s="4" t="s">
        <v>1998</v>
      </c>
    </row>
    <row r="7875" spans="1:5" x14ac:dyDescent="0.2">
      <c r="A7875">
        <v>7814</v>
      </c>
      <c r="B7875" s="1832">
        <f>'PCTC-OEPP 27-28'!F170</f>
        <v>4238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773517</v>
      </c>
      <c r="D7877" s="2" t="str">
        <f t="shared" si="129"/>
        <v>Error?</v>
      </c>
      <c r="E7877" s="4" t="s">
        <v>1998</v>
      </c>
    </row>
    <row r="7878" spans="1:5" x14ac:dyDescent="0.2">
      <c r="A7878">
        <v>7817</v>
      </c>
      <c r="B7878" s="1832">
        <f>'PCTC-OEPP 27-28'!F176</f>
        <v>2795429</v>
      </c>
      <c r="D7878" s="2" t="str">
        <f t="shared" si="129"/>
        <v>Error?</v>
      </c>
      <c r="E7878" s="4" t="s">
        <v>1998</v>
      </c>
    </row>
    <row r="7879" spans="1:5" x14ac:dyDescent="0.2">
      <c r="A7879">
        <v>7818</v>
      </c>
      <c r="B7879" s="1832">
        <f>'PCTC-OEPP 27-28'!F178</f>
        <v>3169612</v>
      </c>
      <c r="D7879" s="2" t="str">
        <f t="shared" si="129"/>
        <v>Error?</v>
      </c>
      <c r="E7879" s="4" t="s">
        <v>1998</v>
      </c>
    </row>
    <row r="7880" spans="1:5" x14ac:dyDescent="0.2">
      <c r="A7880">
        <v>7819</v>
      </c>
      <c r="B7880" s="1832">
        <f>'PCTC-OEPP 27-28'!F180</f>
        <v>6815.1973853960608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0" zoomScale="110" zoomScaleNormal="110" workbookViewId="0">
      <selection activeCell="I22" sqref="I22:S2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Paris CUSD 4</v>
      </c>
      <c r="B7" s="2516"/>
      <c r="C7" s="2516"/>
      <c r="D7" s="2554"/>
      <c r="E7" s="2555">
        <f>COVER!A13</f>
        <v>11023004026</v>
      </c>
      <c r="F7" s="2556"/>
      <c r="G7" s="2522" t="str">
        <f>COVER!T23</f>
        <v>065-007373</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JAMES D MOTLEY, CPA</v>
      </c>
      <c r="H9" s="2529"/>
      <c r="I9" s="2529"/>
      <c r="J9" s="2529"/>
      <c r="K9" s="2529"/>
      <c r="L9" s="2530"/>
    </row>
    <row r="10" spans="1:29" ht="13.5" customHeight="1" x14ac:dyDescent="0.2">
      <c r="A10" s="2512" t="str">
        <f>COVER!A38</f>
        <v>DANETTE YOUNG</v>
      </c>
      <c r="B10" s="2513"/>
      <c r="C10" s="2513"/>
      <c r="D10" s="2513"/>
      <c r="E10" s="2513"/>
      <c r="F10" s="2514"/>
      <c r="G10" s="2528" t="str">
        <f>COVER!T17</f>
        <v>121 E WASHINGTON STREET</v>
      </c>
      <c r="H10" s="2541"/>
      <c r="I10" s="2541"/>
      <c r="J10" s="2541"/>
      <c r="K10" s="2541"/>
      <c r="L10" s="2542"/>
    </row>
    <row r="11" spans="1:29" ht="13.5" customHeight="1" x14ac:dyDescent="0.2">
      <c r="A11" s="963" t="s">
        <v>1502</v>
      </c>
      <c r="B11" s="964"/>
      <c r="C11" s="965"/>
      <c r="D11" s="970"/>
      <c r="E11" s="965"/>
      <c r="F11" s="969"/>
      <c r="G11" s="2528" t="str">
        <f>COVER!T19</f>
        <v>PARIS</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f>COVER!T25</f>
        <v>0</v>
      </c>
      <c r="J13" s="2550"/>
      <c r="K13" s="2550"/>
      <c r="L13" s="2551"/>
    </row>
    <row r="14" spans="1:29" ht="13.5" customHeight="1" x14ac:dyDescent="0.2">
      <c r="A14" s="2528" t="str">
        <f>COVER!A19</f>
        <v>15601 HWY 150</v>
      </c>
      <c r="B14" s="2541"/>
      <c r="C14" s="2541"/>
      <c r="D14" s="2541"/>
      <c r="E14" s="2541"/>
      <c r="F14" s="2542"/>
      <c r="G14" s="974" t="s">
        <v>1175</v>
      </c>
      <c r="H14" s="972"/>
      <c r="I14" s="972"/>
      <c r="J14" s="972"/>
      <c r="K14" s="972"/>
      <c r="L14" s="973"/>
    </row>
    <row r="15" spans="1:29" ht="13.5" customHeight="1" x14ac:dyDescent="0.2">
      <c r="A15" s="2528" t="str">
        <f>COVER!A21</f>
        <v>PARIS</v>
      </c>
      <c r="B15" s="2541"/>
      <c r="C15" s="2541"/>
      <c r="D15" s="2541"/>
      <c r="E15" s="2541"/>
      <c r="F15" s="2542"/>
      <c r="G15" s="2538" t="str">
        <f>COVER!T15</f>
        <v>JAMES D MOTLEY</v>
      </c>
      <c r="H15" s="2539"/>
      <c r="I15" s="2539"/>
      <c r="J15" s="2539"/>
      <c r="K15" s="2539"/>
      <c r="L15" s="2540"/>
    </row>
    <row r="16" spans="1:29" ht="12.2" customHeight="1" x14ac:dyDescent="0.2">
      <c r="A16" s="2518">
        <f>COVER!A25</f>
        <v>61944</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217-465-8406</v>
      </c>
      <c r="H18" s="2516"/>
      <c r="I18" s="2516"/>
      <c r="J18" s="2516"/>
      <c r="K18" s="2515" t="str">
        <f>COVER!X21</f>
        <v>217-465-8407</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I22" sqref="I22:S2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Paris CUSD 4</v>
      </c>
      <c r="B1" s="2558"/>
      <c r="C1" s="2558"/>
      <c r="D1" s="2558"/>
    </row>
    <row r="2" spans="1:11" s="991" customFormat="1" ht="12.75" x14ac:dyDescent="0.2">
      <c r="A2" s="2559">
        <f>'Single Audit Cover'!E7</f>
        <v>11023004026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I22" sqref="I22:S2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Paris CUSD 4</v>
      </c>
      <c r="B1" s="2562"/>
      <c r="C1" s="2562"/>
      <c r="D1" s="2562"/>
      <c r="E1" s="2562"/>
    </row>
    <row r="2" spans="1:5" x14ac:dyDescent="0.2">
      <c r="A2" s="2563">
        <f>'Single Audit Cover'!E7</f>
        <v>11023004026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264334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-4238</v>
      </c>
    </row>
    <row r="19" spans="1:4" ht="13.5" thickBot="1" x14ac:dyDescent="0.25">
      <c r="A19" s="1041" t="s">
        <v>1224</v>
      </c>
      <c r="D19" s="1042">
        <f>SUM(D10:D17)</f>
        <v>260096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260096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260096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22" sqref="I22:S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Paris CUSD 4</v>
      </c>
      <c r="C1" s="2566"/>
      <c r="D1" s="2566"/>
      <c r="E1" s="2566"/>
      <c r="F1" s="2566"/>
      <c r="G1" s="2566"/>
      <c r="H1" s="2566"/>
      <c r="I1" s="2566"/>
      <c r="J1" s="2566"/>
      <c r="K1" s="2566"/>
      <c r="L1" s="2566"/>
      <c r="M1" s="2566"/>
    </row>
    <row r="2" spans="2:14" ht="15" x14ac:dyDescent="0.2">
      <c r="B2" s="2567">
        <f>'Single Audit Cover'!E7</f>
        <v>11023004026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I22" sqref="I22:S2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Paris CUSD 4</v>
      </c>
      <c r="B1" s="2571"/>
      <c r="C1" s="2571"/>
      <c r="D1" s="2571"/>
      <c r="E1" s="2571"/>
      <c r="F1" s="2571"/>
    </row>
    <row r="2" spans="1:7" ht="13.5" customHeight="1" x14ac:dyDescent="0.2">
      <c r="A2" s="2567">
        <f>'Single Audit Cover'!E7</f>
        <v>11023004026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I22" sqref="I22:S2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2054</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I22" sqref="I22:S2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Paris CUSD 4</v>
      </c>
      <c r="C1" s="2587"/>
      <c r="D1" s="2587"/>
      <c r="E1" s="2587"/>
      <c r="F1" s="2587"/>
      <c r="G1" s="2587"/>
      <c r="H1" s="2587"/>
      <c r="I1" s="2587"/>
      <c r="J1" s="1178"/>
    </row>
    <row r="2" spans="2:10" s="295" customFormat="1" ht="12.75" customHeight="1" x14ac:dyDescent="0.2">
      <c r="B2" s="2588">
        <f>'Single Audit Cover'!E7</f>
        <v>11023004026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I22" sqref="I22:S2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Paris CUSD 4</v>
      </c>
      <c r="C1" s="2586"/>
      <c r="D1" s="2586"/>
      <c r="E1" s="2586"/>
      <c r="F1" s="2586"/>
      <c r="G1" s="2586"/>
      <c r="H1" s="2586"/>
      <c r="I1" s="2586"/>
      <c r="J1" s="2586"/>
      <c r="K1" s="2586"/>
      <c r="L1" s="1144"/>
      <c r="M1" s="1144"/>
    </row>
    <row r="2" spans="1:13" ht="12" customHeight="1" x14ac:dyDescent="0.2">
      <c r="B2" s="2588">
        <f>'Single Audit Cover'!E7</f>
        <v>11023004026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I22" sqref="I22:S2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Paris CUSD 4</v>
      </c>
      <c r="C1" s="2613"/>
      <c r="D1" s="2613"/>
      <c r="E1" s="2613"/>
      <c r="F1" s="2613"/>
      <c r="G1" s="2613"/>
      <c r="H1" s="2613"/>
      <c r="I1" s="2613"/>
      <c r="J1" s="2613"/>
      <c r="K1" s="2613"/>
      <c r="L1" s="1221"/>
    </row>
    <row r="2" spans="1:12" ht="12.75" customHeight="1" x14ac:dyDescent="0.2">
      <c r="B2" s="2614">
        <f>'Single Audit Cover'!E7</f>
        <v>11023004026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I22" sqref="I22:S2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Paris CUSD 4</v>
      </c>
      <c r="C1" s="2586"/>
      <c r="D1" s="2586"/>
      <c r="E1" s="1240"/>
    </row>
    <row r="2" spans="2:5" s="1058" customFormat="1" ht="12.75" customHeight="1" x14ac:dyDescent="0.2">
      <c r="B2" s="2588">
        <f>'Single Audit Cover'!E7</f>
        <v>11023004026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I22" sqref="I22:S2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125143240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2.1999999999999999E-2</v>
      </c>
      <c r="E10" s="333" t="s">
        <v>998</v>
      </c>
      <c r="F10" s="332">
        <v>5.0000000000000001E-3</v>
      </c>
      <c r="G10" s="333" t="s">
        <v>998</v>
      </c>
      <c r="H10" s="332">
        <v>2E-3</v>
      </c>
      <c r="I10" s="333" t="s">
        <v>999</v>
      </c>
      <c r="J10" s="1424">
        <f>ROUND(D10+F10+H10,5)</f>
        <v>2.9000000000000001E-2</v>
      </c>
      <c r="K10" s="217"/>
      <c r="L10" s="332">
        <v>5.0000000000000001E-3</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5795333</v>
      </c>
      <c r="E16" s="1547"/>
      <c r="F16" s="1546">
        <f>SUM('Acct Summary 7-8'!C17,'Acct Summary 7-8'!D17,'Acct Summary 7-8'!F17)</f>
        <v>4784591</v>
      </c>
      <c r="G16" s="1547"/>
      <c r="H16" s="1546">
        <f>SUM(D16-F16)</f>
        <v>1010742</v>
      </c>
      <c r="I16" s="1548"/>
      <c r="J16" s="1546">
        <f>SUM('Acct Summary 7-8'!C81,'Acct Summary 7-8'!D81,'Acct Summary 7-8'!F81,'Acct Summary 7-8'!I81)</f>
        <v>4400307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17269767.120000001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5005000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I22" sqref="I22:S2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Paris CUSD 4</v>
      </c>
      <c r="E7" s="368"/>
      <c r="G7" s="247"/>
      <c r="H7" s="364"/>
      <c r="I7" s="364"/>
      <c r="J7" s="364"/>
      <c r="K7" s="364"/>
      <c r="L7" s="307"/>
      <c r="M7" s="307"/>
      <c r="N7" s="307"/>
      <c r="O7" s="307"/>
      <c r="P7" s="307"/>
    </row>
    <row r="8" spans="1:18" ht="12.75" x14ac:dyDescent="0.2">
      <c r="A8" s="307"/>
      <c r="B8" s="307"/>
      <c r="C8" s="366" t="s">
        <v>1115</v>
      </c>
      <c r="D8" s="369">
        <f>COVER!A13</f>
        <v>11023004026</v>
      </c>
      <c r="E8" s="370"/>
      <c r="G8" s="307"/>
      <c r="H8" s="307"/>
      <c r="I8" s="307"/>
      <c r="J8" s="307"/>
      <c r="K8" s="307"/>
      <c r="L8" s="307"/>
      <c r="M8" s="307"/>
      <c r="N8" s="307"/>
      <c r="O8" s="307"/>
      <c r="P8" s="307"/>
    </row>
    <row r="9" spans="1:18" ht="12.75" x14ac:dyDescent="0.2">
      <c r="A9" s="307"/>
      <c r="B9" s="307"/>
      <c r="C9" s="366" t="s">
        <v>708</v>
      </c>
      <c r="D9" s="371" t="str">
        <f>COVER!A15</f>
        <v>EDGAR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4400307</v>
      </c>
      <c r="I12" s="380"/>
      <c r="J12" s="380"/>
      <c r="K12" s="1559">
        <f>TRUNC((H12/H13*100000),5)/100000</f>
        <v>0.7592845829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5795333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4784591</v>
      </c>
      <c r="I17" s="380"/>
      <c r="J17" s="389"/>
      <c r="K17" s="1559">
        <f>TRUNC((H17/H18*100000),5)/100000</f>
        <v>0.8255938009999999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5795333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4400307</v>
      </c>
      <c r="I24" s="394"/>
      <c r="J24" s="394"/>
      <c r="K24" s="1555">
        <f>TRUNC(((H24/H25*100000)/100000),2)</f>
        <v>331.08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13290.530559999999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3084780.8659999999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5005000</v>
      </c>
      <c r="I32" s="392"/>
      <c r="J32" s="392"/>
      <c r="K32" s="1555">
        <f>TRUNC(100-((((H32/H33*100))*100)/100),2)</f>
        <v>71.010000000000005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17269767.120000001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activeCell="I22" sqref="I22:S22"/>
      <selection pane="bottomLeft" activeCell="I22" sqref="I22:S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1931039</v>
      </c>
      <c r="D4" s="1573">
        <v>301170</v>
      </c>
      <c r="E4" s="1573">
        <v>36598</v>
      </c>
      <c r="F4" s="1573">
        <v>1001651</v>
      </c>
      <c r="G4" s="1573">
        <v>135357</v>
      </c>
      <c r="H4" s="1573">
        <v>311134</v>
      </c>
      <c r="I4" s="1573">
        <v>476</v>
      </c>
      <c r="J4" s="1574">
        <v>78324</v>
      </c>
      <c r="K4" s="1573">
        <v>222635</v>
      </c>
      <c r="L4" s="1573">
        <v>84463</v>
      </c>
      <c r="M4" s="1575"/>
      <c r="N4" s="1576"/>
    </row>
    <row r="5" spans="1:14" x14ac:dyDescent="0.2">
      <c r="A5" s="427" t="s">
        <v>985</v>
      </c>
      <c r="B5" s="429">
        <v>120</v>
      </c>
      <c r="C5" s="1572">
        <v>366647</v>
      </c>
      <c r="D5" s="1573"/>
      <c r="E5" s="1573"/>
      <c r="F5" s="1573"/>
      <c r="G5" s="1573"/>
      <c r="H5" s="1573">
        <v>67400</v>
      </c>
      <c r="I5" s="1573">
        <v>799324</v>
      </c>
      <c r="J5" s="1574">
        <v>435282</v>
      </c>
      <c r="K5" s="1577">
        <v>188039</v>
      </c>
      <c r="L5" s="1578">
        <v>2442</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2297686</v>
      </c>
      <c r="D13" s="1587">
        <f t="shared" ref="D13:L13" si="0">SUM(D4:D12)</f>
        <v>301170</v>
      </c>
      <c r="E13" s="1587">
        <f t="shared" si="0"/>
        <v>36598</v>
      </c>
      <c r="F13" s="1587">
        <f t="shared" si="0"/>
        <v>1001651</v>
      </c>
      <c r="G13" s="1587">
        <f t="shared" si="0"/>
        <v>135357</v>
      </c>
      <c r="H13" s="1587">
        <f t="shared" si="0"/>
        <v>378534</v>
      </c>
      <c r="I13" s="1587">
        <f t="shared" si="0"/>
        <v>799800</v>
      </c>
      <c r="J13" s="1587">
        <f t="shared" si="0"/>
        <v>513606</v>
      </c>
      <c r="K13" s="1587">
        <f t="shared" si="0"/>
        <v>410674</v>
      </c>
      <c r="L13" s="1587">
        <f t="shared" si="0"/>
        <v>86905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110000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10306785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290331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1482813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36598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4968402</v>
      </c>
    </row>
    <row r="23" spans="1:14" ht="13.5" customHeight="1" thickBot="1" x14ac:dyDescent="0.25">
      <c r="A23" s="1426" t="s">
        <v>638</v>
      </c>
      <c r="B23" s="1429"/>
      <c r="C23" s="1575"/>
      <c r="D23" s="1575"/>
      <c r="E23" s="1575"/>
      <c r="F23" s="1575"/>
      <c r="G23" s="1575"/>
      <c r="H23" s="1575"/>
      <c r="I23" s="1575"/>
      <c r="J23" s="1575"/>
      <c r="K23" s="1575"/>
      <c r="L23" s="1575"/>
      <c r="M23" s="1594">
        <f>SUM(M15:M22)</f>
        <v>12189929</v>
      </c>
      <c r="N23" s="1594">
        <f>SUM(N21:N22)</f>
        <v>5005000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86905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86905</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5005000</v>
      </c>
    </row>
    <row r="37" spans="1:14" ht="13.5" thickBot="1" x14ac:dyDescent="0.25">
      <c r="A37" s="1426" t="s">
        <v>648</v>
      </c>
      <c r="B37" s="1429"/>
      <c r="C37" s="1582"/>
      <c r="D37" s="1582"/>
      <c r="E37" s="1582"/>
      <c r="F37" s="1582"/>
      <c r="G37" s="1582"/>
      <c r="H37" s="1582"/>
      <c r="I37" s="1582"/>
      <c r="J37" s="1582"/>
      <c r="K37" s="1582"/>
      <c r="L37" s="1585"/>
      <c r="M37" s="1575"/>
      <c r="N37" s="1594">
        <f>SUM(N36:N36)</f>
        <v>5005000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2297686</v>
      </c>
      <c r="D39" s="1573">
        <v>301170</v>
      </c>
      <c r="E39" s="1573">
        <v>36598</v>
      </c>
      <c r="F39" s="1573">
        <v>1001651</v>
      </c>
      <c r="G39" s="1573">
        <v>135357</v>
      </c>
      <c r="H39" s="1573">
        <v>378534</v>
      </c>
      <c r="I39" s="1573">
        <v>799800</v>
      </c>
      <c r="J39" s="1574">
        <v>513606</v>
      </c>
      <c r="K39" s="1573">
        <v>410674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12189929</v>
      </c>
      <c r="N40" s="1604"/>
    </row>
    <row r="41" spans="1:14" ht="13.5" customHeight="1" thickBot="1" x14ac:dyDescent="0.25">
      <c r="A41" s="1426" t="s">
        <v>650</v>
      </c>
      <c r="B41" s="1405"/>
      <c r="C41" s="1594">
        <f>(SUM(C34,C37,C38,C39))</f>
        <v>2297686</v>
      </c>
      <c r="D41" s="1594">
        <f t="shared" ref="D41:L41" si="2">SUM(D34,D37,D38:D39)</f>
        <v>301170</v>
      </c>
      <c r="E41" s="1594">
        <f t="shared" si="2"/>
        <v>36598</v>
      </c>
      <c r="F41" s="1594">
        <f t="shared" si="2"/>
        <v>1001651</v>
      </c>
      <c r="G41" s="1594">
        <f t="shared" si="2"/>
        <v>135357</v>
      </c>
      <c r="H41" s="1594">
        <f t="shared" si="2"/>
        <v>378534</v>
      </c>
      <c r="I41" s="1594">
        <f t="shared" si="2"/>
        <v>799800</v>
      </c>
      <c r="J41" s="1594">
        <f t="shared" si="2"/>
        <v>513606</v>
      </c>
      <c r="K41" s="1594">
        <f t="shared" si="2"/>
        <v>410674</v>
      </c>
      <c r="L41" s="1594">
        <f t="shared" si="2"/>
        <v>86905</v>
      </c>
      <c r="M41" s="1594">
        <f>SUM(M40)</f>
        <v>12189929</v>
      </c>
      <c r="N41" s="1594">
        <f>SUM(N37)</f>
        <v>5005000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I22" sqref="I22:S22"/>
      <selection pane="bottomLeft" activeCell="I22" sqref="I22:S2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2705126</v>
      </c>
      <c r="D4" s="1606">
        <f>'Revenues 9-14'!D109</f>
        <v>548310</v>
      </c>
      <c r="E4" s="1606">
        <f>'Revenues 9-14'!E109</f>
        <v>526358</v>
      </c>
      <c r="F4" s="1606">
        <f>'Revenues 9-14'!F109</f>
        <v>226286</v>
      </c>
      <c r="G4" s="1606">
        <f>'Revenues 9-14'!G109</f>
        <v>140091</v>
      </c>
      <c r="H4" s="1606">
        <f>'Revenues 9-14'!H109</f>
        <v>258305</v>
      </c>
      <c r="I4" s="1606">
        <f>'Revenues 9-14'!I109</f>
        <v>74342</v>
      </c>
      <c r="J4" s="1606">
        <f>'Revenues 9-14'!J109</f>
        <v>222951</v>
      </c>
      <c r="K4" s="1606">
        <f>'Revenues 9-14'!K109</f>
        <v>61039</v>
      </c>
      <c r="L4" s="325"/>
    </row>
    <row r="5" spans="1:13" ht="15.75" customHeight="1" x14ac:dyDescent="0.2">
      <c r="A5" s="1314" t="s">
        <v>1483</v>
      </c>
      <c r="B5" s="1315">
        <v>2000</v>
      </c>
      <c r="C5" s="1607">
        <f>'Revenues 9-14'!C114</f>
        <v>130348</v>
      </c>
      <c r="D5" s="1607">
        <f>'Revenues 9-14'!D114</f>
        <v>0</v>
      </c>
      <c r="E5" s="1608"/>
      <c r="F5" s="1607">
        <f>'Revenues 9-14'!F114</f>
        <v>33257</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1487531</v>
      </c>
      <c r="D6" s="1607">
        <f>'Revenues 9-14'!D170</f>
        <v>100000</v>
      </c>
      <c r="E6" s="1607">
        <f>'Revenues 9-14'!E170</f>
        <v>0</v>
      </c>
      <c r="F6" s="1607">
        <f>'Revenues 9-14'!F170</f>
        <v>225799</v>
      </c>
      <c r="G6" s="1607">
        <f>'Revenues 9-14'!G170</f>
        <v>0</v>
      </c>
      <c r="H6" s="1607">
        <f>'Revenues 9-14'!H170</f>
        <v>0</v>
      </c>
      <c r="I6" s="1607">
        <f>'Revenues 9-14'!I170</f>
        <v>0</v>
      </c>
      <c r="J6" s="1607">
        <f>'Revenues 9-14'!J170</f>
        <v>0</v>
      </c>
      <c r="K6" s="1607">
        <f>'Revenues 9-14'!K170</f>
        <v>50000</v>
      </c>
      <c r="L6" s="325"/>
      <c r="M6" s="448"/>
    </row>
    <row r="7" spans="1:13" ht="15.75" customHeight="1" x14ac:dyDescent="0.2">
      <c r="A7" s="1314" t="s">
        <v>1485</v>
      </c>
      <c r="B7" s="1316">
        <v>4000</v>
      </c>
      <c r="C7" s="1607">
        <f>'Revenues 9-14'!C267</f>
        <v>264334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4587339</v>
      </c>
      <c r="D8" s="1594">
        <f t="shared" ref="D8:K8" si="0">SUM(D4:D7)</f>
        <v>648310</v>
      </c>
      <c r="E8" s="1594">
        <f t="shared" si="0"/>
        <v>526358</v>
      </c>
      <c r="F8" s="1594">
        <f t="shared" si="0"/>
        <v>485342</v>
      </c>
      <c r="G8" s="1594">
        <f t="shared" si="0"/>
        <v>140091</v>
      </c>
      <c r="H8" s="1594">
        <f t="shared" si="0"/>
        <v>258305</v>
      </c>
      <c r="I8" s="1594">
        <f t="shared" si="0"/>
        <v>74342</v>
      </c>
      <c r="J8" s="1594">
        <f t="shared" si="0"/>
        <v>222951</v>
      </c>
      <c r="K8" s="1594">
        <f t="shared" si="0"/>
        <v>111039</v>
      </c>
      <c r="L8" s="325"/>
    </row>
    <row r="9" spans="1:13" ht="15.75" thickTop="1" x14ac:dyDescent="0.2">
      <c r="A9" s="449" t="s">
        <v>1634</v>
      </c>
      <c r="B9" s="450">
        <v>3998</v>
      </c>
      <c r="C9" s="1586">
        <v>213441</v>
      </c>
      <c r="D9" s="1613"/>
      <c r="E9" s="1586"/>
      <c r="F9" s="1586"/>
      <c r="G9" s="1614"/>
      <c r="H9" s="1586"/>
      <c r="I9" s="1609" t="s">
        <v>1159</v>
      </c>
      <c r="J9" s="1583"/>
      <c r="K9" s="1586"/>
      <c r="L9" s="325"/>
    </row>
    <row r="10" spans="1:13" s="452" customFormat="1" ht="13.5" thickBot="1" x14ac:dyDescent="0.25">
      <c r="A10" s="1426" t="s">
        <v>1163</v>
      </c>
      <c r="B10" s="1407"/>
      <c r="C10" s="1594">
        <f>SUM(C8:C9)</f>
        <v>4800780</v>
      </c>
      <c r="D10" s="1594">
        <f t="shared" ref="D10:K10" si="1">SUM(D8:D9)</f>
        <v>648310</v>
      </c>
      <c r="E10" s="1594">
        <f t="shared" si="1"/>
        <v>526358</v>
      </c>
      <c r="F10" s="1594">
        <f t="shared" si="1"/>
        <v>485342</v>
      </c>
      <c r="G10" s="1594">
        <f t="shared" si="1"/>
        <v>140091</v>
      </c>
      <c r="H10" s="1594">
        <f t="shared" si="1"/>
        <v>258305</v>
      </c>
      <c r="I10" s="1594">
        <f t="shared" si="1"/>
        <v>74342</v>
      </c>
      <c r="J10" s="1594">
        <f t="shared" si="1"/>
        <v>222951</v>
      </c>
      <c r="K10" s="1594">
        <f t="shared" si="1"/>
        <v>111039</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2084998</v>
      </c>
      <c r="D12" s="1616" t="s">
        <v>1159</v>
      </c>
      <c r="E12" s="1575" t="s">
        <v>1159</v>
      </c>
      <c r="F12" s="1575" t="s">
        <v>1159</v>
      </c>
      <c r="G12" s="1606">
        <f>'Expenditures 15-22'!K229</f>
        <v>36554</v>
      </c>
      <c r="H12" s="1617"/>
      <c r="I12" s="1575" t="s">
        <v>1159</v>
      </c>
      <c r="J12" s="1575" t="s">
        <v>1159</v>
      </c>
      <c r="K12" s="1617" t="s">
        <v>1159</v>
      </c>
      <c r="L12" s="325"/>
    </row>
    <row r="13" spans="1:13" ht="15.75" customHeight="1" x14ac:dyDescent="0.2">
      <c r="A13" s="1314" t="s">
        <v>454</v>
      </c>
      <c r="B13" s="1316">
        <v>2000</v>
      </c>
      <c r="C13" s="1607">
        <f>'Expenditures 15-22'!K74</f>
        <v>677347</v>
      </c>
      <c r="D13" s="1607">
        <f>'Expenditures 15-22'!K129</f>
        <v>328856</v>
      </c>
      <c r="E13" s="1576" t="s">
        <v>1159</v>
      </c>
      <c r="F13" s="1607">
        <f>'Expenditures 15-22'!K184</f>
        <v>316740</v>
      </c>
      <c r="G13" s="1607">
        <f>'Expenditures 15-22'!K279</f>
        <v>52190</v>
      </c>
      <c r="H13" s="1607">
        <f>'Expenditures 15-22'!K303</f>
        <v>176708</v>
      </c>
      <c r="I13" s="1575" t="s">
        <v>1159</v>
      </c>
      <c r="J13" s="1607">
        <f>'Expenditures 15-22'!K330</f>
        <v>119680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1088014</v>
      </c>
      <c r="D15" s="1607">
        <f>'Expenditures 15-22'!K139</f>
        <v>255276</v>
      </c>
      <c r="E15" s="1607">
        <f>'Expenditures 15-22'!K160</f>
        <v>0</v>
      </c>
      <c r="F15" s="1607">
        <f>'Expenditures 15-22'!K196</f>
        <v>33360</v>
      </c>
      <c r="G15" s="1607">
        <f>'Expenditures 15-22'!K285</f>
        <v>57885</v>
      </c>
      <c r="H15" s="1607">
        <f>'Expenditures 15-22'!K310</f>
        <v>0</v>
      </c>
      <c r="I15" s="1575" t="s">
        <v>1159</v>
      </c>
      <c r="J15" s="1619">
        <f>'Expenditures 15-22'!K334</f>
        <v>50697</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521259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3850359</v>
      </c>
      <c r="D17" s="1594">
        <f t="shared" si="2"/>
        <v>584132</v>
      </c>
      <c r="E17" s="1594">
        <f t="shared" si="2"/>
        <v>521259</v>
      </c>
      <c r="F17" s="1594">
        <f t="shared" si="2"/>
        <v>350100</v>
      </c>
      <c r="G17" s="1594">
        <f t="shared" si="2"/>
        <v>146629</v>
      </c>
      <c r="H17" s="1594">
        <f t="shared" si="2"/>
        <v>176708</v>
      </c>
      <c r="I17" s="1575"/>
      <c r="J17" s="1594">
        <f>SUM(J12:J16)</f>
        <v>170377</v>
      </c>
      <c r="K17" s="1594">
        <f>SUM(K12:K16)</f>
        <v>0</v>
      </c>
      <c r="L17" s="325"/>
    </row>
    <row r="18" spans="1:12" ht="15" customHeight="1" thickTop="1" x14ac:dyDescent="0.2">
      <c r="A18" s="1430" t="s">
        <v>1635</v>
      </c>
      <c r="B18" s="1431">
        <v>4180</v>
      </c>
      <c r="C18" s="1606">
        <f t="shared" ref="C18:H18" si="3">C9</f>
        <v>213441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4063800</v>
      </c>
      <c r="D19" s="1594">
        <f t="shared" si="4"/>
        <v>584132</v>
      </c>
      <c r="E19" s="1594">
        <f t="shared" si="4"/>
        <v>521259</v>
      </c>
      <c r="F19" s="1594">
        <f t="shared" si="4"/>
        <v>350100</v>
      </c>
      <c r="G19" s="1594">
        <f t="shared" si="4"/>
        <v>146629</v>
      </c>
      <c r="H19" s="1594">
        <f t="shared" si="4"/>
        <v>176708</v>
      </c>
      <c r="I19" s="1575"/>
      <c r="J19" s="1594">
        <f>SUM(J17:J18)</f>
        <v>170377</v>
      </c>
      <c r="K19" s="1594">
        <f>SUM(K17:K18)</f>
        <v>0</v>
      </c>
      <c r="L19" s="325"/>
    </row>
    <row r="20" spans="1:12" ht="16.5" thickTop="1" thickBot="1" x14ac:dyDescent="0.25">
      <c r="A20" s="2231" t="s">
        <v>1636</v>
      </c>
      <c r="B20" s="2232"/>
      <c r="C20" s="1622">
        <f>C8-C17</f>
        <v>736980</v>
      </c>
      <c r="D20" s="1622">
        <f t="shared" ref="D20:K20" si="5">D8-D17</f>
        <v>64178</v>
      </c>
      <c r="E20" s="1622">
        <f t="shared" si="5"/>
        <v>5099</v>
      </c>
      <c r="F20" s="1622">
        <f t="shared" si="5"/>
        <v>135242</v>
      </c>
      <c r="G20" s="1622">
        <f t="shared" si="5"/>
        <v>-6538</v>
      </c>
      <c r="H20" s="1622">
        <f t="shared" si="5"/>
        <v>81597</v>
      </c>
      <c r="I20" s="1622">
        <f t="shared" si="5"/>
        <v>74342</v>
      </c>
      <c r="J20" s="1622">
        <f t="shared" si="5"/>
        <v>52574</v>
      </c>
      <c r="K20" s="1622">
        <f t="shared" si="5"/>
        <v>111039</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736980</v>
      </c>
      <c r="D78" s="1629">
        <f t="shared" si="9"/>
        <v>64178</v>
      </c>
      <c r="E78" s="1629">
        <f t="shared" si="9"/>
        <v>5099</v>
      </c>
      <c r="F78" s="1629">
        <f t="shared" si="9"/>
        <v>135242</v>
      </c>
      <c r="G78" s="1629">
        <f t="shared" si="9"/>
        <v>-6538</v>
      </c>
      <c r="H78" s="1629">
        <f t="shared" si="9"/>
        <v>81597</v>
      </c>
      <c r="I78" s="1629">
        <f t="shared" si="9"/>
        <v>74342</v>
      </c>
      <c r="J78" s="1629">
        <f t="shared" si="9"/>
        <v>52574</v>
      </c>
      <c r="K78" s="1629">
        <f t="shared" si="9"/>
        <v>111039</v>
      </c>
      <c r="L78" s="457"/>
    </row>
    <row r="79" spans="1:12" ht="13.5" thickTop="1" x14ac:dyDescent="0.2">
      <c r="A79" s="1844" t="str">
        <f>"Fund Balances - July 1, "&amp;'AFR20'!E2-1</f>
        <v>Fund Balances - July 1, 2019</v>
      </c>
      <c r="B79" s="458"/>
      <c r="C79" s="1583">
        <v>1560706</v>
      </c>
      <c r="D79" s="1630">
        <v>236992</v>
      </c>
      <c r="E79" s="1630">
        <v>31499</v>
      </c>
      <c r="F79" s="1630">
        <v>866409</v>
      </c>
      <c r="G79" s="1630">
        <v>141895</v>
      </c>
      <c r="H79" s="1630">
        <v>296937</v>
      </c>
      <c r="I79" s="1630">
        <v>725458</v>
      </c>
      <c r="J79" s="1630">
        <v>461032</v>
      </c>
      <c r="K79" s="1630">
        <v>299635</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2297686</v>
      </c>
      <c r="D81" s="1594">
        <f>SUM(D78:D80)</f>
        <v>301170</v>
      </c>
      <c r="E81" s="1594">
        <f t="shared" ref="E81:K81" si="10">SUM(E78:E80)</f>
        <v>36598</v>
      </c>
      <c r="F81" s="1594">
        <f t="shared" si="10"/>
        <v>1001651</v>
      </c>
      <c r="G81" s="1594">
        <f t="shared" si="10"/>
        <v>135357</v>
      </c>
      <c r="H81" s="1594">
        <f t="shared" si="10"/>
        <v>378534</v>
      </c>
      <c r="I81" s="1594">
        <f t="shared" si="10"/>
        <v>799800</v>
      </c>
      <c r="J81" s="1594">
        <f t="shared" si="10"/>
        <v>513606</v>
      </c>
      <c r="K81" s="1594">
        <f t="shared" si="10"/>
        <v>410674</v>
      </c>
      <c r="L81" s="325"/>
    </row>
    <row r="82" spans="1:12" ht="0.75" customHeight="1" thickTop="1" thickBot="1" x14ac:dyDescent="0.25">
      <c r="A82" s="459" t="s">
        <v>340</v>
      </c>
      <c r="B82" s="460"/>
      <c r="C82" s="461">
        <f>(C81-C79)</f>
        <v>736980</v>
      </c>
      <c r="D82" s="461">
        <f t="shared" ref="D82:K82" si="11">(D81-D79)</f>
        <v>64178</v>
      </c>
      <c r="E82" s="461">
        <f t="shared" si="11"/>
        <v>5099</v>
      </c>
      <c r="F82" s="461">
        <f t="shared" si="11"/>
        <v>135242</v>
      </c>
      <c r="G82" s="461">
        <f t="shared" si="11"/>
        <v>-6538</v>
      </c>
      <c r="H82" s="461">
        <f t="shared" si="11"/>
        <v>81597</v>
      </c>
      <c r="I82" s="461">
        <f t="shared" si="11"/>
        <v>74342</v>
      </c>
      <c r="J82" s="461">
        <f t="shared" si="11"/>
        <v>52574</v>
      </c>
      <c r="K82" s="461">
        <f t="shared" si="11"/>
        <v>111039</v>
      </c>
    </row>
    <row r="83" spans="1:12" ht="14.25" hidden="1" thickTop="1" thickBot="1" x14ac:dyDescent="0.25">
      <c r="A83" s="462" t="s">
        <v>341</v>
      </c>
      <c r="B83" s="428"/>
      <c r="C83" s="463">
        <f>C82/C81</f>
        <v>0.32074878812857804</v>
      </c>
      <c r="D83" s="463">
        <f t="shared" ref="D83:K83" si="12">D82/D81</f>
        <v>0.21309559385064913</v>
      </c>
      <c r="E83" s="463">
        <f t="shared" si="12"/>
        <v>0.1393245532542762</v>
      </c>
      <c r="F83" s="463">
        <f t="shared" si="12"/>
        <v>0.13501908349315281</v>
      </c>
      <c r="G83" s="463">
        <f t="shared" si="12"/>
        <v>-4.8301897943955611E-2</v>
      </c>
      <c r="H83" s="463">
        <f t="shared" si="12"/>
        <v>0.21556055730793006</v>
      </c>
      <c r="I83" s="463">
        <f t="shared" si="12"/>
        <v>9.2950737684421109E-2</v>
      </c>
      <c r="J83" s="463">
        <f t="shared" si="12"/>
        <v>0.10236251134137841</v>
      </c>
      <c r="K83" s="463">
        <f t="shared" si="12"/>
        <v>0.27038234706847769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7" activePane="bottomLeft" state="frozen"/>
      <selection activeCell="I22" sqref="I22:S22"/>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2345938</v>
      </c>
      <c r="D5" s="1586">
        <v>533168</v>
      </c>
      <c r="E5" s="1573">
        <v>479289</v>
      </c>
      <c r="F5" s="1631">
        <v>213267</v>
      </c>
      <c r="G5" s="1573">
        <v>54800</v>
      </c>
      <c r="H5" s="1573"/>
      <c r="I5" s="1573">
        <v>53317</v>
      </c>
      <c r="J5" s="1574">
        <v>209239</v>
      </c>
      <c r="K5" s="1573">
        <v>53316</v>
      </c>
    </row>
    <row r="6" spans="1:12" ht="15" x14ac:dyDescent="0.2">
      <c r="A6" s="427" t="s">
        <v>1643</v>
      </c>
      <c r="B6" s="429">
        <v>1130</v>
      </c>
      <c r="C6" s="1573">
        <v>53317</v>
      </c>
      <c r="D6" s="1573"/>
      <c r="E6" s="1580"/>
      <c r="F6" s="1580"/>
      <c r="G6" s="1575"/>
      <c r="H6" s="1575"/>
      <c r="I6" s="1575"/>
      <c r="J6" s="1575"/>
      <c r="K6" s="1575"/>
    </row>
    <row r="7" spans="1:12" x14ac:dyDescent="0.2">
      <c r="A7" s="427" t="s">
        <v>110</v>
      </c>
      <c r="B7" s="471">
        <v>1140</v>
      </c>
      <c r="C7" s="1573">
        <v>42653</v>
      </c>
      <c r="D7" s="1573"/>
      <c r="E7" s="1575"/>
      <c r="F7" s="1574"/>
      <c r="G7" s="1574"/>
      <c r="H7" s="1574"/>
      <c r="I7" s="1575"/>
      <c r="J7" s="1575"/>
      <c r="K7" s="1575"/>
    </row>
    <row r="8" spans="1:12" x14ac:dyDescent="0.2">
      <c r="A8" s="427" t="s">
        <v>410</v>
      </c>
      <c r="B8" s="429">
        <v>1150</v>
      </c>
      <c r="C8" s="1580"/>
      <c r="D8" s="1580"/>
      <c r="E8" s="1582"/>
      <c r="F8" s="1582"/>
      <c r="G8" s="1586">
        <v>79710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2441908</v>
      </c>
      <c r="D12" s="1633">
        <f t="shared" si="0"/>
        <v>533168</v>
      </c>
      <c r="E12" s="1633">
        <f t="shared" si="0"/>
        <v>479289</v>
      </c>
      <c r="F12" s="1633">
        <f t="shared" si="0"/>
        <v>213267</v>
      </c>
      <c r="G12" s="1633">
        <f t="shared" si="0"/>
        <v>134510</v>
      </c>
      <c r="H12" s="1633">
        <f t="shared" si="0"/>
        <v>0</v>
      </c>
      <c r="I12" s="1633">
        <f t="shared" si="0"/>
        <v>53317</v>
      </c>
      <c r="J12" s="1633">
        <f t="shared" si="0"/>
        <v>209239</v>
      </c>
      <c r="K12" s="1594">
        <f t="shared" si="0"/>
        <v>53316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123959</v>
      </c>
      <c r="D16" s="1573"/>
      <c r="E16" s="1573"/>
      <c r="F16" s="1573"/>
      <c r="G16" s="1573">
        <v>3000</v>
      </c>
      <c r="H16" s="1573"/>
      <c r="I16" s="1573"/>
      <c r="J16" s="1574"/>
      <c r="K16" s="1573"/>
    </row>
    <row r="17" spans="1:11" ht="12.75" customHeight="1" x14ac:dyDescent="0.2">
      <c r="A17" s="427" t="s">
        <v>802</v>
      </c>
      <c r="B17" s="429">
        <v>1290</v>
      </c>
      <c r="C17" s="1632"/>
      <c r="D17" s="1573"/>
      <c r="E17" s="1573">
        <v>44000</v>
      </c>
      <c r="F17" s="1573"/>
      <c r="G17" s="1573"/>
      <c r="H17" s="1573"/>
      <c r="I17" s="1573"/>
      <c r="J17" s="1574"/>
      <c r="K17" s="1573"/>
    </row>
    <row r="18" spans="1:11" ht="12.75" customHeight="1" thickBot="1" x14ac:dyDescent="0.25">
      <c r="A18" s="1406" t="s">
        <v>534</v>
      </c>
      <c r="B18" s="1407"/>
      <c r="C18" s="1635">
        <f>SUM(C14:C17)</f>
        <v>123959</v>
      </c>
      <c r="D18" s="1635">
        <f t="shared" ref="D18:K18" si="1">SUM(D14:D17)</f>
        <v>0</v>
      </c>
      <c r="E18" s="1635">
        <f t="shared" si="1"/>
        <v>44000</v>
      </c>
      <c r="F18" s="1635">
        <f t="shared" si="1"/>
        <v>0</v>
      </c>
      <c r="G18" s="1635">
        <f t="shared" si="1"/>
        <v>3000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2500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2500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43116</v>
      </c>
      <c r="D65" s="1573">
        <v>5865</v>
      </c>
      <c r="E65" s="1573">
        <v>3069</v>
      </c>
      <c r="F65" s="1574">
        <v>13019</v>
      </c>
      <c r="G65" s="1573">
        <v>2581</v>
      </c>
      <c r="H65" s="1573">
        <v>4749</v>
      </c>
      <c r="I65" s="1573">
        <v>21025</v>
      </c>
      <c r="J65" s="1574">
        <v>13712</v>
      </c>
      <c r="K65" s="1573">
        <v>7723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43116</v>
      </c>
      <c r="D67" s="1594">
        <f t="shared" ref="D67:K67" si="2">SUM(D65:D66)</f>
        <v>5865</v>
      </c>
      <c r="E67" s="1594">
        <f t="shared" si="2"/>
        <v>3069</v>
      </c>
      <c r="F67" s="1594">
        <f t="shared" si="2"/>
        <v>13019</v>
      </c>
      <c r="G67" s="1594">
        <f t="shared" si="2"/>
        <v>2581</v>
      </c>
      <c r="H67" s="1594">
        <f t="shared" si="2"/>
        <v>4749</v>
      </c>
      <c r="I67" s="1594">
        <f t="shared" si="2"/>
        <v>21025</v>
      </c>
      <c r="J67" s="1594">
        <f t="shared" si="2"/>
        <v>13712</v>
      </c>
      <c r="K67" s="1594">
        <f t="shared" si="2"/>
        <v>7723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53037</v>
      </c>
      <c r="D69" s="1575"/>
      <c r="E69" s="1575"/>
      <c r="F69" s="1575"/>
      <c r="G69" s="1575"/>
      <c r="H69" s="1575"/>
      <c r="I69" s="1575"/>
      <c r="J69" s="1575"/>
      <c r="K69" s="1575"/>
    </row>
    <row r="70" spans="1:11" ht="12.75" customHeight="1" x14ac:dyDescent="0.2">
      <c r="A70" s="427" t="s">
        <v>990</v>
      </c>
      <c r="B70" s="429">
        <v>1612</v>
      </c>
      <c r="C70" s="1632">
        <v>6053</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1932</v>
      </c>
      <c r="D73" s="1575"/>
      <c r="E73" s="1575"/>
      <c r="F73" s="1575"/>
      <c r="G73" s="1575"/>
      <c r="H73" s="1575"/>
      <c r="I73" s="1575"/>
      <c r="J73" s="1575"/>
      <c r="K73" s="1575"/>
    </row>
    <row r="74" spans="1:11" ht="12.75" customHeight="1" x14ac:dyDescent="0.2">
      <c r="A74" s="427" t="s">
        <v>25</v>
      </c>
      <c r="B74" s="429">
        <v>1690</v>
      </c>
      <c r="C74" s="1632">
        <v>40</v>
      </c>
      <c r="D74" s="1575"/>
      <c r="E74" s="1575"/>
      <c r="F74" s="1575"/>
      <c r="G74" s="1575"/>
      <c r="H74" s="1575"/>
      <c r="I74" s="1575"/>
      <c r="J74" s="1575"/>
      <c r="K74" s="1575"/>
    </row>
    <row r="75" spans="1:11" ht="12.75" customHeight="1" thickBot="1" x14ac:dyDescent="0.25">
      <c r="A75" s="1406" t="s">
        <v>544</v>
      </c>
      <c r="B75" s="1407"/>
      <c r="C75" s="1594">
        <f>SUM(C69:C74)</f>
        <v>61062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9106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9106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23375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23375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100</v>
      </c>
      <c r="D107" s="1573">
        <v>9277</v>
      </c>
      <c r="E107" s="1573"/>
      <c r="F107" s="1573"/>
      <c r="G107" s="1573"/>
      <c r="H107" s="1573">
        <v>253556</v>
      </c>
      <c r="I107" s="1573"/>
      <c r="J107" s="1574"/>
      <c r="K107" s="1573"/>
    </row>
    <row r="108" spans="1:12" ht="12.75" customHeight="1" thickBot="1" x14ac:dyDescent="0.25">
      <c r="A108" s="1406" t="s">
        <v>484</v>
      </c>
      <c r="B108" s="1408"/>
      <c r="C108" s="1633">
        <f>SUM(C95:C107)</f>
        <v>100</v>
      </c>
      <c r="D108" s="1633">
        <f t="shared" ref="D108:K108" si="3">SUM(D95:D107)</f>
        <v>9277</v>
      </c>
      <c r="E108" s="1633">
        <f t="shared" si="3"/>
        <v>0</v>
      </c>
      <c r="F108" s="1633">
        <f t="shared" si="3"/>
        <v>0</v>
      </c>
      <c r="G108" s="1633">
        <f t="shared" si="3"/>
        <v>0</v>
      </c>
      <c r="H108" s="1633">
        <f t="shared" si="3"/>
        <v>253556</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2705126</v>
      </c>
      <c r="D109" s="1641">
        <f t="shared" si="4"/>
        <v>548310</v>
      </c>
      <c r="E109" s="1641">
        <f t="shared" si="4"/>
        <v>526358</v>
      </c>
      <c r="F109" s="1641">
        <f t="shared" si="4"/>
        <v>226286</v>
      </c>
      <c r="G109" s="1641">
        <f t="shared" si="4"/>
        <v>140091</v>
      </c>
      <c r="H109" s="1641">
        <f t="shared" si="4"/>
        <v>258305</v>
      </c>
      <c r="I109" s="1641">
        <f t="shared" si="4"/>
        <v>74342</v>
      </c>
      <c r="J109" s="1641">
        <f t="shared" si="4"/>
        <v>222951</v>
      </c>
      <c r="K109" s="1629">
        <f t="shared" si="4"/>
        <v>61039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130348</v>
      </c>
      <c r="D111" s="1586"/>
      <c r="E111" s="1640"/>
      <c r="F111" s="1586">
        <v>33257</v>
      </c>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130348</v>
      </c>
      <c r="D114" s="1642">
        <f>SUM(D111:D113)</f>
        <v>0</v>
      </c>
      <c r="E114" s="1640" t="s">
        <v>1159</v>
      </c>
      <c r="F114" s="1642">
        <f>SUM(F111:F113)</f>
        <v>33257</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1297690</v>
      </c>
      <c r="D117" s="1586">
        <v>100000</v>
      </c>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1297690</v>
      </c>
      <c r="D122" s="1633">
        <f t="shared" si="5"/>
        <v>100000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21683</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v>158745</v>
      </c>
      <c r="D131" s="1574"/>
      <c r="E131" s="1575"/>
      <c r="F131" s="1573"/>
      <c r="G131" s="1575"/>
      <c r="H131" s="1575"/>
      <c r="I131" s="1575"/>
      <c r="J131" s="1575"/>
      <c r="K131" s="1575"/>
    </row>
    <row r="132" spans="1:11" ht="12.75" customHeight="1" thickBot="1" x14ac:dyDescent="0.25">
      <c r="A132" s="1406" t="s">
        <v>1025</v>
      </c>
      <c r="B132" s="1414"/>
      <c r="C132" s="1633">
        <f>SUM(C125:C131)</f>
        <v>180428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3538</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3538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737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4388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180784</v>
      </c>
      <c r="G152" s="1574"/>
      <c r="H152" s="1575"/>
      <c r="I152" s="1575"/>
      <c r="J152" s="1575"/>
      <c r="K152" s="1575"/>
    </row>
    <row r="153" spans="1:11" ht="12.75" customHeight="1" x14ac:dyDescent="0.2">
      <c r="A153" s="427" t="s">
        <v>1048</v>
      </c>
      <c r="B153" s="478">
        <v>3510</v>
      </c>
      <c r="C153" s="1632"/>
      <c r="D153" s="1573"/>
      <c r="E153" s="1640"/>
      <c r="F153" s="1573">
        <v>45015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225799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v>50000</v>
      </c>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189841</v>
      </c>
      <c r="D169" s="1658">
        <f t="shared" si="6"/>
        <v>0</v>
      </c>
      <c r="E169" s="1658">
        <f t="shared" si="6"/>
        <v>0</v>
      </c>
      <c r="F169" s="1658">
        <f t="shared" si="6"/>
        <v>225799</v>
      </c>
      <c r="G169" s="1658">
        <f t="shared" si="6"/>
        <v>0</v>
      </c>
      <c r="H169" s="1658">
        <f t="shared" si="6"/>
        <v>0</v>
      </c>
      <c r="I169" s="1658">
        <f t="shared" si="6"/>
        <v>0</v>
      </c>
      <c r="J169" s="1658">
        <f t="shared" si="6"/>
        <v>0</v>
      </c>
      <c r="K169" s="1624">
        <f t="shared" si="6"/>
        <v>50000</v>
      </c>
    </row>
    <row r="170" spans="1:11" ht="12.75" customHeight="1" thickTop="1" thickBot="1" x14ac:dyDescent="0.25">
      <c r="A170" s="1406" t="s">
        <v>396</v>
      </c>
      <c r="B170" s="1410" t="s">
        <v>571</v>
      </c>
      <c r="C170" s="1641">
        <f t="shared" ref="C170:K170" si="7">SUM(C122,C169)</f>
        <v>1487531</v>
      </c>
      <c r="D170" s="1641">
        <f t="shared" si="7"/>
        <v>100000</v>
      </c>
      <c r="E170" s="1641">
        <f t="shared" si="7"/>
        <v>0</v>
      </c>
      <c r="F170" s="1641">
        <f t="shared" si="7"/>
        <v>225799</v>
      </c>
      <c r="G170" s="1641">
        <f t="shared" si="7"/>
        <v>0</v>
      </c>
      <c r="H170" s="1641">
        <f t="shared" si="7"/>
        <v>0</v>
      </c>
      <c r="I170" s="1641">
        <f t="shared" si="7"/>
        <v>0</v>
      </c>
      <c r="J170" s="1641">
        <f t="shared" si="7"/>
        <v>0</v>
      </c>
      <c r="K170" s="1629">
        <f t="shared" si="7"/>
        <v>50000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40162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12953</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v>12004</v>
      </c>
      <c r="D197" s="1575"/>
      <c r="E197" s="1640"/>
      <c r="F197" s="1575"/>
      <c r="G197" s="1664"/>
      <c r="H197" s="1575"/>
      <c r="I197" s="1575"/>
      <c r="J197" s="1575"/>
      <c r="K197" s="1575"/>
    </row>
    <row r="198" spans="1:11" ht="12.75" customHeight="1" thickBot="1" x14ac:dyDescent="0.25">
      <c r="A198" s="1406" t="s">
        <v>544</v>
      </c>
      <c r="B198" s="1407"/>
      <c r="C198" s="1594">
        <f>SUM(C190:C197)</f>
        <v>65119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83066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83066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6486</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6486</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70000</v>
      </c>
      <c r="D213" s="1573"/>
      <c r="E213" s="1575"/>
      <c r="F213" s="1573"/>
      <c r="G213" s="1573"/>
      <c r="H213" s="1575"/>
      <c r="I213" s="1575"/>
      <c r="J213" s="1575"/>
      <c r="K213" s="1575"/>
    </row>
    <row r="214" spans="1:11" ht="12.75" customHeight="1" x14ac:dyDescent="0.2">
      <c r="A214" s="427" t="s">
        <v>1045</v>
      </c>
      <c r="B214" s="429">
        <v>4625</v>
      </c>
      <c r="C214" s="1632">
        <v>7607</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77607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17859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9959</v>
      </c>
      <c r="D263" s="1651"/>
      <c r="E263" s="1575"/>
      <c r="F263" s="1651"/>
      <c r="G263" s="1651"/>
      <c r="H263" s="1575"/>
      <c r="I263" s="1575"/>
      <c r="J263" s="1575"/>
      <c r="K263" s="1575"/>
    </row>
    <row r="264" spans="1:11" ht="12.75" customHeight="1" thickTop="1" thickBot="1" x14ac:dyDescent="0.25">
      <c r="A264" s="427" t="s">
        <v>374</v>
      </c>
      <c r="B264" s="429">
        <v>4992</v>
      </c>
      <c r="C264" s="1650">
        <v>4238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264334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264334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4587339</v>
      </c>
      <c r="D268" s="1641">
        <f t="shared" si="12"/>
        <v>648310</v>
      </c>
      <c r="E268" s="1641">
        <f t="shared" si="12"/>
        <v>526358</v>
      </c>
      <c r="F268" s="1641">
        <f t="shared" si="12"/>
        <v>485342</v>
      </c>
      <c r="G268" s="1641">
        <f t="shared" si="12"/>
        <v>140091</v>
      </c>
      <c r="H268" s="1641">
        <f t="shared" si="12"/>
        <v>258305</v>
      </c>
      <c r="I268" s="1641">
        <f t="shared" si="12"/>
        <v>74342</v>
      </c>
      <c r="J268" s="1641">
        <f t="shared" si="12"/>
        <v>222951</v>
      </c>
      <c r="K268" s="1629">
        <f t="shared" si="12"/>
        <v>111039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activeCell="I22" sqref="I22:S22"/>
      <selection pane="bottomLeft" activeCell="I22" sqref="I22:S2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1159764</v>
      </c>
      <c r="D5" s="1573">
        <v>307999</v>
      </c>
      <c r="E5" s="1573">
        <v>56348</v>
      </c>
      <c r="F5" s="1573">
        <v>36133</v>
      </c>
      <c r="G5" s="1573">
        <v>71449</v>
      </c>
      <c r="H5" s="1573"/>
      <c r="I5" s="1574"/>
      <c r="J5" s="1574"/>
      <c r="K5" s="1672">
        <f>SUM(C5:J5)</f>
        <v>1631693</v>
      </c>
      <c r="L5" s="1573">
        <v>1725465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98705</v>
      </c>
      <c r="D7" s="1574">
        <v>31024</v>
      </c>
      <c r="E7" s="1574"/>
      <c r="F7" s="1574">
        <v>879</v>
      </c>
      <c r="G7" s="1574"/>
      <c r="H7" s="1574"/>
      <c r="I7" s="1574"/>
      <c r="J7" s="1574"/>
      <c r="K7" s="1672">
        <f t="shared" ref="K7:K32" si="0">SUM(C7:J7)</f>
        <v>130608</v>
      </c>
      <c r="L7" s="1573">
        <v>132688</v>
      </c>
    </row>
    <row r="8" spans="1:14" x14ac:dyDescent="0.2">
      <c r="A8" s="1274" t="s">
        <v>163</v>
      </c>
      <c r="B8" s="503">
        <v>1200</v>
      </c>
      <c r="C8" s="1573">
        <v>140004</v>
      </c>
      <c r="D8" s="1573">
        <v>47225</v>
      </c>
      <c r="E8" s="1573">
        <v>2176</v>
      </c>
      <c r="F8" s="1573">
        <v>923</v>
      </c>
      <c r="G8" s="1573"/>
      <c r="H8" s="1573"/>
      <c r="I8" s="1574"/>
      <c r="J8" s="1574"/>
      <c r="K8" s="1672">
        <f t="shared" si="0"/>
        <v>190328</v>
      </c>
      <c r="L8" s="1573">
        <v>204162</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42982</v>
      </c>
      <c r="D10" s="1573">
        <v>17010</v>
      </c>
      <c r="E10" s="1573">
        <v>325</v>
      </c>
      <c r="F10" s="1573">
        <v>2839</v>
      </c>
      <c r="G10" s="1573">
        <v>12602</v>
      </c>
      <c r="H10" s="1573"/>
      <c r="I10" s="1574"/>
      <c r="J10" s="1574"/>
      <c r="K10" s="1672">
        <f t="shared" si="0"/>
        <v>75758</v>
      </c>
      <c r="L10" s="1573">
        <v>76212</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40348</v>
      </c>
      <c r="D14" s="1573">
        <v>794</v>
      </c>
      <c r="E14" s="1573">
        <v>6592</v>
      </c>
      <c r="F14" s="1573">
        <v>8081</v>
      </c>
      <c r="G14" s="1573"/>
      <c r="H14" s="1573">
        <v>796</v>
      </c>
      <c r="I14" s="1574"/>
      <c r="J14" s="1574"/>
      <c r="K14" s="1672">
        <f t="shared" si="0"/>
        <v>56611</v>
      </c>
      <c r="L14" s="1573">
        <v>64117</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1481803</v>
      </c>
      <c r="D33" s="1674">
        <f t="shared" ref="D33:L33" si="1">SUM(D5:D32)</f>
        <v>404052</v>
      </c>
      <c r="E33" s="1674">
        <f t="shared" si="1"/>
        <v>65441</v>
      </c>
      <c r="F33" s="1674">
        <f t="shared" si="1"/>
        <v>48855</v>
      </c>
      <c r="G33" s="1674">
        <f t="shared" si="1"/>
        <v>84051</v>
      </c>
      <c r="H33" s="1674">
        <f t="shared" si="1"/>
        <v>796</v>
      </c>
      <c r="I33" s="1674">
        <f t="shared" si="1"/>
        <v>0</v>
      </c>
      <c r="J33" s="1674">
        <f t="shared" si="1"/>
        <v>0</v>
      </c>
      <c r="K33" s="1674">
        <f t="shared" si="1"/>
        <v>2084998</v>
      </c>
      <c r="L33" s="1674">
        <f t="shared" si="1"/>
        <v>2202644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71228</v>
      </c>
      <c r="D37" s="1573">
        <v>22558</v>
      </c>
      <c r="E37" s="1573"/>
      <c r="F37" s="1573"/>
      <c r="G37" s="1573"/>
      <c r="H37" s="1573"/>
      <c r="I37" s="1574"/>
      <c r="J37" s="1574"/>
      <c r="K37" s="1672">
        <f t="shared" si="2"/>
        <v>93786</v>
      </c>
      <c r="L37" s="1573">
        <v>94346</v>
      </c>
    </row>
    <row r="38" spans="1:14" x14ac:dyDescent="0.2">
      <c r="A38" s="1274" t="s">
        <v>196</v>
      </c>
      <c r="B38" s="503">
        <v>2130</v>
      </c>
      <c r="C38" s="1573">
        <v>40397</v>
      </c>
      <c r="D38" s="1573">
        <v>6422</v>
      </c>
      <c r="E38" s="1573"/>
      <c r="F38" s="1573"/>
      <c r="G38" s="1573"/>
      <c r="H38" s="1573"/>
      <c r="I38" s="1574"/>
      <c r="J38" s="1574"/>
      <c r="K38" s="1672">
        <f t="shared" si="2"/>
        <v>46819</v>
      </c>
      <c r="L38" s="1573">
        <v>51910</v>
      </c>
    </row>
    <row r="39" spans="1:14" x14ac:dyDescent="0.2">
      <c r="A39" s="1274" t="s">
        <v>197</v>
      </c>
      <c r="B39" s="503">
        <v>2140</v>
      </c>
      <c r="C39" s="1573">
        <v>13754</v>
      </c>
      <c r="D39" s="1573"/>
      <c r="E39" s="1573"/>
      <c r="F39" s="1573"/>
      <c r="G39" s="1573"/>
      <c r="H39" s="1573"/>
      <c r="I39" s="1574"/>
      <c r="J39" s="1574"/>
      <c r="K39" s="1672">
        <f t="shared" si="2"/>
        <v>13754</v>
      </c>
      <c r="L39" s="1573">
        <v>16505</v>
      </c>
    </row>
    <row r="40" spans="1:14" x14ac:dyDescent="0.2">
      <c r="A40" s="1274" t="s">
        <v>198</v>
      </c>
      <c r="B40" s="503">
        <v>2150</v>
      </c>
      <c r="C40" s="1573">
        <v>44902</v>
      </c>
      <c r="D40" s="1573">
        <v>12660</v>
      </c>
      <c r="E40" s="1573">
        <v>412</v>
      </c>
      <c r="F40" s="1573"/>
      <c r="G40" s="1573"/>
      <c r="H40" s="1573"/>
      <c r="I40" s="1574"/>
      <c r="J40" s="1574"/>
      <c r="K40" s="1672">
        <f t="shared" si="2"/>
        <v>57974</v>
      </c>
      <c r="L40" s="1573">
        <v>58762</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170281</v>
      </c>
      <c r="D42" s="1674">
        <f t="shared" ref="D42:L42" si="3">SUM(D36:D41)</f>
        <v>41640</v>
      </c>
      <c r="E42" s="1674">
        <f t="shared" si="3"/>
        <v>412</v>
      </c>
      <c r="F42" s="1674">
        <f t="shared" si="3"/>
        <v>0</v>
      </c>
      <c r="G42" s="1674">
        <f t="shared" si="3"/>
        <v>0</v>
      </c>
      <c r="H42" s="1674">
        <f t="shared" si="3"/>
        <v>0</v>
      </c>
      <c r="I42" s="1674">
        <f t="shared" si="3"/>
        <v>0</v>
      </c>
      <c r="J42" s="1674">
        <f t="shared" si="3"/>
        <v>0</v>
      </c>
      <c r="K42" s="1674">
        <f t="shared" si="3"/>
        <v>212333</v>
      </c>
      <c r="L42" s="1674">
        <f t="shared" si="3"/>
        <v>221523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2340</v>
      </c>
      <c r="D44" s="1586">
        <v>79</v>
      </c>
      <c r="E44" s="1586">
        <v>4090</v>
      </c>
      <c r="F44" s="1586"/>
      <c r="G44" s="1586"/>
      <c r="H44" s="1586"/>
      <c r="I44" s="1574"/>
      <c r="J44" s="1574"/>
      <c r="K44" s="1678">
        <f>SUM(C44:J44)</f>
        <v>6509</v>
      </c>
      <c r="L44" s="1586">
        <v>13743</v>
      </c>
    </row>
    <row r="45" spans="1:14" x14ac:dyDescent="0.2">
      <c r="A45" s="1274" t="s">
        <v>810</v>
      </c>
      <c r="B45" s="503">
        <v>2220</v>
      </c>
      <c r="C45" s="1573">
        <v>35176</v>
      </c>
      <c r="D45" s="1573">
        <v>7094</v>
      </c>
      <c r="E45" s="1573">
        <v>845</v>
      </c>
      <c r="F45" s="1573">
        <v>3534</v>
      </c>
      <c r="G45" s="1573"/>
      <c r="H45" s="1573"/>
      <c r="I45" s="1574"/>
      <c r="J45" s="1574"/>
      <c r="K45" s="1678">
        <f>SUM(C45:J45)</f>
        <v>46649</v>
      </c>
      <c r="L45" s="1573">
        <v>47770</v>
      </c>
    </row>
    <row r="46" spans="1:14" x14ac:dyDescent="0.2">
      <c r="A46" s="1274" t="s">
        <v>811</v>
      </c>
      <c r="B46" s="503">
        <v>2230</v>
      </c>
      <c r="C46" s="1573"/>
      <c r="D46" s="1573"/>
      <c r="E46" s="1573">
        <v>6732</v>
      </c>
      <c r="F46" s="1573"/>
      <c r="G46" s="1573"/>
      <c r="H46" s="1573"/>
      <c r="I46" s="1574"/>
      <c r="J46" s="1574"/>
      <c r="K46" s="1678">
        <f>SUM(C46:J46)</f>
        <v>6732</v>
      </c>
      <c r="L46" s="1573">
        <v>6750</v>
      </c>
    </row>
    <row r="47" spans="1:14" ht="12.75" customHeight="1" thickBot="1" x14ac:dyDescent="0.25">
      <c r="A47" s="1380" t="s">
        <v>557</v>
      </c>
      <c r="B47" s="1381" t="s">
        <v>32</v>
      </c>
      <c r="C47" s="1674">
        <f>SUM(C44:C46)</f>
        <v>37516</v>
      </c>
      <c r="D47" s="1674">
        <f t="shared" ref="D47:K47" si="4">SUM(D44:D46)</f>
        <v>7173</v>
      </c>
      <c r="E47" s="1674">
        <f t="shared" si="4"/>
        <v>11667</v>
      </c>
      <c r="F47" s="1674">
        <f t="shared" si="4"/>
        <v>3534</v>
      </c>
      <c r="G47" s="1674">
        <f t="shared" si="4"/>
        <v>0</v>
      </c>
      <c r="H47" s="1674">
        <f t="shared" si="4"/>
        <v>0</v>
      </c>
      <c r="I47" s="1674">
        <f t="shared" si="4"/>
        <v>0</v>
      </c>
      <c r="J47" s="1674">
        <f t="shared" si="4"/>
        <v>0</v>
      </c>
      <c r="K47" s="1674">
        <f t="shared" si="4"/>
        <v>59890</v>
      </c>
      <c r="L47" s="1674">
        <f>SUM(L44:L46)</f>
        <v>68263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22491</v>
      </c>
      <c r="F49" s="1586">
        <v>363</v>
      </c>
      <c r="G49" s="1586"/>
      <c r="H49" s="1586">
        <v>2684</v>
      </c>
      <c r="I49" s="1574"/>
      <c r="J49" s="1574"/>
      <c r="K49" s="1678">
        <f>SUM(C49:J49)</f>
        <v>25538</v>
      </c>
      <c r="L49" s="1586">
        <v>34300</v>
      </c>
    </row>
    <row r="50" spans="1:14" x14ac:dyDescent="0.2">
      <c r="A50" s="1274" t="s">
        <v>813</v>
      </c>
      <c r="B50" s="503">
        <v>2320</v>
      </c>
      <c r="C50" s="1573">
        <v>118008</v>
      </c>
      <c r="D50" s="1573">
        <v>18214</v>
      </c>
      <c r="E50" s="1573">
        <v>14227</v>
      </c>
      <c r="F50" s="1573">
        <v>5035</v>
      </c>
      <c r="G50" s="1573">
        <v>1591</v>
      </c>
      <c r="H50" s="1573"/>
      <c r="I50" s="1574"/>
      <c r="J50" s="1574"/>
      <c r="K50" s="1678">
        <f>SUM(C50:J50)</f>
        <v>157075</v>
      </c>
      <c r="L50" s="1573">
        <v>161023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118008</v>
      </c>
      <c r="D53" s="1674">
        <f t="shared" ref="D53:L53" si="5">SUM(D49:D52)</f>
        <v>18214</v>
      </c>
      <c r="E53" s="1674">
        <f t="shared" si="5"/>
        <v>36718</v>
      </c>
      <c r="F53" s="1674">
        <f t="shared" si="5"/>
        <v>5398</v>
      </c>
      <c r="G53" s="1674">
        <f t="shared" si="5"/>
        <v>1591</v>
      </c>
      <c r="H53" s="1674">
        <f t="shared" si="5"/>
        <v>2684</v>
      </c>
      <c r="I53" s="1674">
        <f t="shared" si="5"/>
        <v>0</v>
      </c>
      <c r="J53" s="1674">
        <f t="shared" si="5"/>
        <v>0</v>
      </c>
      <c r="K53" s="1674">
        <f t="shared" si="5"/>
        <v>182613</v>
      </c>
      <c r="L53" s="1674">
        <f t="shared" si="5"/>
        <v>195323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73224</v>
      </c>
      <c r="D55" s="1586">
        <v>12254</v>
      </c>
      <c r="E55" s="1586">
        <v>2104</v>
      </c>
      <c r="F55" s="1586"/>
      <c r="G55" s="1586"/>
      <c r="H55" s="1586"/>
      <c r="I55" s="1574"/>
      <c r="J55" s="1574"/>
      <c r="K55" s="1678">
        <f>SUM(C55:J55)</f>
        <v>87582</v>
      </c>
      <c r="L55" s="1586">
        <v>88790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73224</v>
      </c>
      <c r="D57" s="1679">
        <f t="shared" ref="D57:K57" si="6">SUM(D55:D56)</f>
        <v>12254</v>
      </c>
      <c r="E57" s="1679">
        <f t="shared" si="6"/>
        <v>2104</v>
      </c>
      <c r="F57" s="1679">
        <f t="shared" si="6"/>
        <v>0</v>
      </c>
      <c r="G57" s="1679">
        <f t="shared" si="6"/>
        <v>0</v>
      </c>
      <c r="H57" s="1679">
        <f t="shared" si="6"/>
        <v>0</v>
      </c>
      <c r="I57" s="1679">
        <f t="shared" si="6"/>
        <v>0</v>
      </c>
      <c r="J57" s="1679">
        <f t="shared" si="6"/>
        <v>0</v>
      </c>
      <c r="K57" s="1679">
        <f t="shared" si="6"/>
        <v>87582</v>
      </c>
      <c r="L57" s="1674">
        <f>SUM(L55:L56)</f>
        <v>88790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22157</v>
      </c>
      <c r="D60" s="1573">
        <v>3575</v>
      </c>
      <c r="E60" s="1573"/>
      <c r="F60" s="1573"/>
      <c r="G60" s="1573"/>
      <c r="H60" s="1573"/>
      <c r="I60" s="1574"/>
      <c r="J60" s="1574"/>
      <c r="K60" s="1678">
        <f t="shared" si="7"/>
        <v>25732</v>
      </c>
      <c r="L60" s="1573">
        <v>25560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41345</v>
      </c>
      <c r="D63" s="1573">
        <v>17515</v>
      </c>
      <c r="E63" s="1573">
        <v>1311</v>
      </c>
      <c r="F63" s="1573">
        <v>48777</v>
      </c>
      <c r="G63" s="1573"/>
      <c r="H63" s="1573"/>
      <c r="I63" s="1574"/>
      <c r="J63" s="1574"/>
      <c r="K63" s="1678">
        <f t="shared" si="7"/>
        <v>108948</v>
      </c>
      <c r="L63" s="1573">
        <v>144923</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63502</v>
      </c>
      <c r="D65" s="1674">
        <f t="shared" ref="D65:L65" si="8">SUM(D59:D64)</f>
        <v>21090</v>
      </c>
      <c r="E65" s="1674">
        <f t="shared" si="8"/>
        <v>1311</v>
      </c>
      <c r="F65" s="1674">
        <f t="shared" si="8"/>
        <v>48777</v>
      </c>
      <c r="G65" s="1674">
        <f t="shared" si="8"/>
        <v>0</v>
      </c>
      <c r="H65" s="1674">
        <f t="shared" si="8"/>
        <v>0</v>
      </c>
      <c r="I65" s="1674">
        <f t="shared" si="8"/>
        <v>0</v>
      </c>
      <c r="J65" s="1674">
        <f t="shared" si="8"/>
        <v>0</v>
      </c>
      <c r="K65" s="1674">
        <f t="shared" si="8"/>
        <v>134680</v>
      </c>
      <c r="L65" s="1674">
        <f t="shared" si="8"/>
        <v>170483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v>249</v>
      </c>
      <c r="G73" s="1649"/>
      <c r="H73" s="1649"/>
      <c r="I73" s="1627"/>
      <c r="J73" s="1627"/>
      <c r="K73" s="1674">
        <f>SUM(C73:J73)</f>
        <v>249</v>
      </c>
      <c r="L73" s="1651">
        <v>250</v>
      </c>
      <c r="M73" s="501"/>
      <c r="N73" s="501"/>
    </row>
    <row r="74" spans="1:14" ht="12.75" customHeight="1" thickTop="1" thickBot="1" x14ac:dyDescent="0.25">
      <c r="A74" s="1380" t="s">
        <v>806</v>
      </c>
      <c r="B74" s="1384">
        <v>2000</v>
      </c>
      <c r="C74" s="1681">
        <f>SUM(C42,C47,C53,C57,C65,C72,C73)</f>
        <v>462531</v>
      </c>
      <c r="D74" s="1681">
        <f t="shared" ref="D74:K74" si="10">SUM(D42,D47,D53,D57,D65,D72,D73)</f>
        <v>100371</v>
      </c>
      <c r="E74" s="1681">
        <f t="shared" si="10"/>
        <v>52212</v>
      </c>
      <c r="F74" s="1681">
        <f t="shared" si="10"/>
        <v>57958</v>
      </c>
      <c r="G74" s="1681">
        <f t="shared" si="10"/>
        <v>1591</v>
      </c>
      <c r="H74" s="1681">
        <f t="shared" si="10"/>
        <v>2684</v>
      </c>
      <c r="I74" s="1681">
        <f t="shared" si="10"/>
        <v>0</v>
      </c>
      <c r="J74" s="1681">
        <f t="shared" si="10"/>
        <v>0</v>
      </c>
      <c r="K74" s="1681">
        <f t="shared" si="10"/>
        <v>677347</v>
      </c>
      <c r="L74" s="1681">
        <f>SUM(L42,L47,L53,L57,L65,L72,L73)</f>
        <v>744632</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35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1081023</v>
      </c>
      <c r="F78" s="1673"/>
      <c r="G78" s="1673"/>
      <c r="H78" s="1682"/>
      <c r="I78" s="1582"/>
      <c r="J78" s="1582"/>
      <c r="K78" s="1672">
        <f t="shared" ref="K78:K83" si="11">SUM(C78:J78)</f>
        <v>1081023</v>
      </c>
      <c r="L78" s="1586">
        <v>1081023</v>
      </c>
    </row>
    <row r="79" spans="1:14" x14ac:dyDescent="0.2">
      <c r="A79" s="1274" t="s">
        <v>301</v>
      </c>
      <c r="B79" s="503">
        <v>4120</v>
      </c>
      <c r="C79" s="1673"/>
      <c r="D79" s="1673"/>
      <c r="E79" s="1573">
        <v>6991</v>
      </c>
      <c r="F79" s="1673"/>
      <c r="G79" s="1673"/>
      <c r="H79" s="1573"/>
      <c r="I79" s="1582"/>
      <c r="J79" s="1582"/>
      <c r="K79" s="1672">
        <f t="shared" si="11"/>
        <v>6991</v>
      </c>
      <c r="L79" s="1573">
        <v>7000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1088014</v>
      </c>
      <c r="F84" s="1673"/>
      <c r="G84" s="1673"/>
      <c r="H84" s="1674">
        <f>SUM(H78:H83)</f>
        <v>0</v>
      </c>
      <c r="I84" s="1582"/>
      <c r="J84" s="1582"/>
      <c r="K84" s="1674">
        <f>SUM(K78:K83)</f>
        <v>1088014</v>
      </c>
      <c r="L84" s="1674">
        <f>SUM(L78:L83)</f>
        <v>1088023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1088014</v>
      </c>
      <c r="F102" s="1673"/>
      <c r="G102" s="1673"/>
      <c r="H102" s="1681">
        <f>SUM(H84,H92,H100,H101)</f>
        <v>0</v>
      </c>
      <c r="I102" s="1582"/>
      <c r="J102" s="1582"/>
      <c r="K102" s="1681">
        <f>SUM(K84,K92,K100,K101)</f>
        <v>1088014</v>
      </c>
      <c r="L102" s="1681">
        <f>SUM(L84,L92,L100,L101)</f>
        <v>1088023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1944334</v>
      </c>
      <c r="D114" s="1674">
        <f t="shared" ref="D114:K114" si="13">SUM(D33,D74,D75,D102,D112,D113)</f>
        <v>504423</v>
      </c>
      <c r="E114" s="1674">
        <f t="shared" si="13"/>
        <v>1205667</v>
      </c>
      <c r="F114" s="1674">
        <f t="shared" si="13"/>
        <v>106813</v>
      </c>
      <c r="G114" s="1674">
        <f t="shared" si="13"/>
        <v>85642</v>
      </c>
      <c r="H114" s="1674">
        <f>SUM(H33,H74,H75,H102,H112,H113)</f>
        <v>3480</v>
      </c>
      <c r="I114" s="1674">
        <f t="shared" si="13"/>
        <v>0</v>
      </c>
      <c r="J114" s="1674">
        <f t="shared" si="13"/>
        <v>0</v>
      </c>
      <c r="K114" s="1674">
        <f t="shared" si="13"/>
        <v>3850359</v>
      </c>
      <c r="L114" s="1674">
        <f>SUM(L33,L74,L75,L102,L112,L113)</f>
        <v>4035334</v>
      </c>
    </row>
    <row r="115" spans="1:14" ht="13.5" thickTop="1" x14ac:dyDescent="0.2">
      <c r="A115" s="2261" t="s">
        <v>989</v>
      </c>
      <c r="B115" s="2262"/>
      <c r="C115" s="1675"/>
      <c r="D115" s="1675"/>
      <c r="E115" s="1675"/>
      <c r="F115" s="1675"/>
      <c r="G115" s="1675"/>
      <c r="H115" s="1675"/>
      <c r="I115" s="1675"/>
      <c r="J115" s="1675"/>
      <c r="K115" s="1689">
        <f>'Revenues 9-14'!C268-'Expenditures 15-22'!K114</f>
        <v>736980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143457</v>
      </c>
      <c r="D124" s="1573">
        <v>24414</v>
      </c>
      <c r="E124" s="1573">
        <v>48913</v>
      </c>
      <c r="F124" s="1573">
        <v>99644</v>
      </c>
      <c r="G124" s="1573">
        <v>12428</v>
      </c>
      <c r="H124" s="1573"/>
      <c r="I124" s="1574"/>
      <c r="J124" s="1574"/>
      <c r="K124" s="1674">
        <f>SUM(C124:J124)</f>
        <v>328856</v>
      </c>
      <c r="L124" s="1573">
        <v>372916</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143457</v>
      </c>
      <c r="D127" s="1674">
        <f t="shared" ref="D127:L127" si="14">SUM(D122:D126)</f>
        <v>24414</v>
      </c>
      <c r="E127" s="1674">
        <f t="shared" si="14"/>
        <v>48913</v>
      </c>
      <c r="F127" s="1674">
        <f t="shared" si="14"/>
        <v>99644</v>
      </c>
      <c r="G127" s="1674">
        <f t="shared" si="14"/>
        <v>12428</v>
      </c>
      <c r="H127" s="1674">
        <f t="shared" si="14"/>
        <v>0</v>
      </c>
      <c r="I127" s="1674">
        <f t="shared" si="14"/>
        <v>0</v>
      </c>
      <c r="J127" s="1674">
        <f t="shared" si="14"/>
        <v>0</v>
      </c>
      <c r="K127" s="1674">
        <f t="shared" si="14"/>
        <v>328856</v>
      </c>
      <c r="L127" s="1674">
        <f t="shared" si="14"/>
        <v>372916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143457</v>
      </c>
      <c r="D129" s="1681">
        <f t="shared" ref="D129:L129" si="15">SUM(D120,D127,D128)</f>
        <v>24414</v>
      </c>
      <c r="E129" s="1681">
        <f t="shared" si="15"/>
        <v>48913</v>
      </c>
      <c r="F129" s="1681">
        <f t="shared" si="15"/>
        <v>99644</v>
      </c>
      <c r="G129" s="1681">
        <f t="shared" si="15"/>
        <v>12428</v>
      </c>
      <c r="H129" s="1681">
        <f t="shared" si="15"/>
        <v>0</v>
      </c>
      <c r="I129" s="1681">
        <f t="shared" si="15"/>
        <v>0</v>
      </c>
      <c r="J129" s="1681">
        <f t="shared" si="15"/>
        <v>0</v>
      </c>
      <c r="K129" s="1681">
        <f t="shared" si="15"/>
        <v>328856</v>
      </c>
      <c r="L129" s="1681">
        <f t="shared" si="15"/>
        <v>372916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255000</v>
      </c>
      <c r="F133" s="1575"/>
      <c r="G133" s="1575"/>
      <c r="H133" s="1685"/>
      <c r="I133" s="1575"/>
      <c r="J133" s="1575"/>
      <c r="K133" s="1697">
        <f>SUM(E133,H133)</f>
        <v>255000</v>
      </c>
      <c r="L133" s="1685">
        <v>255000</v>
      </c>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v>276</v>
      </c>
      <c r="F136" s="1673"/>
      <c r="G136" s="1673"/>
      <c r="H136" s="1573"/>
      <c r="I136" s="1582"/>
      <c r="J136" s="1673"/>
      <c r="K136" s="1678">
        <f>SUM(E136,H136)</f>
        <v>276</v>
      </c>
      <c r="L136" s="1573">
        <v>275</v>
      </c>
    </row>
    <row r="137" spans="1:14" ht="12.75" customHeight="1" thickBot="1" x14ac:dyDescent="0.25">
      <c r="A137" s="1380" t="s">
        <v>477</v>
      </c>
      <c r="B137" s="1385">
        <v>4100</v>
      </c>
      <c r="C137" s="1673"/>
      <c r="D137" s="1673"/>
      <c r="E137" s="1674">
        <f>SUM(E133:E136)</f>
        <v>255276</v>
      </c>
      <c r="F137" s="1673"/>
      <c r="G137" s="1673"/>
      <c r="H137" s="1674">
        <f>SUM(H133:H136)</f>
        <v>0</v>
      </c>
      <c r="I137" s="1582"/>
      <c r="J137" s="1673"/>
      <c r="K137" s="1674">
        <f>SUM(K133:K136)</f>
        <v>255276</v>
      </c>
      <c r="L137" s="1674">
        <f>SUM(L133:L136)</f>
        <v>255275</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255276</v>
      </c>
      <c r="F139" s="1673"/>
      <c r="G139" s="1673"/>
      <c r="H139" s="1687">
        <f>SUM(H137:H138)</f>
        <v>0</v>
      </c>
      <c r="I139" s="1582"/>
      <c r="J139" s="1673"/>
      <c r="K139" s="1678">
        <f>SUM(K137,K138)</f>
        <v>255276</v>
      </c>
      <c r="L139" s="1687">
        <f>SUM(L137,L138)</f>
        <v>255275</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143457</v>
      </c>
      <c r="D151" s="1674">
        <f t="shared" ref="D151:K151" si="16">SUM(D129,D130,D139,D149,D150)</f>
        <v>24414</v>
      </c>
      <c r="E151" s="1674">
        <f t="shared" si="16"/>
        <v>304189</v>
      </c>
      <c r="F151" s="1674">
        <f t="shared" si="16"/>
        <v>99644</v>
      </c>
      <c r="G151" s="1674">
        <f t="shared" si="16"/>
        <v>12428</v>
      </c>
      <c r="H151" s="1674">
        <f t="shared" si="16"/>
        <v>0</v>
      </c>
      <c r="I151" s="1674">
        <f t="shared" si="16"/>
        <v>0</v>
      </c>
      <c r="J151" s="1674">
        <f t="shared" si="16"/>
        <v>0</v>
      </c>
      <c r="K151" s="1674">
        <f t="shared" si="16"/>
        <v>584132</v>
      </c>
      <c r="L151" s="1674">
        <f>SUM(L129,L130,L139,L149,L150)</f>
        <v>628191</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64178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180259</v>
      </c>
      <c r="I169" s="1673"/>
      <c r="J169" s="1673"/>
      <c r="K169" s="1672">
        <f>SUM(C169:H169)</f>
        <v>180259</v>
      </c>
      <c r="L169" s="1695">
        <v>180259</v>
      </c>
    </row>
    <row r="170" spans="1:14" ht="33.75" customHeight="1" x14ac:dyDescent="0.2">
      <c r="A170" s="543" t="s">
        <v>1651</v>
      </c>
      <c r="B170" s="545" t="s">
        <v>31</v>
      </c>
      <c r="C170" s="1673"/>
      <c r="D170" s="1673"/>
      <c r="E170" s="1673"/>
      <c r="F170" s="1673"/>
      <c r="G170" s="1673"/>
      <c r="H170" s="1646">
        <v>340000</v>
      </c>
      <c r="I170" s="1673"/>
      <c r="J170" s="1673"/>
      <c r="K170" s="1672">
        <f>SUM(C170:J170)</f>
        <v>340000</v>
      </c>
      <c r="L170" s="1646">
        <v>340000</v>
      </c>
    </row>
    <row r="171" spans="1:14" ht="15.75" customHeight="1" x14ac:dyDescent="0.2">
      <c r="A171" s="507" t="s">
        <v>761</v>
      </c>
      <c r="B171" s="546" t="s">
        <v>84</v>
      </c>
      <c r="C171" s="1673"/>
      <c r="D171" s="1673"/>
      <c r="E171" s="1573">
        <v>1000</v>
      </c>
      <c r="F171" s="1673"/>
      <c r="G171" s="1673"/>
      <c r="H171" s="1646"/>
      <c r="I171" s="1582"/>
      <c r="J171" s="1673"/>
      <c r="K171" s="1672">
        <f>SUM(C171:J171)</f>
        <v>1000</v>
      </c>
      <c r="L171" s="1646">
        <v>1000</v>
      </c>
    </row>
    <row r="172" spans="1:14" ht="12.75" customHeight="1" thickBot="1" x14ac:dyDescent="0.25">
      <c r="A172" s="1380" t="s">
        <v>633</v>
      </c>
      <c r="B172" s="1381" t="s">
        <v>489</v>
      </c>
      <c r="C172" s="1673"/>
      <c r="D172" s="1673"/>
      <c r="E172" s="1681">
        <f>SUM(E168,E169,E170,E171)</f>
        <v>1000</v>
      </c>
      <c r="F172" s="1673"/>
      <c r="G172" s="1673"/>
      <c r="H172" s="1681">
        <f>SUM(H168,H169,H170,H171)</f>
        <v>520259</v>
      </c>
      <c r="I172" s="1684"/>
      <c r="J172" s="1673"/>
      <c r="K172" s="1681">
        <f>SUM(K168,K169,K170,K171)</f>
        <v>521259</v>
      </c>
      <c r="L172" s="1681">
        <f>SUM(L168,L169,L170,L171)</f>
        <v>521259</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1000</v>
      </c>
      <c r="F174" s="1673"/>
      <c r="G174" s="1673"/>
      <c r="H174" s="1681">
        <f>SUM(H160,H172,H173)</f>
        <v>520259</v>
      </c>
      <c r="I174" s="1684"/>
      <c r="J174" s="1673"/>
      <c r="K174" s="1681">
        <f>SUM(K160,K172,K173)</f>
        <v>521259</v>
      </c>
      <c r="L174" s="1681">
        <f>SUM(L160,L172,L173)</f>
        <v>521259</v>
      </c>
    </row>
    <row r="175" spans="1:14" ht="13.5" thickTop="1" x14ac:dyDescent="0.2">
      <c r="A175" s="2261" t="s">
        <v>989</v>
      </c>
      <c r="B175" s="2262"/>
      <c r="C175" s="1673"/>
      <c r="D175" s="1673"/>
      <c r="E175" s="1673"/>
      <c r="F175" s="1673"/>
      <c r="G175" s="1673"/>
      <c r="H175" s="1675"/>
      <c r="I175" s="1673"/>
      <c r="J175" s="1673"/>
      <c r="K175" s="1689">
        <f>'Revenues 9-14'!E268-'Expenditures 15-22'!K174</f>
        <v>5099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6900</v>
      </c>
      <c r="D182" s="1573"/>
      <c r="E182" s="1573">
        <v>275884</v>
      </c>
      <c r="F182" s="1573">
        <v>33956</v>
      </c>
      <c r="G182" s="1573"/>
      <c r="H182" s="1573"/>
      <c r="I182" s="1574"/>
      <c r="J182" s="1574"/>
      <c r="K182" s="1672">
        <f>SUM(C182:J182)</f>
        <v>316740</v>
      </c>
      <c r="L182" s="1573">
        <v>340700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6900</v>
      </c>
      <c r="D184" s="1681">
        <f t="shared" ref="D184:J184" si="17">SUM(D180,D182,D183)</f>
        <v>0</v>
      </c>
      <c r="E184" s="1681">
        <f t="shared" si="17"/>
        <v>275884</v>
      </c>
      <c r="F184" s="1681">
        <f t="shared" si="17"/>
        <v>33956</v>
      </c>
      <c r="G184" s="1681">
        <f t="shared" si="17"/>
        <v>0</v>
      </c>
      <c r="H184" s="1681">
        <f t="shared" si="17"/>
        <v>0</v>
      </c>
      <c r="I184" s="1681">
        <f t="shared" si="17"/>
        <v>0</v>
      </c>
      <c r="J184" s="1681">
        <f t="shared" si="17"/>
        <v>0</v>
      </c>
      <c r="K184" s="1681">
        <f>SUM(K180,K182,K183)</f>
        <v>316740</v>
      </c>
      <c r="L184" s="1681">
        <f>SUM(L180, L182:L183)</f>
        <v>340700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26985</v>
      </c>
      <c r="F188" s="1673"/>
      <c r="G188" s="1673"/>
      <c r="H188" s="1573"/>
      <c r="I188" s="1582"/>
      <c r="J188" s="1673"/>
      <c r="K188" s="1672">
        <f t="shared" ref="K188:K193" si="18">SUM(E188,H188)</f>
        <v>26985</v>
      </c>
      <c r="L188" s="1573">
        <v>26985</v>
      </c>
    </row>
    <row r="189" spans="1:14" x14ac:dyDescent="0.2">
      <c r="A189" s="1274" t="s">
        <v>301</v>
      </c>
      <c r="B189" s="503">
        <v>4120</v>
      </c>
      <c r="C189" s="1673"/>
      <c r="D189" s="1673"/>
      <c r="E189" s="1573">
        <v>6375</v>
      </c>
      <c r="F189" s="1673"/>
      <c r="G189" s="1673"/>
      <c r="H189" s="1573"/>
      <c r="I189" s="1582"/>
      <c r="J189" s="1673"/>
      <c r="K189" s="1672">
        <f t="shared" si="18"/>
        <v>6375</v>
      </c>
      <c r="L189" s="1573">
        <v>12000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33360</v>
      </c>
      <c r="F194" s="1673"/>
      <c r="G194" s="1673"/>
      <c r="H194" s="1674">
        <f>SUM(H188:H193)</f>
        <v>0</v>
      </c>
      <c r="I194" s="1582"/>
      <c r="J194" s="1673"/>
      <c r="K194" s="1674">
        <f>SUM(K188:K193)</f>
        <v>33360</v>
      </c>
      <c r="L194" s="1674">
        <f>SUM(L188:L193)</f>
        <v>38985</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33360</v>
      </c>
      <c r="F196" s="1673"/>
      <c r="G196" s="1673"/>
      <c r="H196" s="1681">
        <f>SUM(H194,H195)</f>
        <v>0</v>
      </c>
      <c r="I196" s="1582"/>
      <c r="J196" s="1673"/>
      <c r="K196" s="1681">
        <f>SUM(K194,K195)</f>
        <v>33360</v>
      </c>
      <c r="L196" s="1681">
        <f>SUM(L194,L195)</f>
        <v>38985</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6900</v>
      </c>
      <c r="D210" s="1674">
        <f>SUM(D184,D185)</f>
        <v>0</v>
      </c>
      <c r="E210" s="1674">
        <f>SUM(E184,E185,E196)</f>
        <v>309244</v>
      </c>
      <c r="F210" s="1674">
        <f>SUM(F184,F185)</f>
        <v>33956</v>
      </c>
      <c r="G210" s="1674">
        <f>SUM(G184,G185)</f>
        <v>0</v>
      </c>
      <c r="H210" s="1674">
        <f>SUM(H184,H185,H196,H208,H209)</f>
        <v>0</v>
      </c>
      <c r="I210" s="1674">
        <f>SUM(I184,I185)</f>
        <v>0</v>
      </c>
      <c r="J210" s="1674">
        <f>SUM(J184,J185)</f>
        <v>0</v>
      </c>
      <c r="K210" s="1672">
        <f>SUM(K184,K185,K196,K208,K209)</f>
        <v>350100</v>
      </c>
      <c r="L210" s="1674">
        <f>SUM(L184,L185,L196,L208,L209)</f>
        <v>379685</v>
      </c>
    </row>
    <row r="211" spans="1:14" ht="13.5" thickTop="1" x14ac:dyDescent="0.2">
      <c r="A211" s="2261" t="s">
        <v>989</v>
      </c>
      <c r="B211" s="2262"/>
      <c r="C211" s="1675"/>
      <c r="D211" s="1675"/>
      <c r="E211" s="1675"/>
      <c r="F211" s="1675"/>
      <c r="G211" s="1675"/>
      <c r="H211" s="1675"/>
      <c r="I211" s="1673"/>
      <c r="J211" s="1673"/>
      <c r="K211" s="1689">
        <f>'Revenues 9-14'!F268-'Expenditures 15-22'!K210</f>
        <v>135242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25144</v>
      </c>
      <c r="E215" s="1673"/>
      <c r="F215" s="1673"/>
      <c r="G215" s="1673"/>
      <c r="H215" s="1673"/>
      <c r="I215" s="1673"/>
      <c r="J215" s="1673"/>
      <c r="K215" s="1672">
        <f>D215</f>
        <v>25144</v>
      </c>
      <c r="L215" s="1573">
        <v>26592</v>
      </c>
    </row>
    <row r="216" spans="1:14" x14ac:dyDescent="0.2">
      <c r="A216" s="1274" t="s">
        <v>162</v>
      </c>
      <c r="B216" s="503" t="s">
        <v>961</v>
      </c>
      <c r="C216" s="1673"/>
      <c r="D216" s="1574"/>
      <c r="E216" s="1673"/>
      <c r="F216" s="1673"/>
      <c r="G216" s="1673"/>
      <c r="H216" s="1673"/>
      <c r="I216" s="1673"/>
      <c r="J216" s="1673"/>
      <c r="K216" s="1672">
        <f t="shared" ref="K216:K228" si="19">D216</f>
        <v>0</v>
      </c>
      <c r="L216" s="1573">
        <v>9137</v>
      </c>
    </row>
    <row r="217" spans="1:14" x14ac:dyDescent="0.2">
      <c r="A217" s="1274" t="s">
        <v>163</v>
      </c>
      <c r="B217" s="503">
        <v>1200</v>
      </c>
      <c r="C217" s="1673"/>
      <c r="D217" s="1573">
        <v>9436</v>
      </c>
      <c r="E217" s="1673"/>
      <c r="F217" s="1673"/>
      <c r="G217" s="1673"/>
      <c r="H217" s="1673"/>
      <c r="I217" s="1673"/>
      <c r="J217" s="1673"/>
      <c r="K217" s="1672">
        <f t="shared" si="19"/>
        <v>9436</v>
      </c>
      <c r="L217" s="1573">
        <v>10722</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v>4320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1974</v>
      </c>
      <c r="E223" s="1673"/>
      <c r="F223" s="1673"/>
      <c r="G223" s="1673"/>
      <c r="H223" s="1673"/>
      <c r="I223" s="1673"/>
      <c r="J223" s="1673"/>
      <c r="K223" s="1672">
        <f t="shared" si="19"/>
        <v>1974</v>
      </c>
      <c r="L223" s="1573">
        <v>1953</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36554</v>
      </c>
      <c r="E229" s="1673"/>
      <c r="F229" s="1673"/>
      <c r="G229" s="1673"/>
      <c r="H229" s="1673"/>
      <c r="I229" s="1673"/>
      <c r="J229" s="1673"/>
      <c r="K229" s="1674">
        <f>SUM(K215:K228)</f>
        <v>36554</v>
      </c>
      <c r="L229" s="1674">
        <f>SUM(L215:L228)</f>
        <v>52724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995</v>
      </c>
      <c r="E233" s="1673"/>
      <c r="F233" s="1673"/>
      <c r="G233" s="1673"/>
      <c r="H233" s="1673"/>
      <c r="I233" s="1673"/>
      <c r="J233" s="1673"/>
      <c r="K233" s="1672">
        <f t="shared" si="20"/>
        <v>995</v>
      </c>
      <c r="L233" s="1573">
        <v>1040</v>
      </c>
    </row>
    <row r="234" spans="1:12" x14ac:dyDescent="0.2">
      <c r="A234" s="1274" t="s">
        <v>196</v>
      </c>
      <c r="B234" s="503">
        <v>2130</v>
      </c>
      <c r="C234" s="1673"/>
      <c r="D234" s="1573">
        <v>6056</v>
      </c>
      <c r="E234" s="1673"/>
      <c r="F234" s="1673"/>
      <c r="G234" s="1673"/>
      <c r="H234" s="1673"/>
      <c r="I234" s="1673"/>
      <c r="J234" s="1673"/>
      <c r="K234" s="1672">
        <f t="shared" si="20"/>
        <v>6056</v>
      </c>
      <c r="L234" s="1573">
        <v>6466</v>
      </c>
    </row>
    <row r="235" spans="1:12" x14ac:dyDescent="0.2">
      <c r="A235" s="1274" t="s">
        <v>197</v>
      </c>
      <c r="B235" s="503">
        <v>2140</v>
      </c>
      <c r="C235" s="1673"/>
      <c r="D235" s="1573">
        <v>199</v>
      </c>
      <c r="E235" s="1673"/>
      <c r="F235" s="1673"/>
      <c r="G235" s="1673"/>
      <c r="H235" s="1673"/>
      <c r="I235" s="1673"/>
      <c r="J235" s="1673"/>
      <c r="K235" s="1672">
        <f t="shared" si="20"/>
        <v>199</v>
      </c>
      <c r="L235" s="1573">
        <v>1305</v>
      </c>
    </row>
    <row r="236" spans="1:12" x14ac:dyDescent="0.2">
      <c r="A236" s="1274" t="s">
        <v>198</v>
      </c>
      <c r="B236" s="503">
        <v>2150</v>
      </c>
      <c r="C236" s="1673"/>
      <c r="D236" s="1573">
        <v>613</v>
      </c>
      <c r="E236" s="1673"/>
      <c r="F236" s="1673"/>
      <c r="G236" s="1673"/>
      <c r="H236" s="1673"/>
      <c r="I236" s="1673"/>
      <c r="J236" s="1673"/>
      <c r="K236" s="1672">
        <f t="shared" si="20"/>
        <v>613</v>
      </c>
      <c r="L236" s="1573">
        <v>613</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7863</v>
      </c>
      <c r="E238" s="1673"/>
      <c r="F238" s="1673"/>
      <c r="G238" s="1673"/>
      <c r="H238" s="1673"/>
      <c r="I238" s="1673"/>
      <c r="J238" s="1673"/>
      <c r="K238" s="1674">
        <f>SUM(K232:K237)</f>
        <v>7863</v>
      </c>
      <c r="L238" s="1674">
        <f>SUM(L232:L237)</f>
        <v>9424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27</v>
      </c>
      <c r="E240" s="1673"/>
      <c r="F240" s="1673"/>
      <c r="G240" s="1673"/>
      <c r="H240" s="1673"/>
      <c r="I240" s="1673"/>
      <c r="J240" s="1673"/>
      <c r="K240" s="1678">
        <f>D240</f>
        <v>27</v>
      </c>
      <c r="L240" s="1586">
        <v>75</v>
      </c>
    </row>
    <row r="241" spans="1:12" x14ac:dyDescent="0.2">
      <c r="A241" s="1274" t="s">
        <v>810</v>
      </c>
      <c r="B241" s="503">
        <v>2220</v>
      </c>
      <c r="C241" s="1673"/>
      <c r="D241" s="1573">
        <v>3444</v>
      </c>
      <c r="E241" s="1673"/>
      <c r="F241" s="1673"/>
      <c r="G241" s="1673"/>
      <c r="H241" s="1673"/>
      <c r="I241" s="1673"/>
      <c r="J241" s="1673"/>
      <c r="K241" s="1678">
        <f>D241</f>
        <v>3444</v>
      </c>
      <c r="L241" s="1573">
        <v>3376</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3471</v>
      </c>
      <c r="E243" s="1673"/>
      <c r="F243" s="1673"/>
      <c r="G243" s="1673"/>
      <c r="H243" s="1673"/>
      <c r="I243" s="1673"/>
      <c r="J243" s="1673"/>
      <c r="K243" s="1674">
        <f>SUM(K240:K242)</f>
        <v>3471</v>
      </c>
      <c r="L243" s="1674">
        <f>SUM(L240:L242)</f>
        <v>3451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6560</v>
      </c>
      <c r="E246" s="1673"/>
      <c r="F246" s="1673"/>
      <c r="G246" s="1673"/>
      <c r="H246" s="1673"/>
      <c r="I246" s="1673"/>
      <c r="J246" s="1673"/>
      <c r="K246" s="1678">
        <f t="shared" ref="K246:K256" si="21">D246</f>
        <v>6560</v>
      </c>
      <c r="L246" s="1573">
        <v>7243</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21935</v>
      </c>
      <c r="E254" s="1673"/>
      <c r="F254" s="1673"/>
      <c r="G254" s="1673"/>
      <c r="H254" s="1673"/>
      <c r="I254" s="1673"/>
      <c r="J254" s="1673"/>
      <c r="K254" s="1678">
        <f t="shared" si="21"/>
        <v>21935</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28495</v>
      </c>
      <c r="E257" s="1673"/>
      <c r="F257" s="1673"/>
      <c r="G257" s="1673"/>
      <c r="H257" s="1673"/>
      <c r="I257" s="1673"/>
      <c r="J257" s="1673"/>
      <c r="K257" s="1674">
        <f>SUM(K245:K256)</f>
        <v>28495</v>
      </c>
      <c r="L257" s="1674">
        <f>SUM(L245:L256)</f>
        <v>7243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4006</v>
      </c>
      <c r="E259" s="1673"/>
      <c r="F259" s="1673"/>
      <c r="G259" s="1673"/>
      <c r="H259" s="1673"/>
      <c r="I259" s="1673"/>
      <c r="J259" s="1673"/>
      <c r="K259" s="1678">
        <f>D259</f>
        <v>4006</v>
      </c>
      <c r="L259" s="1586">
        <v>4200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4006</v>
      </c>
      <c r="E261" s="1673"/>
      <c r="F261" s="1673"/>
      <c r="G261" s="1673"/>
      <c r="H261" s="1673"/>
      <c r="I261" s="1673"/>
      <c r="J261" s="1673"/>
      <c r="K261" s="1674">
        <f>SUM(K259:K260)</f>
        <v>4006</v>
      </c>
      <c r="L261" s="1674">
        <f>SUM(L259:L260)</f>
        <v>4200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2953</v>
      </c>
      <c r="E264" s="1673"/>
      <c r="F264" s="1673"/>
      <c r="G264" s="1673"/>
      <c r="H264" s="1673"/>
      <c r="I264" s="1673"/>
      <c r="J264" s="1673"/>
      <c r="K264" s="1678">
        <f t="shared" ref="K264:K269" si="22">D264</f>
        <v>2953</v>
      </c>
      <c r="L264" s="1573">
        <v>3083</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v>23551</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5402</v>
      </c>
      <c r="E268" s="1673"/>
      <c r="F268" s="1673"/>
      <c r="G268" s="1673"/>
      <c r="H268" s="1673"/>
      <c r="I268" s="1673"/>
      <c r="J268" s="1673"/>
      <c r="K268" s="1678">
        <f t="shared" si="22"/>
        <v>5402</v>
      </c>
      <c r="L268" s="1573">
        <v>6794</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8355</v>
      </c>
      <c r="E270" s="1673"/>
      <c r="F270" s="1673"/>
      <c r="G270" s="1673"/>
      <c r="H270" s="1673"/>
      <c r="I270" s="1673"/>
      <c r="J270" s="1673"/>
      <c r="K270" s="1674">
        <f>SUM(K263:K269)</f>
        <v>8355</v>
      </c>
      <c r="L270" s="1674">
        <f>SUM(L263:L269)</f>
        <v>33428</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52190</v>
      </c>
      <c r="E279" s="1673"/>
      <c r="F279" s="1673"/>
      <c r="G279" s="1673"/>
      <c r="H279" s="1673"/>
      <c r="I279" s="1673"/>
      <c r="J279" s="1673"/>
      <c r="K279" s="1681">
        <f>SUM(K238,K243,K257,K261,K270,K277,K278)</f>
        <v>52190</v>
      </c>
      <c r="L279" s="1681">
        <f>SUM(L238,L243,L257,L261,L270,L277,L278)</f>
        <v>57746</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54180</v>
      </c>
      <c r="E282" s="1673"/>
      <c r="F282" s="1673"/>
      <c r="G282" s="1673"/>
      <c r="H282" s="1673"/>
      <c r="I282" s="1673"/>
      <c r="J282" s="1673"/>
      <c r="K282" s="1672">
        <f>D282</f>
        <v>54180</v>
      </c>
      <c r="L282" s="1574">
        <v>54180</v>
      </c>
    </row>
    <row r="283" spans="1:12" x14ac:dyDescent="0.2">
      <c r="A283" s="1274" t="s">
        <v>301</v>
      </c>
      <c r="B283" s="503">
        <v>4120</v>
      </c>
      <c r="C283" s="1673"/>
      <c r="D283" s="1573">
        <v>3705</v>
      </c>
      <c r="E283" s="1673"/>
      <c r="F283" s="1673"/>
      <c r="G283" s="1673"/>
      <c r="H283" s="1673"/>
      <c r="I283" s="1673"/>
      <c r="J283" s="1673"/>
      <c r="K283" s="1672">
        <f>D283</f>
        <v>3705</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57885</v>
      </c>
      <c r="E285" s="1673"/>
      <c r="F285" s="1673"/>
      <c r="G285" s="1673"/>
      <c r="H285" s="1673"/>
      <c r="I285" s="1673"/>
      <c r="J285" s="1673"/>
      <c r="K285" s="1674">
        <f>SUM(K282:K284)</f>
        <v>57885</v>
      </c>
      <c r="L285" s="1674">
        <f>SUM(L282:L284)</f>
        <v>54180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146629</v>
      </c>
      <c r="E295" s="1673"/>
      <c r="F295" s="1673"/>
      <c r="G295" s="1673"/>
      <c r="H295" s="1674">
        <f>H293</f>
        <v>0</v>
      </c>
      <c r="I295" s="1673"/>
      <c r="J295" s="1673"/>
      <c r="K295" s="1674">
        <f>SUM(K229,K279,K280,K285,K293,K294)</f>
        <v>146629</v>
      </c>
      <c r="L295" s="1674">
        <f>SUM(L229,L279,L280,L285,L293,L294)</f>
        <v>164650</v>
      </c>
    </row>
    <row r="296" spans="1:14" ht="13.5" thickTop="1" x14ac:dyDescent="0.2">
      <c r="A296" s="2261" t="s">
        <v>989</v>
      </c>
      <c r="B296" s="2262"/>
      <c r="C296" s="1673"/>
      <c r="D296" s="1675"/>
      <c r="E296" s="1673"/>
      <c r="F296" s="1673"/>
      <c r="G296" s="1673"/>
      <c r="H296" s="1707"/>
      <c r="I296" s="1673"/>
      <c r="J296" s="1673"/>
      <c r="K296" s="1689">
        <f>'Revenues 9-14'!G268-'Expenditures 15-22'!K295</f>
        <v>-6538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5719</v>
      </c>
      <c r="F301" s="1573">
        <v>383</v>
      </c>
      <c r="G301" s="1573">
        <v>126606</v>
      </c>
      <c r="H301" s="1573">
        <v>44000</v>
      </c>
      <c r="I301" s="1574"/>
      <c r="J301" s="1574"/>
      <c r="K301" s="1672">
        <f>SUM(C301:J301)</f>
        <v>176708</v>
      </c>
      <c r="L301" s="1574">
        <v>166612</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5719</v>
      </c>
      <c r="F303" s="1681">
        <f t="shared" si="23"/>
        <v>383</v>
      </c>
      <c r="G303" s="1681">
        <f t="shared" si="23"/>
        <v>126606</v>
      </c>
      <c r="H303" s="1681">
        <f t="shared" si="23"/>
        <v>44000</v>
      </c>
      <c r="I303" s="1681">
        <f t="shared" si="23"/>
        <v>0</v>
      </c>
      <c r="J303" s="1681">
        <f t="shared" si="23"/>
        <v>0</v>
      </c>
      <c r="K303" s="1681">
        <f t="shared" si="23"/>
        <v>176708</v>
      </c>
      <c r="L303" s="1681">
        <f t="shared" si="23"/>
        <v>166612</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44000</v>
      </c>
    </row>
    <row r="312" spans="1:14" s="548" customFormat="1" ht="12.75" customHeight="1" thickTop="1" thickBot="1" x14ac:dyDescent="0.25">
      <c r="A312" s="2276" t="s">
        <v>275</v>
      </c>
      <c r="B312" s="2277"/>
      <c r="C312" s="1674">
        <f>SUM(C303)</f>
        <v>0</v>
      </c>
      <c r="D312" s="1674">
        <f>SUM(D303)</f>
        <v>0</v>
      </c>
      <c r="E312" s="1674">
        <f>SUM(E303,E310)</f>
        <v>5719</v>
      </c>
      <c r="F312" s="1674">
        <f>SUM(F303)</f>
        <v>383</v>
      </c>
      <c r="G312" s="1674">
        <f>SUM(G303)</f>
        <v>126606</v>
      </c>
      <c r="H312" s="1674">
        <f>SUM(H303,H310)</f>
        <v>44000</v>
      </c>
      <c r="I312" s="1674">
        <f>SUM(I303)</f>
        <v>0</v>
      </c>
      <c r="J312" s="1674">
        <f>SUM(J303)</f>
        <v>0</v>
      </c>
      <c r="K312" s="1674">
        <f>SUM(K303,K310,K311)</f>
        <v>176708</v>
      </c>
      <c r="L312" s="1674">
        <f>SUM(L303,L310,L311)</f>
        <v>210612</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81597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12965</v>
      </c>
      <c r="F320" s="1574"/>
      <c r="G320" s="1574"/>
      <c r="H320" s="1574"/>
      <c r="I320" s="1574"/>
      <c r="J320" s="1574"/>
      <c r="K320" s="1672">
        <f t="shared" ref="K320:K327" si="24">SUM(C320:J320)</f>
        <v>12965</v>
      </c>
      <c r="L320" s="1574">
        <v>11710</v>
      </c>
      <c r="M320" s="539"/>
      <c r="N320" s="539"/>
    </row>
    <row r="321" spans="1:14" s="548" customFormat="1" x14ac:dyDescent="0.2">
      <c r="A321" s="1289" t="s">
        <v>297</v>
      </c>
      <c r="B321" s="567" t="s">
        <v>281</v>
      </c>
      <c r="C321" s="1574"/>
      <c r="D321" s="1574"/>
      <c r="E321" s="1574">
        <v>2487</v>
      </c>
      <c r="F321" s="1574"/>
      <c r="G321" s="1574"/>
      <c r="H321" s="1574"/>
      <c r="I321" s="1574"/>
      <c r="J321" s="1574"/>
      <c r="K321" s="1672">
        <f t="shared" si="24"/>
        <v>2487</v>
      </c>
      <c r="L321" s="1574">
        <v>7000</v>
      </c>
      <c r="M321" s="539"/>
      <c r="N321" s="539"/>
    </row>
    <row r="322" spans="1:14" s="548" customFormat="1" x14ac:dyDescent="0.2">
      <c r="A322" s="1289" t="s">
        <v>236</v>
      </c>
      <c r="B322" s="567" t="s">
        <v>282</v>
      </c>
      <c r="C322" s="1574"/>
      <c r="D322" s="1574"/>
      <c r="E322" s="1574">
        <v>13848</v>
      </c>
      <c r="F322" s="1574"/>
      <c r="G322" s="1574"/>
      <c r="H322" s="1574"/>
      <c r="I322" s="1574"/>
      <c r="J322" s="1574"/>
      <c r="K322" s="1672">
        <f t="shared" si="24"/>
        <v>13848</v>
      </c>
      <c r="L322" s="1574">
        <v>13848</v>
      </c>
      <c r="M322" s="539"/>
      <c r="N322" s="539"/>
    </row>
    <row r="323" spans="1:14" s="548" customFormat="1" x14ac:dyDescent="0.2">
      <c r="A323" s="1289" t="s">
        <v>697</v>
      </c>
      <c r="B323" s="567" t="s">
        <v>283</v>
      </c>
      <c r="C323" s="1574"/>
      <c r="D323" s="1574"/>
      <c r="E323" s="1574">
        <v>13667</v>
      </c>
      <c r="F323" s="1574">
        <v>781</v>
      </c>
      <c r="G323" s="1574"/>
      <c r="H323" s="1574"/>
      <c r="I323" s="1574"/>
      <c r="J323" s="1574"/>
      <c r="K323" s="1672">
        <f t="shared" si="24"/>
        <v>14448</v>
      </c>
      <c r="L323" s="1574">
        <v>74593</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50988</v>
      </c>
      <c r="D325" s="1574">
        <v>8149</v>
      </c>
      <c r="E325" s="1574"/>
      <c r="F325" s="1574"/>
      <c r="G325" s="1574"/>
      <c r="H325" s="1574"/>
      <c r="I325" s="1574"/>
      <c r="J325" s="1574"/>
      <c r="K325" s="1672">
        <f t="shared" si="24"/>
        <v>59137</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900</v>
      </c>
      <c r="F327" s="1574"/>
      <c r="G327" s="1574"/>
      <c r="H327" s="1574"/>
      <c r="I327" s="1574"/>
      <c r="J327" s="1574"/>
      <c r="K327" s="1672">
        <f t="shared" si="24"/>
        <v>900</v>
      </c>
      <c r="L327" s="1574">
        <v>900</v>
      </c>
      <c r="M327" s="539"/>
      <c r="N327" s="539"/>
    </row>
    <row r="328" spans="1:14" s="548" customFormat="1" x14ac:dyDescent="0.2">
      <c r="A328" s="1290" t="s">
        <v>469</v>
      </c>
      <c r="B328" s="562" t="s">
        <v>1122</v>
      </c>
      <c r="C328" s="1579"/>
      <c r="D328" s="1579"/>
      <c r="E328" s="1579">
        <v>14044</v>
      </c>
      <c r="F328" s="1579"/>
      <c r="G328" s="1579"/>
      <c r="H328" s="1579"/>
      <c r="I328" s="1579"/>
      <c r="J328" s="1579"/>
      <c r="K328" s="1713">
        <f>SUM(C328:J328)</f>
        <v>14044</v>
      </c>
      <c r="L328" s="1579">
        <v>14044</v>
      </c>
      <c r="M328" s="539"/>
      <c r="N328" s="539"/>
    </row>
    <row r="329" spans="1:14" s="548" customFormat="1" x14ac:dyDescent="0.2">
      <c r="A329" s="1290" t="s">
        <v>1123</v>
      </c>
      <c r="B329" s="562" t="s">
        <v>1124</v>
      </c>
      <c r="C329" s="1579"/>
      <c r="D329" s="1579"/>
      <c r="E329" s="1579">
        <v>1851</v>
      </c>
      <c r="F329" s="1579"/>
      <c r="G329" s="1579"/>
      <c r="H329" s="1579"/>
      <c r="I329" s="1579"/>
      <c r="J329" s="1579"/>
      <c r="K329" s="1713">
        <f>SUM(C329:J329)</f>
        <v>1851</v>
      </c>
      <c r="L329" s="1579">
        <v>1851</v>
      </c>
      <c r="M329" s="539"/>
      <c r="N329" s="539"/>
    </row>
    <row r="330" spans="1:14" s="548" customFormat="1" ht="12.75" customHeight="1" thickBot="1" x14ac:dyDescent="0.25">
      <c r="A330" s="1401" t="s">
        <v>712</v>
      </c>
      <c r="B330" s="1381" t="s">
        <v>565</v>
      </c>
      <c r="C330" s="1674">
        <f>SUM(C319:C329)</f>
        <v>50988</v>
      </c>
      <c r="D330" s="1674">
        <f t="shared" ref="D330:J330" si="25">SUM(D319:D329)</f>
        <v>8149</v>
      </c>
      <c r="E330" s="1674">
        <f t="shared" si="25"/>
        <v>59762</v>
      </c>
      <c r="F330" s="1674">
        <f t="shared" si="25"/>
        <v>781</v>
      </c>
      <c r="G330" s="1674">
        <f t="shared" si="25"/>
        <v>0</v>
      </c>
      <c r="H330" s="1674">
        <f t="shared" si="25"/>
        <v>0</v>
      </c>
      <c r="I330" s="1674">
        <f t="shared" si="25"/>
        <v>0</v>
      </c>
      <c r="J330" s="1674">
        <f t="shared" si="25"/>
        <v>0</v>
      </c>
      <c r="K330" s="1674">
        <f>SUM(K319:K329)</f>
        <v>119680</v>
      </c>
      <c r="L330" s="1674">
        <f>SUM(L319:L329)</f>
        <v>123946</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50697</v>
      </c>
      <c r="I332" s="1714"/>
      <c r="J332" s="1714"/>
      <c r="K332" s="1672">
        <f>H332</f>
        <v>50697</v>
      </c>
      <c r="L332" s="1574">
        <v>50697</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50697</v>
      </c>
      <c r="I334" s="1714"/>
      <c r="J334" s="1714"/>
      <c r="K334" s="1674">
        <f>SUM(K332:K333)</f>
        <v>50697</v>
      </c>
      <c r="L334" s="1674">
        <f>SUM(L332:L333)</f>
        <v>50697</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50988</v>
      </c>
      <c r="D342" s="1674">
        <f>SUM(D330)</f>
        <v>8149</v>
      </c>
      <c r="E342" s="1674">
        <f>SUM(E330)</f>
        <v>59762</v>
      </c>
      <c r="F342" s="1674">
        <f>SUM(F330)</f>
        <v>781</v>
      </c>
      <c r="G342" s="1674">
        <f>SUM(G330)</f>
        <v>0</v>
      </c>
      <c r="H342" s="1674">
        <f>SUM(H330,H334,H340)</f>
        <v>50697</v>
      </c>
      <c r="I342" s="1674">
        <f>SUM(I330)</f>
        <v>0</v>
      </c>
      <c r="J342" s="1674">
        <f>SUM(J330)</f>
        <v>0</v>
      </c>
      <c r="K342" s="1674">
        <f>SUM(K330,K334,K340)</f>
        <v>170377</v>
      </c>
      <c r="L342" s="1681">
        <f>SUM(L330,L334,L340,L341)</f>
        <v>174643</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52574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v>20000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20000</v>
      </c>
    </row>
    <row r="368" spans="1:14" ht="13.5" thickTop="1" x14ac:dyDescent="0.2">
      <c r="A368" s="2261" t="s">
        <v>989</v>
      </c>
      <c r="B368" s="2262"/>
      <c r="C368" s="1694"/>
      <c r="D368" s="1694"/>
      <c r="E368" s="1677"/>
      <c r="F368" s="1677"/>
      <c r="G368" s="1677"/>
      <c r="H368" s="1677"/>
      <c r="I368" s="1677"/>
      <c r="J368" s="1676"/>
      <c r="K368" s="1672">
        <f>'Revenues 9-14'!K268-'Expenditures 15-22'!K367</f>
        <v>111039</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schemas.microsoft.com/office/infopath/2007/PartnerControls"/>
    <ds:schemaRef ds:uri="http://www.w3.org/XML/1998/namespace"/>
    <ds:schemaRef ds:uri="http://schemas.openxmlformats.org/package/2006/metadata/core-properties"/>
    <ds:schemaRef ds:uri="d21dc803-237d-4c68-8692-8d731fd29118"/>
    <ds:schemaRef ds:uri="http://purl.org/dc/terms/"/>
    <ds:schemaRef ds:uri="http://schemas.microsoft.com/sharepoint/v3"/>
    <ds:schemaRef ds:uri="http://schemas.microsoft.com/office/2006/documentManagement/types"/>
    <ds:schemaRef ds:uri="4d435f69-8686-490b-bd6d-b153bf22ab50"/>
    <ds:schemaRef ds:uri="6ce3111e-7420-4802-b50a-75d4e9a0b980"/>
    <ds:schemaRef ds:uri="http://purl.org/dc/dcmityp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2020-12-15T18:35:32Z</cp:lastPrinted>
  <dcterms:created xsi:type="dcterms:W3CDTF">2003-10-29T19:06:34Z</dcterms:created>
  <dcterms:modified xsi:type="dcterms:W3CDTF">2020-12-17T01:54:27Z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