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E726569-7F45-4F54-AB95-40E2C6C189F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C352" i="29" l="1"/>
  <c r="D69" i="36"/>
  <c r="J129" i="29"/>
  <c r="B7038" i="106" s="1"/>
  <c r="D7038" i="106" s="1"/>
  <c r="G39" i="108"/>
  <c r="B7074" i="106"/>
  <c r="D7074" i="106" s="1"/>
  <c r="F36" i="34"/>
  <c r="B7828" i="106" s="1"/>
  <c r="D7828" i="106" s="1"/>
  <c r="F64" i="34"/>
  <c r="B6289" i="106"/>
  <c r="D6289" i="106" s="1"/>
  <c r="I129" i="29"/>
  <c r="B7037" i="106" s="1"/>
  <c r="D7037" i="106" s="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C151" i="29" s="1"/>
  <c r="B1226" i="106" s="1"/>
  <c r="D1226"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225" i="106" l="1"/>
  <c r="D1225" i="106" s="1"/>
  <c r="K342" i="29"/>
  <c r="F13" i="34" s="1"/>
  <c r="B5770" i="106"/>
  <c r="D5770" i="106" s="1"/>
  <c r="L16" i="11"/>
  <c r="B2061" i="106" s="1"/>
  <c r="D2061" i="106" s="1"/>
  <c r="B6216" i="106"/>
  <c r="D6216" i="106" s="1"/>
  <c r="F41" i="108"/>
  <c r="G43" i="108" s="1"/>
  <c r="B1381" i="106"/>
  <c r="D1381" i="106" s="1"/>
  <c r="I7" i="4"/>
  <c r="B4444" i="106" s="1"/>
  <c r="D4444" i="106" s="1"/>
  <c r="H77" i="4"/>
  <c r="B3299" i="106" s="1"/>
  <c r="D3299" i="106" s="1"/>
  <c r="N23" i="3"/>
  <c r="B284" i="106" s="1"/>
  <c r="D284" i="106" s="1"/>
  <c r="K365" i="29"/>
  <c r="B1328" i="106"/>
  <c r="D1328" i="106" s="1"/>
  <c r="K77" i="4"/>
  <c r="B3587" i="106" s="1"/>
  <c r="D3587" i="106" s="1"/>
  <c r="B7215" i="106"/>
  <c r="D7215" i="106" s="1"/>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367" i="29" l="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<sst xmlns="http://schemas.openxmlformats.org/spreadsheetml/2006/main" count="5155" uniqueCount="2091">
  <si>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</si>
  <si>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</si>
  <si>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</si>
  <si>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</si>
  <si>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</si>
  <si>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</si>
  <si>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</si>
  <si>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</si>
  <si>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</si>
  <si>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</si>
  <si>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</si>
  <si>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</si>
  <si>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</si>
  <si>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</si>
  <si>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</si>
  <si>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</si>
  <si>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</si>
  <si>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</si>
  <si>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</si>
  <si>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</si>
  <si>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</si>
  <si>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</si>
  <si>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</si>
  <si>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</si>
  <si>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</si>
  <si>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</si>
  <si>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</si>
  <si>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</si>
  <si>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</si>
  <si>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</si>
  <si>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</si>
  <si>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</si>
  <si>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</si>
  <si>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</si>
  <si>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</si>
  <si>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</si>
  <si>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</si>
  <si>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</si>
  <si>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</si>
  <si>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</si>
  <si>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</si>
  <si>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</si>
  <si>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</si>
  <si>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</si>
  <si>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</si>
  <si>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</si>
  <si>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</si>
  <si>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</si>
  <si>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</si>
  <si>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</si>
  <si>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</si>
  <si>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</si>
  <si>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</si>
  <si>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</si>
  <si>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</si>
  <si>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</si>
  <si>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</si>
  <si>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</si>
  <si>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</si>
  <si>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</si>
  <si>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</si>
  <si>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</si>
  <si>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</si>
  <si>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</si>
  <si>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</si>
  <si>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</si>
  <si>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</si>
  <si>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</si>
  <si>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</si>
  <si>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</si>
  <si>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</si>
  <si>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</si>
  <si>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</si>
  <si>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</si>
  <si>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</si>
  <si>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</si>
  <si>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</si>
  <si>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</si>
  <si>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</si>
  <si>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</si>
  <si>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</si>
  <si>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</si>
  <si>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</si>
  <si>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</si>
  <si>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</si>
  <si>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</si>
  <si>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</si>
  <si>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</si>
  <si>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</si>
  <si>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</si>
  <si>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</si>
  <si>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</si>
  <si>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</si>
  <si>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</si>
  <si>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</si>
  <si>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</si>
  <si>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</si>
  <si>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</si>
  <si>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</si>
  <si>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</si>
  <si>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</si>
  <si>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</si>
  <si>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</si>
  <si>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</si>
  <si>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</si>
  <si>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</si>
  <si>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</si>
  <si>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</si>
  <si>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</si>
  <si>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</si>
  <si>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</si>
  <si>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</si>
  <si>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</si>
  <si>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</si>
  <si>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</si>
  <si>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</si>
  <si>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</si>
  <si>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</si>
  <si>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</si>
  <si>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</si>
  <si>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</si>
  <si>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</si>
  <si>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</si>
  <si>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</si>
  <si>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</si>
  <si>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</si>
  <si>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</si>
  <si>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</si>
  <si>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</si>
  <si>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</si>
  <si>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</si>
  <si>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</si>
  <si>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</si>
  <si>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</si>
  <si>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</si>
  <si>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</si>
  <si>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</si>
  <si>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</si>
  <si>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</si>
  <si>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</si>
  <si>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</si>
  <si>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</si>
  <si>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</si>
  <si>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</si>
  <si>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</si>
  <si>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</si>
  <si>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</si>
  <si>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</si>
  <si>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</si>
  <si>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</si>
  <si>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</si>
  <si>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</si>
  <si>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</si>
  <si>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</si>
  <si>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</si>
  <si>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</si>
  <si>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</si>
  <si>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</si>
  <si>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</si>
  <si>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</si>
  <si>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</si>
  <si>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</si>
  <si>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</si>
  <si>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</si>
  <si>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</si>
  <si>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</si>
  <si>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</si>
  <si>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</si>
  <si>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</si>
  <si>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</si>
  <si>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</si>
  <si>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</si>
  <si>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</si>
  <si>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</si>
  <si>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</si>
  <si>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</si>
  <si>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</si>
  <si>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</si>
  <si>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</si>
  <si>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</si>
  <si>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</si>
  <si>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</si>
  <si>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</si>
  <si>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</si>
  <si>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</si>
  <si>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</si>
  <si>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</si>
  <si>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</si>
  <si>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</si>
  <si>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</si>
  <si>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</si>
  <si>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</si>
  <si>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</si>
  <si>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</si>
  <si>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</si>
  <si>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</si>
  <si>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</si>
  <si>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</si>
  <si>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</si>
  <si>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</si>
  <si>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</si>
  <si>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</si>
  <si>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</si>
  <si>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</si>
  <si>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</si>
  <si>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</si>
  <si>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</si>
  <si>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</si>
  <si>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</si>
  <si>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</si>
  <si>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</si>
  <si>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</si>
  <si>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</si>
  <si>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</si>
  <si>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</si>
  <si>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</si>
  <si>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</si>
  <si>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</si>
  <si>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</si>
  <si>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</si>
  <si>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</si>
  <si>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</si>
  <si>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</si>
  <si>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</si>
  <si>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</si>
  <si>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</si>
  <si>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</si>
  <si>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</si>
  <si>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</si>
  <si>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</si>
  <si>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</si>
  <si>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</si>
  <si>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</si>
  <si>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</si>
  <si>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</si>
  <si>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</si>
  <si>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</si>
  <si>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</si>
  <si>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</si>
  <si>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</si>
  <si>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</si>
  <si>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</si>
  <si>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</si>
  <si>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</si>
  <si>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</si>
  <si>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</si>
  <si>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</si>
  <si>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</si>
  <si>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</si>
  <si>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</si>
  <si>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</si>
  <si>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</si>
  <si>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</si>
  <si>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</si>
  <si>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</si>
  <si>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</si>
  <si>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</si>
  <si>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</si>
  <si>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</si>
  <si>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</si>
  <si>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</si>
  <si>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</si>
  <si>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</si>
  <si>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</si>
  <si>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</si>
  <si>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</si>
  <si>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</si>
  <si>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</si>
  <si>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</si>
  <si>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</si>
  <si>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</si>
  <si>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</si>
  <si>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</si>
  <si>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</si>
  <si>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</si>
  <si>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</si>
  <si>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</si>
  <si>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</si>
  <si>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</si>
  <si>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</si>
  <si>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</si>
  <si>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</si>
  <si>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</si>
  <si>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</si>
  <si>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</si>
  <si>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</si>
  <si>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</si>
  <si>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</si>
  <si>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</si>
  <si>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</si>
  <si>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</si>
  <si>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</si>
  <si>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</si>
  <si>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</si>
  <si>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</si>
  <si>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</si>
  <si>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</si>
  <si>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</si>
  <si>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</si>
  <si>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</si>
  <si>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</si>
  <si>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</si>
  <si>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</si>
  <si>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</si>
  <si>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</si>
  <si>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</si>
  <si>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</si>
  <si>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</si>
  <si>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</si>
  <si>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</si>
  <si>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</si>
  <si>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</si>
  <si>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</si>
  <si>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</si>
  <si>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</si>
  <si>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</si>
  <si>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</si>
  <si>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</si>
  <si>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</si>
  <si>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</si>
  <si>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</si>
  <si>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</si>
  <si>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</si>
  <si>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</si>
  <si>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</si>
  <si>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</si>
  <si>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</si>
  <si>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</si>
  <si>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</si>
  <si>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</si>
  <si>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</si>
  <si>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</si>
  <si>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</si>
  <si>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</si>
  <si>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</si>
  <si>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</si>
  <si>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</si>
  <si>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</si>
  <si>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</si>
  <si>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</si>
  <si>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</si>
  <si>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</si>
  <si>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</si>
  <si>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</si>
  <si>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</si>
  <si>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</si>
  <si>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</si>
  <si>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</si>
  <si>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</si>
  <si>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</si>
  <si>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</si>
  <si>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</si>
  <si>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</si>
  <si>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</si>
  <si>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</si>
  <si>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</si>
  <si>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</si>
  <si>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</si>
  <si>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</si>
  <si>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</si>
  <si>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</si>
  <si>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</si>
  <si>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</si>
  <si>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</si>
  <si>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</si>
  <si>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</si>
  <si>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</si>
  <si>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</si>
  <si>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</si>
  <si>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</si>
  <si>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</si>
  <si>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</si>
  <si>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</si>
  <si>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</si>
  <si>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</si>
  <si>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</si>
  <si>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</si>
  <si>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</si>
  <si>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</si>
  <si>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</si>
  <si>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</si>
  <si>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</si>
  <si>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</si>
  <si>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</si>
  <si>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</si>
  <si>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</si>
  <si>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</si>
  <si>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</si>
  <si>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</si>
  <si>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</si>
  <si>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</si>
  <si>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</si>
  <si>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</si>
  <si>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</si>
  <si>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</si>
  <si>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</si>
  <si>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</si>
  <si>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</si>
  <si>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</si>
  <si>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</si>
  <si>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</si>
  <si>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</si>
  <si>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</si>
  <si>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</si>
  <si>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</si>
  <si>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</si>
  <si>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</si>
  <si>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</si>
  <si>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</si>
  <si>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</si>
  <si>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</si>
  <si>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</si>
  <si>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</si>
  <si>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</si>
  <si>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</si>
  <si>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</si>
  <si>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</si>
  <si>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</si>
  <si>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</si>
  <si>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</si>
  <si>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</si>
  <si>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</si>
  <si>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</si>
  <si>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</si>
  <si>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</si>
  <si>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</si>
  <si>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</si>
  <si>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</si>
  <si>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</si>
  <si>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</si>
  <si>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</si>
  <si>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</si>
  <si>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</si>
  <si>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</si>
  <si>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</si>
  <si>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</si>
  <si>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</si>
  <si>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</si>
  <si>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</si>
  <si>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</si>
  <si>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</si>
  <si>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</si>
  <si>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</si>
  <si>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</si>
  <si>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</si>
  <si>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</si>
  <si>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</si>
  <si>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</si>
  <si>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</si>
  <si>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</si>
  <si>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</si>
  <si>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</si>
  <si>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</si>
  <si>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</si>
  <si>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</si>
  <si>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</si>
  <si>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</si>
  <si>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</si>
  <si>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</si>
  <si>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</si>
  <si>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</si>
  <si>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</si>
  <si>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</si>
  <si>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</si>
  <si>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</si>
  <si>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</si>
  <si>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</si>
  <si>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</si>
  <si>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</si>
  <si>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</si>
  <si>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</si>
  <si>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</si>
  <si>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</si>
  <si>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</si>
  <si>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</si>
  <si>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</si>
  <si>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</si>
  <si>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</si>
  <si>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</si>
  <si>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</si>
  <si>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</si>
  <si>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</si>
  <si>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</si>
  <si>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</si>
  <si>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</si>
  <si>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</si>
  <si>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</si>
  <si>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</si>
  <si>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</si>
  <si>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</si>
  <si>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</si>
  <si>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</si>
  <si>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</si>
  <si>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</si>
  <si>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</si>
  <si>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</si>
  <si>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</si>
  <si>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</si>
  <si>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</si>
  <si>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</si>
  <si>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</si>
  <si>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</si>
  <si>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</si>
  <si>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</si>
  <si>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</si>
  <si>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</si>
  <si>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</si>
  <si>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</si>
  <si>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</si>
  <si>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</si>
  <si>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</si>
  <si>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</si>
  <si>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</si>
  <si>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</si>
  <si>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</si>
  <si>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</si>
  <si>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</si>
  <si>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</si>
  <si>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</si>
  <si>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</si>
  <si>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</si>
  <si>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</si>
  <si>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</si>
  <si>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</si>
  <si>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</si>
  <si>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</si>
  <si>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</si>
  <si>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</si>
  <si>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</si>
  <si>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</si>
  <si>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</si>
  <si>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</si>
  <si>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</si>
  <si>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</si>
  <si>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</si>
  <si>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</si>
  <si>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</si>
  <si>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</si>
  <si>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</si>
  <si>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</si>
  <si>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</si>
  <si>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</si>
  <si>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</si>
  <si>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</si>
  <si>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</si>
  <si>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</si>
  <si>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</si>
  <si>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</si>
  <si>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</si>
  <si>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</si>
  <si>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</si>
  <si>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</si>
  <si>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</si>
  <si>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</si>
  <si>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</si>
  <si>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</si>
  <si>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</si>
  <si>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</si>
  <si>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</si>
  <si>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</si>
  <si>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</si>
  <si>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</si>
  <si>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</si>
  <si>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</si>
  <si>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</si>
  <si>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</si>
  <si>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</si>
  <si>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</si>
  <si>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</si>
  <si>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</si>
  <si>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</si>
  <si>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</si>
  <si>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</si>
  <si>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</si>
  <si>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</si>
  <si>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</si>
  <si>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</si>
  <si>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</si>
  <si>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</si>
  <si>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</si>
  <si>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</si>
  <si>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</si>
  <si>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</si>
  <si>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</si>
  <si>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</si>
  <si>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</si>
  <si>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</si>
  <si>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</si>
  <si>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</si>
  <si>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</si>
  <si>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</si>
  <si>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</si>
  <si>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</si>
  <si>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</si>
  <si>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</si>
  <si>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</si>
  <si>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</si>
  <si>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</si>
  <si>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</si>
  <si>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</si>
  <si>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</si>
  <si>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</si>
  <si>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</si>
  <si>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</si>
  <si>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</si>
  <si>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</si>
  <si>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</si>
  <si>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</si>
  <si>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</si>
  <si>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</si>
  <si>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</si>
  <si>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</si>
  <si>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</si>
  <si>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</si>
  <si>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</si>
  <si>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</si>
  <si>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</si>
  <si>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</si>
  <si>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</si>
  <si>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</si>
  <si>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</si>
  <si>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</si>
  <si>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</si>
  <si>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</si>
  <si>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</si>
  <si>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</si>
  <si>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</si>
  <si>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</si>
  <si>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</si>
  <si>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</si>
  <si>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</si>
  <si>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</si>
  <si>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</si>
  <si>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</si>
  <si>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</si>
  <si>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</si>
  <si>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</si>
  <si>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</si>
  <si>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</si>
  <si>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</si>
  <si>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</si>
  <si>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</si>
  <si>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</si>
  <si>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</si>
  <si>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</si>
  <si>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</si>
  <si>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</si>
  <si>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</si>
  <si>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</si>
  <si>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</si>
  <si>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</si>
  <si>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</si>
  <si>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</si>
  <si>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</si>
  <si>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</si>
  <si>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</si>
  <si>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</si>
  <si>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</si>
  <si>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</si>
  <si>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</si>
  <si>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</si>
  <si>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</si>
  <si>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</si>
  <si>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</si>
  <si>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</si>
  <si>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</si>
  <si>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</si>
  <si>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</si>
  <si>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</si>
  <si>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</si>
  <si>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</si>
  <si>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</si>
  <si>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</si>
  <si>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</si>
  <si>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</si>
  <si>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</si>
  <si>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</si>
  <si>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</si>
  <si>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</si>
  <si>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</si>
  <si>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</si>
  <si>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</si>
  <si>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</si>
  <si>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</si>
  <si>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</si>
  <si>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</si>
  <si>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</si>
  <si>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</si>
  <si>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</si>
  <si>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</si>
  <si>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</si>
  <si>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</si>
  <si>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</si>
  <si>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</si>
  <si>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</si>
  <si>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</si>
  <si>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</si>
  <si>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</si>
  <si>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</si>
  <si>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</si>
  <si>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</si>
  <si>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</si>
  <si>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</si>
  <si>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</si>
  <si>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</si>
  <si>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</si>
  <si>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</si>
  <si>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</si>
  <si>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</si>
  <si>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</si>
  <si>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</si>
  <si>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</si>
  <si>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</si>
  <si>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</si>
  <si>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</si>
  <si>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</si>
  <si>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</si>
  <si>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</si>
  <si>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</si>
  <si>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</si>
  <si>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</si>
  <si>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</si>
  <si>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</si>
  <si>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</si>
  <si>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</si>
  <si>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</si>
  <si>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</si>
  <si>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</si>
  <si>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</si>
  <si>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</si>
  <si>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</si>
  <si>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</si>
  <si>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</si>
  <si>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</si>
  <si>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</si>
  <si>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</si>
  <si>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</si>
  <si>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</si>
  <si>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</si>
  <si>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</si>
  <si>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</si>
  <si>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</si>
  <si>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</si>
  <si>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</si>
  <si>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</si>
  <si>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</si>
  <si>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</si>
  <si>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</si>
  <si>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</si>
  <si>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</si>
  <si>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</si>
  <si>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</si>
  <si>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</si>
  <si>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</si>
  <si>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</si>
  <si>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</si>
  <si>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</si>
  <si>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</si>
  <si>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</si>
  <si>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</si>
  <si>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</si>
  <si>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</si>
  <si>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</si>
  <si>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</si>
  <si>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</si>
  <si>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</si>
  <si>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</si>
  <si>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</si>
  <si>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</si>
  <si>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</si>
  <si>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</si>
  <si>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</si>
  <si>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</si>
  <si>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</si>
  <si>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</si>
  <si>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</si>
  <si>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</si>
  <si>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</si>
  <si>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</si>
  <si>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</si>
  <si>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</si>
  <si>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</si>
  <si>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</si>
  <si>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</si>
  <si>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</si>
  <si>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</si>
  <si>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</si>
  <si>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</si>
  <si>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</si>
  <si>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</si>
  <si>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</si>
  <si>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</si>
  <si>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</si>
  <si>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</si>
  <si>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</si>
  <si>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</si>
  <si>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</si>
  <si>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</si>
  <si>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</si>
  <si>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</si>
  <si>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</si>
  <si>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</si>
  <si>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</si>
  <si>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</si>
  <si>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</si>
  <si>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</si>
  <si>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</si>
  <si>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</si>
  <si>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</si>
  <si>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</si>
  <si>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</si>
  <si>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</si>
  <si>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</si>
  <si>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</si>
  <si>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</si>
  <si>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</si>
  <si>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</si>
  <si>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</si>
  <si>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</si>
  <si>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</si>
  <si>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</si>
  <si>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</si>
  <si>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</si>
  <si>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</si>
  <si>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</si>
  <si>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</si>
  <si>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</si>
  <si>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</si>
  <si>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</si>
  <si>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</si>
  <si>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</si>
  <si>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</si>
  <si>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</si>
  <si>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</si>
  <si>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</si>
  <si>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</si>
  <si>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</si>
  <si>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</si>
  <si>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</si>
  <si>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</si>
  <si>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</si>
  <si>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</si>
  <si>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</si>
  <si>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</si>
  <si>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</si>
  <si>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</si>
  <si>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</si>
  <si>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</si>
  <si>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</si>
  <si>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</si>
  <si>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</si>
  <si>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</si>
  <si>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</si>
  <si>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</si>
  <si>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</si>
  <si>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</si>
  <si>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</si>
  <si>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</si>
  <si>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</si>
  <si>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</si>
  <si>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</si>
  <si>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</si>
  <si>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</si>
  <si>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</si>
  <si>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</si>
  <si>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</si>
  <si>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</si>
  <si>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</si>
  <si>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</si>
  <si>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</si>
  <si>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</si>
  <si>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</si>
  <si>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</si>
  <si>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</si>
  <si>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</si>
  <si>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</si>
  <si>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</si>
  <si>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</si>
  <si>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</si>
  <si>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</si>
  <si>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</si>
  <si>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</si>
  <si>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</si>
  <si>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</si>
  <si>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</si>
  <si>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</si>
  <si>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</si>
  <si>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</si>
  <si>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</si>
  <si>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</si>
  <si>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</si>
  <si>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</si>
  <si>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</si>
  <si>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</si>
  <si>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</si>
  <si>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</si>
  <si>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</si>
  <si>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</si>
  <si>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</si>
  <si>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</si>
  <si>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</si>
  <si>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</si>
  <si>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</si>
  <si>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</si>
  <si>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</si>
  <si>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</si>
  <si>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</si>
  <si>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</si>
  <si>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</si>
  <si>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</si>
  <si>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</si>
  <si>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</si>
  <si>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</si>
  <si>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</si>
  <si>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</si>
  <si>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</si>
  <si>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</si>
  <si>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</si>
  <si>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</si>
  <si>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</si>
  <si>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</si>
  <si>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</si>
  <si>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</si>
  <si>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</si>
  <si>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</si>
  <si>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</si>
  <si>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</si>
  <si>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</si>
  <si>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</si>
  <si>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</si>
  <si>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</si>
  <si>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</si>
  <si>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</si>
  <si>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</si>
  <si>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</si>
  <si>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</si>
  <si>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</si>
  <si>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</si>
  <si>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</si>
  <si>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</si>
  <si>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</si>
  <si>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</si>
  <si>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</si>
  <si>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</si>
  <si>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</si>
  <si>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</si>
  <si>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</si>
  <si>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</si>
  <si>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</si>
  <si>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</si>
  <si>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</si>
  <si>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</si>
  <si>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</si>
  <si>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</si>
  <si>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</si>
  <si>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</si>
  <si>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</si>
  <si>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</si>
  <si>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</si>
  <si>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</si>
  <si>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</si>
  <si>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</si>
  <si>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</si>
  <si>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</si>
  <si>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</si>
  <si>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</si>
  <si>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</si>
  <si>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</si>
  <si>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</si>
  <si>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</si>
  <si>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</si>
  <si>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</si>
  <si>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</si>
  <si>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</si>
  <si>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</si>
  <si>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</si>
  <si>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</si>
  <si>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</si>
  <si>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</si>
  <si>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</si>
  <si>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</si>
  <si>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</si>
  <si>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</si>
  <si>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</si>
  <si>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</si>
  <si>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</si>
  <si>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</si>
  <si>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</si>
  <si>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</si>
  <si>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</si>
  <si>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</si>
  <si>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</si>
  <si>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</si>
  <si>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</si>
  <si>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</si>
  <si>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</si>
  <si>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</si>
  <si>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</si>
  <si>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</si>
  <si>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</si>
  <si>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</si>
  <si>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</si>
  <si>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</si>
  <si>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</si>
  <si>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</si>
  <si>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</si>
  <si>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</si>
  <si>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</si>
  <si>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</si>
  <si>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</si>
  <si>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</si>
  <si>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</si>
  <si>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</si>
  <si>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</si>
  <si>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</si>
  <si>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</si>
  <si>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</si>
  <si>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</si>
  <si>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</si>
  <si>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</si>
  <si>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</si>
  <si>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</si>
  <si>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</si>
  <si>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</si>
  <si>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</si>
  <si>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</si>
  <si>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</si>
  <si>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</si>
  <si>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</si>
  <si>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</si>
  <si>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</si>
  <si>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</si>
  <si>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</si>
  <si>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</si>
  <si>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</si>
  <si>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</si>
  <si>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</si>
  <si>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</si>
  <si>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</si>
  <si>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</si>
  <si>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</si>
  <si>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</si>
  <si>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</si>
  <si>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</si>
  <si>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</si>
  <si>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</si>
  <si>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</si>
  <si>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</si>
  <si>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</si>
  <si>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</si>
  <si>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</si>
  <si>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</si>
  <si>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</si>
  <si>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</si>
  <si>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</si>
  <si>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</si>
  <si>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</si>
  <si>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</si>
  <si>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</si>
  <si>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</si>
  <si>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</si>
  <si>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</si>
  <si>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</si>
  <si>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</si>
  <si>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</si>
  <si>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</si>
  <si>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</si>
  <si>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</si>
  <si>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</si>
  <si>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</si>
  <si>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</si>
  <si>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</si>
  <si>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</si>
  <si>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</si>
  <si>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</si>
  <si>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</si>
  <si>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</si>
  <si>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</si>
  <si>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</si>
  <si>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</si>
  <si>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</si>
  <si>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</si>
  <si>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</si>
  <si>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</si>
  <si>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</si>
  <si>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</si>
  <si>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</si>
  <si>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</si>
  <si>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</si>
  <si>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</si>
  <si>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</si>
  <si>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</si>
  <si>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</si>
  <si>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</si>
  <si>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</si>
  <si>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</si>
  <si>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</si>
  <si>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</si>
  <si>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</si>
  <si>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</si>
  <si>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</si>
  <si>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</si>
  <si>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</si>
  <si>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</si>
  <si>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</si>
  <si>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</si>
  <si>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</si>
  <si>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</si>
  <si>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</si>
  <si>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</si>
  <si>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</si>
  <si>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</si>
  <si>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</si>
  <si>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</si>
  <si>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</si>
  <si>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</si>
  <si>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</si>
  <si>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</si>
  <si>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</si>
  <si>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</si>
  <si>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</si>
  <si>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</si>
  <si>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</si>
  <si>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</si>
  <si>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</si>
  <si>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</si>
  <si>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</si>
  <si>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</si>
  <si>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</si>
  <si>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</si>
  <si>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</si>
  <si>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</si>
  <si>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</si>
  <si>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</si>
  <si>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</si>
  <si>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</si>
  <si>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</si>
  <si>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</si>
  <si>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</si>
  <si>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</si>
  <si>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</si>
  <si>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</si>
  <si>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</si>
  <si>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</si>
  <si>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</si>
  <si>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</si>
  <si>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</si>
  <si>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</si>
  <si>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</si>
  <si>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</si>
  <si>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</si>
  <si>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</si>
  <si>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</si>
  <si>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</si>
  <si>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</si>
  <si>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</si>
  <si>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</si>
  <si>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</si>
  <si>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</si>
  <si>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</si>
  <si>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</si>
  <si>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</si>
  <si>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</si>
  <si>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</si>
  <si>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</si>
  <si>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</si>
  <si>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</si>
  <si>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</si>
  <si>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</si>
  <si>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</si>
  <si>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</si>
  <si>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</si>
  <si>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</si>
  <si>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</si>
  <si>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</si>
  <si>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</si>
  <si>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</si>
  <si>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</si>
  <si>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</si>
  <si>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</si>
  <si>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</si>
  <si>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</si>
  <si>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</si>
  <si>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</si>
  <si>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</si>
  <si>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</si>
  <si>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</si>
  <si>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</si>
  <si>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</si>
  <si>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</si>
  <si>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</si>
  <si>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</si>
  <si>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</si>
  <si>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</si>
  <si>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</si>
  <si>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</si>
  <si>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</si>
  <si>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</si>
  <si>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</si>
  <si>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</si>
  <si>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</si>
  <si>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</si>
  <si>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</si>
  <si>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</si>
  <si>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</si>
  <si>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</si>
  <si>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</si>
  <si>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</si>
  <si>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</si>
  <si>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</si>
  <si>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</si>
  <si>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</si>
  <si>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</si>
  <si>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</si>
  <si>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</si>
  <si>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</si>
  <si>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</si>
  <si>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</si>
  <si>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</si>
  <si>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</si>
  <si>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</si>
  <si>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</si>
  <si>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</si>
  <si>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</si>
  <si>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</si>
  <si>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</si>
  <si>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</si>
  <si>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</si>
  <si>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</si>
  <si>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</si>
  <si>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</si>
  <si>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</si>
  <si>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</si>
  <si>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</si>
  <si>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</si>
  <si>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</si>
  <si>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</si>
  <si>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</si>
  <si>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</si>
  <si>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</si>
  <si>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</si>
  <si>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</si>
  <si>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</si>
  <si>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</si>
  <si>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</si>
  <si>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</si>
  <si>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</si>
  <si>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</si>
  <si>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</si>
  <si>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</si>
  <si>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</si>
  <si>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</si>
  <si>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</si>
  <si>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</si>
  <si>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</si>
  <si>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</si>
  <si>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</si>
  <si>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</si>
  <si>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</si>
  <si>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</si>
  <si>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</si>
  <si>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</si>
  <si>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</si>
  <si>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</si>
  <si>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</si>
  <si>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</si>
  <si>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</si>
  <si>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</si>
  <si>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</si>
  <si>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</si>
  <si>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</si>
  <si>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</si>
  <si>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</si>
  <si>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</si>
  <si>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</si>
  <si>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</si>
  <si>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</si>
  <si>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</si>
  <si>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</si>
  <si>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</si>
  <si>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</si>
  <si>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</si>
  <si>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</si>
  <si>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</si>
  <si>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</si>
  <si>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</si>
  <si>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</si>
  <si>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</si>
  <si>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</si>
  <si>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</si>
  <si>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</si>
  <si>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</si>
  <si>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</si>
  <si>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</si>
  <si>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</si>
  <si>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</si>
  <si>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</si>
  <si>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</si>
  <si>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</si>
  <si>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</si>
  <si>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</si>
  <si>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</si>
  <si>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</si>
  <si>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</si>
  <si>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</si>
  <si>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</si>
  <si>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</si>
  <si>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</si>
  <si>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</si>
  <si>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</si>
  <si>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</si>
  <si>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</si>
  <si>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</si>
  <si>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</si>
  <si>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</si>
  <si>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</si>
  <si>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</si>
  <si>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</si>
  <si>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</si>
  <si>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</si>
  <si>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</si>
  <si>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</si>
  <si>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</si>
  <si>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</si>
  <si>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</si>
  <si>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</si>
  <si>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</si>
  <si>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</si>
  <si>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</si>
  <si>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</si>
  <si>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</si>
  <si>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</si>
  <si>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</si>
  <si>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</si>
  <si>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</si>
  <si>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</si>
  <si>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</si>
  <si>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</si>
  <si>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</si>
  <si>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</si>
  <si>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</si>
  <si>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</si>
  <si>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</si>
  <si>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</si>
  <si>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</si>
  <si>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</si>
  <si>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</si>
  <si>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</si>
  <si>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</si>
  <si>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</si>
  <si>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</si>
  <si>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</si>
  <si>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</si>
  <si>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</si>
  <si>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</si>
  <si>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</si>
  <si>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</si>
  <si>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</si>
  <si>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</si>
  <si>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</si>
  <si>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</si>
  <si>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</si>
  <si>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</si>
  <si>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</si>
  <si>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</si>
  <si>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</si>
  <si>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</si>
  <si>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</si>
  <si>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</si>
  <si>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</si>
  <si>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</si>
  <si>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</si>
  <si>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</si>
  <si>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</si>
  <si>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</si>
  <si>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</si>
  <si>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</si>
  <si>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</si>
  <si>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</si>
  <si>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</si>
  <si>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</si>
  <si>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</si>
  <si>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</si>
  <si>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</si>
  <si>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</si>
  <si>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</si>
  <si>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</si>
  <si>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</si>
  <si>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</si>
  <si>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</si>
  <si>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</si>
  <si>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</si>
  <si>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</si>
  <si>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</si>
  <si>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</si>
  <si>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</si>
  <si>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</si>
  <si>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</si>
  <si>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</si>
  <si>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</si>
  <si>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</si>
  <si>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</si>
  <si>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</si>
  <si>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</si>
  <si>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</si>
  <si>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</si>
  <si>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</si>
  <si>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</si>
  <si>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</si>
  <si>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</si>
  <si>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</si>
  <si>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</si>
  <si>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</si>
  <si>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</si>
  <si>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</si>
  <si>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</si>
  <si>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</si>
  <si>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</si>
  <si>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</si>
  <si>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</si>
  <si>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</si>
  <si>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</si>
  <si>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</si>
  <si>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</si>
  <si>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</si>
  <si>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</si>
  <si>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</si>
  <si>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</si>
  <si>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</si>
  <si>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</si>
  <si>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</si>
  <si>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</si>
  <si>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</si>
  <si>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</si>
  <si>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</si>
  <si>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</si>
  <si>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</si>
  <si>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</si>
  <si>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</si>
  <si>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</si>
  <si>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</si>
  <si>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</si>
  <si>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</si>
  <si>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</si>
  <si>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</si>
  <si>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</si>
  <si>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</si>
  <si>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</si>
  <si>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</si>
  <si>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</si>
  <si>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</si>
  <si>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</si>
  <si>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</si>
  <si>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</si>
  <si>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</si>
  <si>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</si>
  <si>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</si>
  <si>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</si>
  <si>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</si>
  <si>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</si>
  <si>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</si>
  <si>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</si>
  <si>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</si>
  <si>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</si>
  <si>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</si>
  <si>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</si>
  <si>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</si>
  <si>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</si>
  <si>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</si>
  <si>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</si>
  <si>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</si>
  <si>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</si>
  <si>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</si>
  <si>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</si>
  <si>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</si>
  <si>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</si>
  <si>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</si>
  <si>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</si>
  <si>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</si>
  <si>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</si>
  <si>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</si>
  <si>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</si>
  <si>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</si>
  <si>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</si>
  <si>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</si>
  <si>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</si>
  <si>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</si>
  <si>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</si>
  <si>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</si>
  <si>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</si>
  <si>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</si>
  <si>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</si>
  <si>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</si>
  <si>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</si>
  <si>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</si>
  <si>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</si>
  <si>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</si>
  <si>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</si>
  <si>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</si>
  <si>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</si>
  <si>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</si>
  <si>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</si>
  <si>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</si>
  <si>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</si>
  <si>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</si>
  <si>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</si>
  <si>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</si>
  <si>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</si>
  <si>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</si>
  <si>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</si>
  <si>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</si>
  <si>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</si>
  <si>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</si>
  <si>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</si>
  <si>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</si>
  <si>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</si>
  <si>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</si>
  <si>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</si>
  <si>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</si>
  <si>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</si>
  <si>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</si>
  <si>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</si>
  <si>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</si>
  <si>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</si>
  <si>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</si>
  <si>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</si>
  <si>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</si>
  <si>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</si>
  <si>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</si>
  <si>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</si>
  <si>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</si>
  <si>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</si>
  <si>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</si>
  <si>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</si>
  <si>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</si>
  <si>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</si>
  <si>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</si>
  <si>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</si>
  <si>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</si>
  <si>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</si>
  <si>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</si>
  <si>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</si>
  <si>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</si>
  <si>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</si>
  <si>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</si>
  <si>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</si>
  <si>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</si>
  <si>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</si>
  <si>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</si>
  <si>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</si>
  <si>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</si>
  <si>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</si>
  <si>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</si>
  <si>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</si>
  <si>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</si>
  <si>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</si>
  <si>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</si>
  <si>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</si>
  <si>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</si>
  <si>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</si>
  <si>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</si>
  <si>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</si>
  <si>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</si>
  <si>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</si>
  <si>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</si>
  <si>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</si>
  <si>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</si>
  <si>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</si>
  <si>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</si>
  <si>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</si>
  <si>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</si>
  <si>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</si>
  <si>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</si>
  <si>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</si>
  <si>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</si>
  <si>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</si>
  <si>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</si>
  <si>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</si>
  <si>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</si>
  <si>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</si>
  <si>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</si>
  <si>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</si>
  <si>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</si>
  <si>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</si>
  <si>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</si>
  <si>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</si>
  <si>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</si>
  <si>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</si>
  <si>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</si>
  <si>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</si>
  <si>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</si>
  <si>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</si>
  <si>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</si>
  <si>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</si>
  <si>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</si>
  <si>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</si>
  <si>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</si>
  <si>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</si>
  <si>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</si>
  <si>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</si>
  <si>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</si>
  <si>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</si>
  <si>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</si>
  <si>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</si>
  <si>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</si>
  <si>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</si>
  <si>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</si>
  <si>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</si>
  <si>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</si>
  <si>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</si>
  <si>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</si>
  <si>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</si>
  <si>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</si>
  <si>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</si>
  <si>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</si>
  <si>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</si>
  <si>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</si>
  <si>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</si>
  <si>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</si>
  <si>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</si>
  <si>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</si>
  <si>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</si>
  <si>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</si>
  <si>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</si>
  <si>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</si>
  <si>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</si>
  <si>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</si>
  <si>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</si>
  <si>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</si>
  <si>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</si>
  <si>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</si>
  <si>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</si>
  <si>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</si>
  <si>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</si>
  <si>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</si>
  <si>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</si>
  <si>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</si>
  <si>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</si>
  <si>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</si>
  <si>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</si>
  <si>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</si>
  <si>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</si>
  <si>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</si>
  <si>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</si>
  <si>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</si>
  <si>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</si>
  <si>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</si>
  <si>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</si>
  <si>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</si>
  <si>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</si>
  <si>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</si>
  <si>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</si>
  <si>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</si>
  <si>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</si>
  <si>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</si>
  <si>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</si>
  <si>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</si>
  <si>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</si>
  <si>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</si>
  <si>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</si>
  <si>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</si>
  <si>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</si>
  <si>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</si>
  <si>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</si>
  <si>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</si>
  <si>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</si>
  <si>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</si>
  <si>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</si>
  <si>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</si>
  <si>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</si>
  <si>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</si>
  <si>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</si>
  <si>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</si>
  <si>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</si>
  <si>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</si>
  <si>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</si>
  <si>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</si>
  <si>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</si>
  <si>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</si>
  <si>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</si>
  <si>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</si>
  <si>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</si>
  <si>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</si>
  <si>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</si>
  <si>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</si>
  <si>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</si>
  <si>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</si>
  <si>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</si>
  <si>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</si>
  <si>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</si>
  <si>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</si>
  <si>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</si>
  <si>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</si>
  <si>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</si>
  <si>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</si>
  <si>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</si>
  <si>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</si>
  <si>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</si>
  <si>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</si>
  <si>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</si>
  <si>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</si>
  <si>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</si>
  <si>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</si>
  <si>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</si>
  <si>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</si>
  <si>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</si>
  <si>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</si>
  <si>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</si>
  <si>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</si>
  <si>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</si>
  <si>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</si>
  <si>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</si>
  <si>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</si>
  <si>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</si>
  <si>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</si>
  <si>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</si>
  <si>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</si>
  <si>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</si>
  <si>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</si>
  <si>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</si>
  <si>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</si>
  <si>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</si>
  <si>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</si>
  <si>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</si>
  <si>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</si>
  <si>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</si>
  <si>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</si>
  <si>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</si>
  <si>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</si>
  <si>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</si>
  <si>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</si>
  <si>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</si>
  <si>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</si>
  <si>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</si>
  <si>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</si>
  <si>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</si>
  <si>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</si>
  <si>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</si>
  <si>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</si>
  <si>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</si>
  <si>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</si>
  <si>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</si>
  <si>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</si>
  <si>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</si>
  <si>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</si>
  <si>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</si>
  <si>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</si>
  <si>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</si>
  <si>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</si>
  <si>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</si>
  <si>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</si>
  <si>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</si>
  <si>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</si>
  <si>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</si>
  <si>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</si>
  <si>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</si>
  <si>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</si>
  <si>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</si>
  <si>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</si>
  <si>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</si>
  <si>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</si>
  <si>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</si>
  <si>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</si>
  <si>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</si>
  <si>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</si>
  <si>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</si>
  <si>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</si>
  <si>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</si>
  <si>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</si>
  <si>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</si>
  <si>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</si>
  <si>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</si>
  <si>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</si>
  <si>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</si>
  <si>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</si>
  <si>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</si>
  <si>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</si>
  <si>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</si>
  <si>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</si>
  <si>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</si>
  <si>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</si>
  <si>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</si>
  <si>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</si>
  <si>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</si>
  <si>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</si>
  <si>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</si>
  <si>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</si>
  <si>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</si>
  <si>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</si>
  <si>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</si>
  <si>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</si>
  <si>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</si>
  <si>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</si>
  <si>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</si>
  <si>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</si>
  <si>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</si>
  <si>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</si>
  <si>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</si>
  <si>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</si>
  <si>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</si>
  <si>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</si>
  <si>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</si>
  <si>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</si>
  <si>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</si>
  <si>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</si>
  <si>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</si>
  <si>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</si>
  <si>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</si>
  <si>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</si>
  <si>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</si>
  <si>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</si>
  <si>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</si>
  <si>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</si>
  <si>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</si>
  <si>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</si>
  <si>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</si>
  <si>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</si>
  <si>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</si>
  <si>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</si>
  <si>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</si>
  <si>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</si>
  <si>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</si>
  <si>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</si>
  <si>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</si>
  <si>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</si>
  <si>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</si>
  <si>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</si>
  <si>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</si>
  <si>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</si>
  <si>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</si>
  <si>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</si>
  <si>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</si>
  <si>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</si>
  <si>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</si>
  <si>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</si>
  <si>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</si>
  <si>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</si>
  <si>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</si>
  <si>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</si>
  <si>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</si>
  <si>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</si>
  <si>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</si>
  <si>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</si>
  <si>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</si>
  <si>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</si>
  <si>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</si>
  <si>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</si>
  <si>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</si>
  <si>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</si>
  <si>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</si>
  <si>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</si>
  <si>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</si>
  <si>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</si>
  <si>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</si>
  <si>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</si>
  <si>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</si>
  <si>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</si>
  <si>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</si>
  <si>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</si>
  <si>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</si>
  <si>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</si>
  <si>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</si>
  <si>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</si>
  <si>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</si>
  <si>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</si>
  <si>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</si>
  <si>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</si>
  <si>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</si>
  <si>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</si>
  <si>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</si>
  <si>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</si>
  <si>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</si>
  <si>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</si>
  <si>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</si>
  <si>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</si>
  <si>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</si>
  <si>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</si>
  <si>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</si>
  <si>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</si>
  <si>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</si>
  <si>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</si>
  <si>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</si>
  <si>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</si>
  <si>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</si>
  <si>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</si>
  <si>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</si>
  <si>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</si>
  <si>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</si>
  <si>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</si>
  <si>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</si>
  <si>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</si>
  <si>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</si>
  <si>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</si>
  <si>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</si>
  <si>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</si>
  <si>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</si>
  <si>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</si>
  <si>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</si>
  <si>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</si>
  <si>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</si>
  <si>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</si>
  <si>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</si>
  <si>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</si>
  <si>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</si>
  <si>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</si>
  <si>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</si>
  <si>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</si>
  <si>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</si>
  <si>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</si>
  <si>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</si>
  <si>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</si>
  <si>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</si>
  <si>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</si>
  <si>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</si>
  <si>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</si>
  <si>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</si>
  <si>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</si>
  <si>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</si>
  <si>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</si>
  <si>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</si>
  <si>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</si>
  <si>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</si>
  <si>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</si>
  <si>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</si>
  <si>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</si>
  <si>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</si>
  <si>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</si>
  <si>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</si>
  <si>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</si>
  <si>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</si>
  <si>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</si>
  <si>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</si>
  <si>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</si>
  <si>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</si>
  <si>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</si>
  <si>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</si>
  <si>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</si>
  <si>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</si>
  <si>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</si>
  <si>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</si>
  <si>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</si>
  <si>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</si>
  <si>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</si>
  <si>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</si>
  <si>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</si>
  <si>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</si>
  <si>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</si>
  <si>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</si>
  <si>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</si>
  <si>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</si>
  <si>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</si>
  <si>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</si>
  <si>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</si>
  <si>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</si>
  <si>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</si>
  <si>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</si>
  <si>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</si>
  <si>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</si>
  <si>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</si>
  <si>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</si>
  <si>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</si>
  <si>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</si>
  <si>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</si>
  <si>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</si>
  <si>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</si>
  <si>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</si>
  <si>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</si>
  <si>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</si>
  <si>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</si>
  <si>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</si>
  <si>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</si>
  <si>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</si>
  <si>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</si>
  <si>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</si>
  <si>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</si>
  <si>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</si>
  <si>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</si>
  <si>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</si>
  <si>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</si>
  <si>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</si>
  <si>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</si>
  <si>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</si>
  <si>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</si>
  <si>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</si>
  <si>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</si>
  <si>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</si>
  <si>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</si>
  <si>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</si>
  <si>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</si>
  <si>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</si>
  <si>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</si>
  <si>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</si>
  <si>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</si>
  <si>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</si>
  <si>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</si>
  <si>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</si>
  <si>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</si>
  <si>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</si>
  <si>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</si>
  <si>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</si>
  <si>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</si>
  <si>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</si>
  <si>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</si>
  <si>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</si>
  <si>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</si>
  <si>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</si>
  <si>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</si>
  <si>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</si>
  <si>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</si>
  <si>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</si>
  <si>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</si>
  <si>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</si>
  <si>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</si>
  <si>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</si>
  <si>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</si>
  <si>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</si>
  <si>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</si>
  <si>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</si>
  <si>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</si>
  <si>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</si>
  <si>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</si>
  <si>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</si>
  <si>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</si>
  <si>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</si>
  <si>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</si>
  <si>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</si>
  <si>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</si>
  <si>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</si>
  <si>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</si>
  <si>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</si>
  <si>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</si>
  <si>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</si>
  <si>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</si>
  <si>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</si>
  <si>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</si>
  <si>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</si>
  <si>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</si>
  <si>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</si>
  <si>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</si>
  <si>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</si>
  <si>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</si>
  <si>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</si>
  <si>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</si>
  <si>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</si>
  <si>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</si>
  <si>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</si>
  <si>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</si>
  <si>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</si>
  <si>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</si>
  <si>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</si>
  <si>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</si>
  <si>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</si>
  <si>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EDGAR</t>
  </si>
  <si>
    <t>21751 N 575TH ST</t>
  </si>
  <si>
    <t>HUME</t>
  </si>
  <si>
    <t>Allen Hall</t>
  </si>
  <si>
    <t>halla@shiloh1.org</t>
  </si>
  <si>
    <t>217-887-2364</t>
  </si>
  <si>
    <t>217-887-2448</t>
  </si>
  <si>
    <t>RUSSELL LEIGH &amp; ASSOCIATES LLC</t>
  </si>
  <si>
    <t>RUSS LEIGH</t>
  </si>
  <si>
    <t>228 E MAIN ST</t>
  </si>
  <si>
    <t>HOOPESTON</t>
  </si>
  <si>
    <t>IL</t>
  </si>
  <si>
    <t>065.018319</t>
  </si>
  <si>
    <t>217-283-9336</t>
  </si>
  <si>
    <t>217-283-9736</t>
  </si>
  <si>
    <t>admin@russleigh.com</t>
  </si>
  <si>
    <t>Russell Leigh &amp; Associates LLC</t>
  </si>
  <si>
    <t>No applicable contracts paid.</t>
  </si>
  <si>
    <t>Eastern Illinois Area of Special Education</t>
  </si>
  <si>
    <t>Page 7 - Acct 7990 - Other Sources Not Classified Elsewhere</t>
  </si>
  <si>
    <t>Col 10 - Educational</t>
  </si>
  <si>
    <t>Transfer of excess Debt Service Fund assets to Education Fund -$78</t>
  </si>
  <si>
    <t>Page 8 - Acct 8990 - Other Uses Not Classified Elsewhere</t>
  </si>
  <si>
    <t>Col 30 - Debt Services</t>
  </si>
  <si>
    <t>Transfer of excess Debt Service Fund assets to Education Fund - $78</t>
  </si>
  <si>
    <t>Page 11 - Acct 1999 - Other Local Revenues</t>
  </si>
  <si>
    <t>Refunds &amp; Reimbursements - $23,313</t>
  </si>
  <si>
    <t>Col 2 - Operations &amp; Maintenance</t>
  </si>
  <si>
    <t>Refunds &amp; Reimbursements - $3,230</t>
  </si>
  <si>
    <t>Page 12 - Acct 3999 - Other Restricted Revenue from State Sources</t>
  </si>
  <si>
    <t>State Library Grant - $1,500</t>
  </si>
  <si>
    <t>Page 14 - Acct 4998 - Other Restricted Revenue from Federal Sources</t>
  </si>
  <si>
    <t>REAP Grant - $22,333</t>
  </si>
  <si>
    <t>Other Federal Programs - $507</t>
  </si>
  <si>
    <t>Page 15 - Acct 2190 - Other Support Services - Pupils</t>
  </si>
  <si>
    <t>Other Supplies - $283</t>
  </si>
  <si>
    <t>AUDITCHECK Tab - #15 Contracts Paid Error</t>
  </si>
  <si>
    <t>No applicable contracts paid in the current year.</t>
  </si>
  <si>
    <t>Shiloh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</si>
</sst>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quotePrefix="1"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949</v>
      </c>
      <c r="B11" s="2151"/>
      <c r="C11" s="2151"/>
      <c r="D11" s="2151"/>
      <c r="E11" s="2151"/>
      <c r="F11" s="2151"/>
      <c r="G11" s="2151"/>
      <c r="H11" s="2152"/>
      <c r="I11" s="27"/>
      <c r="J11" s="71"/>
      <c r="K11" s="27"/>
      <c r="O11" s="144" t="s">
        <v>2051</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11023001026</v>
      </c>
      <c r="B13" s="2103"/>
      <c r="C13" s="2103"/>
      <c r="D13" s="2103"/>
      <c r="E13" s="2103"/>
      <c r="F13" s="2103"/>
      <c r="G13" s="2103"/>
      <c r="H13" s="2104"/>
      <c r="I13" s="31"/>
      <c r="J13" s="30"/>
      <c r="K13" s="28"/>
      <c r="L13" s="30"/>
      <c r="M13" s="30"/>
      <c r="N13" s="30"/>
      <c r="O13" s="30"/>
      <c r="P13" s="30"/>
      <c r="Q13" s="30"/>
      <c r="R13" s="30"/>
      <c r="S13" s="30"/>
      <c r="T13" s="2108" t="s">
        <v>2059</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2052</v>
      </c>
      <c r="B15" s="2106"/>
      <c r="C15" s="2106"/>
      <c r="D15" s="2106"/>
      <c r="E15" s="2106"/>
      <c r="F15" s="2106"/>
      <c r="G15" s="2106"/>
      <c r="H15" s="2107"/>
      <c r="T15" s="2112" t="s">
        <v>2060</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2090</v>
      </c>
      <c r="B17" s="2076"/>
      <c r="C17" s="2076"/>
      <c r="D17" s="2076"/>
      <c r="E17" s="2076"/>
      <c r="F17" s="2076"/>
      <c r="G17" s="2076"/>
      <c r="H17" s="2101"/>
      <c r="T17" s="2119" t="s">
        <v>2061</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2053</v>
      </c>
      <c r="B19" s="2061"/>
      <c r="C19" s="2061"/>
      <c r="D19" s="2061"/>
      <c r="E19" s="2061"/>
      <c r="F19" s="2061"/>
      <c r="G19" s="2061"/>
      <c r="H19" s="2041"/>
      <c r="I19" s="30"/>
      <c r="J19" s="96"/>
      <c r="K19" s="40"/>
      <c r="L19" s="38"/>
      <c r="M19" s="109" t="s">
        <v>312</v>
      </c>
      <c r="P19" s="27"/>
      <c r="Q19" s="27"/>
      <c r="R19" s="27"/>
      <c r="S19" s="31"/>
      <c r="T19" s="2105" t="s">
        <v>2062</v>
      </c>
      <c r="U19" s="2040"/>
      <c r="V19" s="2040"/>
      <c r="W19" s="2041"/>
      <c r="X19" s="2117" t="s">
        <v>2063</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2054</v>
      </c>
      <c r="B21" s="2040"/>
      <c r="C21" s="2040"/>
      <c r="D21" s="2040"/>
      <c r="E21" s="2040"/>
      <c r="F21" s="2040"/>
      <c r="G21" s="2040"/>
      <c r="H21" s="2041"/>
      <c r="I21" s="2095" t="s">
        <v>673</v>
      </c>
      <c r="J21" s="2090"/>
      <c r="K21" s="2090"/>
      <c r="L21" s="2090"/>
      <c r="M21" s="2090"/>
      <c r="N21" s="2090"/>
      <c r="O21" s="2090"/>
      <c r="P21" s="2090"/>
      <c r="Q21" s="2090"/>
      <c r="R21" s="2090"/>
      <c r="S21" s="2096"/>
      <c r="T21" s="2131" t="s">
        <v>2065</v>
      </c>
      <c r="U21" s="2132"/>
      <c r="V21" s="2132"/>
      <c r="W21" s="2132"/>
      <c r="X21" s="2137" t="s">
        <v>2066</v>
      </c>
      <c r="Y21" s="2138"/>
      <c r="Z21" s="2138"/>
      <c r="AA21" s="2139"/>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129" t="s">
        <v>2064</v>
      </c>
      <c r="U23" s="2130"/>
      <c r="V23" s="2130"/>
      <c r="W23" s="2130"/>
      <c r="X23" s="2134">
        <v>44469</v>
      </c>
      <c r="Y23" s="2135"/>
      <c r="Z23" s="2135"/>
      <c r="AA23" s="2136"/>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61932</v>
      </c>
      <c r="B25" s="2040"/>
      <c r="C25" s="2040"/>
      <c r="D25" s="2040"/>
      <c r="E25" s="2040"/>
      <c r="F25" s="2040"/>
      <c r="G25" s="2040"/>
      <c r="H25" s="2041"/>
      <c r="I25" s="110"/>
      <c r="J25" s="2064"/>
      <c r="K25" s="2064"/>
      <c r="L25" s="2064"/>
      <c r="M25" s="2064"/>
      <c r="N25" s="2064"/>
      <c r="O25" s="2064"/>
      <c r="P25" s="2064"/>
      <c r="Q25" s="2064"/>
      <c r="R25" s="2064"/>
      <c r="S25" s="2065"/>
      <c r="T25" s="2126" t="s">
        <v>2067</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2055</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2056</v>
      </c>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2057</v>
      </c>
      <c r="B42" s="2059"/>
      <c r="C42" s="2060"/>
      <c r="D42" s="2058" t="s">
        <v>2058</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2545674</v>
      </c>
      <c r="C4" s="1722"/>
      <c r="D4" s="1723">
        <f>B4-C4</f>
        <v>2545674</v>
      </c>
      <c r="E4" s="1722">
        <v>1760763</v>
      </c>
      <c r="F4" s="1723">
        <f>E4-C4</f>
        <v>1760763</v>
      </c>
    </row>
    <row r="5" spans="1:8" ht="13.7" customHeight="1" x14ac:dyDescent="0.2">
      <c r="A5" s="579" t="s">
        <v>865</v>
      </c>
      <c r="B5" s="1724">
        <f>'Revenues 9-14'!D5</f>
        <v>509134</v>
      </c>
      <c r="C5" s="1664"/>
      <c r="D5" s="1725">
        <f t="shared" ref="D5:D18" si="0">B5-C5</f>
        <v>509134</v>
      </c>
      <c r="E5" s="1664">
        <v>351357</v>
      </c>
      <c r="F5" s="1725">
        <f>E5-C5</f>
        <v>351357</v>
      </c>
    </row>
    <row r="6" spans="1:8" ht="13.7" customHeight="1" x14ac:dyDescent="0.2">
      <c r="A6" s="579" t="s">
        <v>408</v>
      </c>
      <c r="B6" s="1724">
        <f>'Revenues 9-14'!E5</f>
        <v>78</v>
      </c>
      <c r="C6" s="1664"/>
      <c r="D6" s="1725">
        <f t="shared" si="0"/>
        <v>78</v>
      </c>
      <c r="E6" s="1664"/>
      <c r="F6" s="1725">
        <f t="shared" ref="F6:F18" si="1">E6-C6</f>
        <v>0</v>
      </c>
    </row>
    <row r="7" spans="1:8" ht="13.7" customHeight="1" x14ac:dyDescent="0.2">
      <c r="A7" s="579" t="s">
        <v>154</v>
      </c>
      <c r="B7" s="1724">
        <f>'Revenues 9-14'!F5</f>
        <v>203654</v>
      </c>
      <c r="C7" s="1664"/>
      <c r="D7" s="1725">
        <f t="shared" si="0"/>
        <v>203654</v>
      </c>
      <c r="E7" s="1664">
        <v>140414</v>
      </c>
      <c r="F7" s="1725">
        <f t="shared" si="1"/>
        <v>140414</v>
      </c>
    </row>
    <row r="8" spans="1:8" ht="13.7" customHeight="1" x14ac:dyDescent="0.2">
      <c r="A8" s="579" t="s">
        <v>1169</v>
      </c>
      <c r="B8" s="1724">
        <f>'Revenues 9-14'!G5</f>
        <v>55481</v>
      </c>
      <c r="C8" s="1664"/>
      <c r="D8" s="1725">
        <f t="shared" si="0"/>
        <v>55481</v>
      </c>
      <c r="E8" s="1664">
        <v>32958</v>
      </c>
      <c r="F8" s="1725">
        <f t="shared" si="1"/>
        <v>32958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50914</v>
      </c>
      <c r="C10" s="1664"/>
      <c r="D10" s="1725">
        <f t="shared" si="0"/>
        <v>50914</v>
      </c>
      <c r="E10" s="1664">
        <v>35201</v>
      </c>
      <c r="F10" s="1725">
        <f t="shared" si="1"/>
        <v>35201</v>
      </c>
    </row>
    <row r="11" spans="1:8" x14ac:dyDescent="0.2">
      <c r="A11" s="579" t="s">
        <v>406</v>
      </c>
      <c r="B11" s="1724">
        <f>'Revenues 9-14'!J5</f>
        <v>224858</v>
      </c>
      <c r="C11" s="1664"/>
      <c r="D11" s="1725">
        <f t="shared" si="0"/>
        <v>224858</v>
      </c>
      <c r="E11" s="1664">
        <v>151620</v>
      </c>
      <c r="F11" s="1725">
        <f t="shared" si="1"/>
        <v>151620</v>
      </c>
    </row>
    <row r="12" spans="1:8" ht="13.7" customHeight="1" x14ac:dyDescent="0.2">
      <c r="A12" s="579" t="s">
        <v>156</v>
      </c>
      <c r="B12" s="1724">
        <f>'Revenues 9-14'!K5</f>
        <v>50914</v>
      </c>
      <c r="C12" s="1664"/>
      <c r="D12" s="1725">
        <f t="shared" si="0"/>
        <v>50914</v>
      </c>
      <c r="E12" s="1664">
        <v>35201</v>
      </c>
      <c r="F12" s="1725">
        <f t="shared" si="1"/>
        <v>35201</v>
      </c>
    </row>
    <row r="13" spans="1:8" ht="13.7" customHeight="1" x14ac:dyDescent="0.2">
      <c r="A13" s="579" t="s">
        <v>930</v>
      </c>
      <c r="B13" s="1724">
        <f>SUM('Revenues 9-14'!C6:D6)</f>
        <v>50914</v>
      </c>
      <c r="C13" s="1664"/>
      <c r="D13" s="1725">
        <f t="shared" si="0"/>
        <v>50914</v>
      </c>
      <c r="E13" s="1664">
        <v>35201</v>
      </c>
      <c r="F13" s="1725">
        <f t="shared" si="1"/>
        <v>35201</v>
      </c>
    </row>
    <row r="14" spans="1:8" ht="13.7" customHeight="1" x14ac:dyDescent="0.2">
      <c r="A14" s="579" t="s">
        <v>407</v>
      </c>
      <c r="B14" s="1724">
        <f>SUM('Revenues 9-14'!C7:D7,'Revenues 9-14'!F7:H7)</f>
        <v>40731</v>
      </c>
      <c r="C14" s="1664"/>
      <c r="D14" s="1725">
        <f t="shared" si="0"/>
        <v>40731</v>
      </c>
      <c r="E14" s="1664">
        <v>28296</v>
      </c>
      <c r="F14" s="1725">
        <f t="shared" si="1"/>
        <v>28296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55481</v>
      </c>
      <c r="C16" s="1664"/>
      <c r="D16" s="1725">
        <f t="shared" si="0"/>
        <v>55481</v>
      </c>
      <c r="E16" s="1664">
        <v>32958</v>
      </c>
      <c r="F16" s="1725">
        <f t="shared" si="1"/>
        <v>32958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3787833</v>
      </c>
      <c r="C19" s="1726">
        <f>SUM(C4:C18)</f>
        <v>0</v>
      </c>
      <c r="D19" s="1726">
        <f>SUM(D4:D18)</f>
        <v>3787833</v>
      </c>
      <c r="E19" s="1726">
        <f>SUM(E4:E18)</f>
        <v>2603969</v>
      </c>
      <c r="F19" s="1726">
        <f>SUM(F4:F18)</f>
        <v>2603969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1779</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2006</v>
      </c>
      <c r="B24" s="2307"/>
      <c r="C24" s="2301"/>
      <c r="D24" s="2302"/>
      <c r="E24" s="2302"/>
      <c r="F24" s="2303"/>
    </row>
    <row r="25" spans="1:11" ht="13.5" thickBot="1" x14ac:dyDescent="0.25">
      <c r="A25" s="2308" t="s">
        <v>2007</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1789</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v>54947</v>
      </c>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v>40731</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400</v>
      </c>
    </row>
    <row r="8" spans="1:11" x14ac:dyDescent="0.2">
      <c r="A8" s="629" t="s">
        <v>342</v>
      </c>
      <c r="B8" s="630"/>
      <c r="C8" s="630"/>
      <c r="D8" s="630"/>
      <c r="E8" s="631"/>
      <c r="F8" s="622" t="s">
        <v>846</v>
      </c>
      <c r="G8" s="1753"/>
      <c r="H8" s="1753"/>
      <c r="I8" s="1753"/>
      <c r="J8" s="1745">
        <v>177983</v>
      </c>
      <c r="K8" s="1748"/>
    </row>
    <row r="9" spans="1:11" x14ac:dyDescent="0.2">
      <c r="A9" s="629" t="s">
        <v>137</v>
      </c>
      <c r="B9" s="630"/>
      <c r="C9" s="630"/>
      <c r="D9" s="630"/>
      <c r="E9" s="631"/>
      <c r="F9" s="628" t="s">
        <v>848</v>
      </c>
      <c r="G9" s="1753"/>
      <c r="H9" s="1749"/>
      <c r="I9" s="1749"/>
      <c r="J9" s="1752"/>
      <c r="K9" s="1745">
        <v>3088</v>
      </c>
    </row>
    <row r="10" spans="1:11" x14ac:dyDescent="0.2">
      <c r="A10" s="2325" t="s">
        <v>1790</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40731</v>
      </c>
      <c r="I12" s="1755">
        <f>SUM(I5:I11)</f>
        <v>0</v>
      </c>
      <c r="J12" s="1755">
        <f>SUM(J5:J11)</f>
        <v>177983</v>
      </c>
      <c r="K12" s="1755">
        <f>SUM(K5:K11)</f>
        <v>3488</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v>40731</v>
      </c>
      <c r="I14" s="1749"/>
      <c r="J14" s="1751"/>
      <c r="K14" s="1745">
        <v>3488</v>
      </c>
    </row>
    <row r="15" spans="1:11" x14ac:dyDescent="0.2">
      <c r="A15" s="2326" t="s">
        <v>4</v>
      </c>
      <c r="B15" s="2326"/>
      <c r="C15" s="2326"/>
      <c r="D15" s="2326"/>
      <c r="E15" s="2327"/>
      <c r="F15" s="635" t="s">
        <v>850</v>
      </c>
      <c r="G15" s="1749"/>
      <c r="H15" s="1744"/>
      <c r="I15" s="1744"/>
      <c r="J15" s="1745">
        <v>227163</v>
      </c>
      <c r="K15" s="1745"/>
    </row>
    <row r="16" spans="1:11" x14ac:dyDescent="0.2">
      <c r="A16" s="2326" t="s">
        <v>295</v>
      </c>
      <c r="B16" s="2326"/>
      <c r="C16" s="2326"/>
      <c r="D16" s="2326"/>
      <c r="E16" s="2327"/>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34" t="s">
        <v>1786</v>
      </c>
      <c r="B19" s="2334"/>
      <c r="C19" s="2334"/>
      <c r="D19" s="2334"/>
      <c r="E19" s="2335"/>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26" t="s">
        <v>1792</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40731</v>
      </c>
      <c r="I23" s="1755">
        <f>SUM(I14:I16,I21,I22)</f>
        <v>0</v>
      </c>
      <c r="J23" s="1755">
        <f>SUM(J14:J16,J21,J22)</f>
        <v>227163</v>
      </c>
      <c r="K23" s="1755">
        <f>SUM(K14:K16,K21,K22)</f>
        <v>3488</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5767</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5767</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78704</v>
      </c>
      <c r="D5" s="1770"/>
      <c r="E5" s="1770"/>
      <c r="F5" s="1765">
        <f>(C5+D5)-E5</f>
        <v>78704</v>
      </c>
      <c r="G5" s="676"/>
      <c r="H5" s="680"/>
      <c r="I5" s="680"/>
      <c r="J5" s="680"/>
      <c r="K5" s="637"/>
      <c r="L5" s="1442">
        <f>F5-K5</f>
        <v>78704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4341571</v>
      </c>
      <c r="D8" s="1771"/>
      <c r="E8" s="1771"/>
      <c r="F8" s="1765">
        <f>(C8+D8)-E8</f>
        <v>4341571</v>
      </c>
      <c r="G8" s="681">
        <v>50</v>
      </c>
      <c r="H8" s="619">
        <v>3398675</v>
      </c>
      <c r="I8" s="619">
        <v>71033</v>
      </c>
      <c r="J8" s="619"/>
      <c r="K8" s="1442">
        <f>(H8+I8)-J8</f>
        <v>3469708</v>
      </c>
      <c r="L8" s="1442">
        <f>F8-K8</f>
        <v>871863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741586</v>
      </c>
      <c r="D10" s="1772">
        <v>290710</v>
      </c>
      <c r="E10" s="1772"/>
      <c r="F10" s="1773">
        <f>(C10+D10)-E10</f>
        <v>1032296</v>
      </c>
      <c r="G10" s="681">
        <v>20</v>
      </c>
      <c r="H10" s="683">
        <v>427581</v>
      </c>
      <c r="I10" s="683">
        <v>46823</v>
      </c>
      <c r="J10" s="683"/>
      <c r="K10" s="1442">
        <f>(H10+I10)-J10</f>
        <v>474404</v>
      </c>
      <c r="L10" s="1442">
        <f>F10-K10</f>
        <v>557892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1057251</v>
      </c>
      <c r="D12" s="1771">
        <v>70782</v>
      </c>
      <c r="E12" s="1771"/>
      <c r="F12" s="1765">
        <f>(C12+D12)-E12</f>
        <v>1128033</v>
      </c>
      <c r="G12" s="681">
        <v>10</v>
      </c>
      <c r="H12" s="619">
        <v>748774</v>
      </c>
      <c r="I12" s="619">
        <v>51640</v>
      </c>
      <c r="J12" s="619"/>
      <c r="K12" s="1442">
        <f>(H12+I12)-J12</f>
        <v>800414</v>
      </c>
      <c r="L12" s="1442">
        <f>F12-K12</f>
        <v>327619</v>
      </c>
    </row>
    <row r="13" spans="1:14" ht="14.25" thickTop="1" thickBot="1" x14ac:dyDescent="0.25">
      <c r="A13" s="684" t="s">
        <v>1112</v>
      </c>
      <c r="B13" s="679">
        <v>252</v>
      </c>
      <c r="C13" s="1771">
        <v>1764396</v>
      </c>
      <c r="D13" s="1771">
        <v>198154</v>
      </c>
      <c r="E13" s="1771"/>
      <c r="F13" s="1765">
        <f>(C13+D13)-E13</f>
        <v>1962550</v>
      </c>
      <c r="G13" s="681">
        <v>5</v>
      </c>
      <c r="H13" s="619">
        <v>1615586</v>
      </c>
      <c r="I13" s="619">
        <v>75342</v>
      </c>
      <c r="J13" s="619"/>
      <c r="K13" s="1442">
        <f>(H13+I13)-J13</f>
        <v>1690928</v>
      </c>
      <c r="L13" s="1442">
        <f>F13-K13</f>
        <v>271622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7983508</v>
      </c>
      <c r="D16" s="1765">
        <f>SUM(D3,D5:D6,D8:D10,D12:D15)</f>
        <v>559646</v>
      </c>
      <c r="E16" s="1765">
        <f>SUM(E3,E5:E6,E8:E10,E12:E15)</f>
        <v>0</v>
      </c>
      <c r="F16" s="1765">
        <f>SUM(F3,F5:F6,F8:F10,F12:F15)</f>
        <v>8543154</v>
      </c>
      <c r="G16" s="681"/>
      <c r="H16" s="1435">
        <f>SUM(H3,H6,H8:H10,H12:H14,)</f>
        <v>6190616</v>
      </c>
      <c r="I16" s="1435">
        <f>SUM(I3,I6,I8:I10,I12:I14,)</f>
        <v>244838</v>
      </c>
      <c r="J16" s="1435">
        <f>SUM(J3,J6,J8:J10,J12:J14,)</f>
        <v>0</v>
      </c>
      <c r="K16" s="1435">
        <f>(H16+I16)-J16</f>
        <v>6435454</v>
      </c>
      <c r="L16" s="1435">
        <f>F16-K16</f>
        <v>2107700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244838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3346520</v>
      </c>
      <c r="G8" s="701"/>
    </row>
    <row r="9" spans="1:9" x14ac:dyDescent="0.2">
      <c r="A9" s="705" t="s">
        <v>457</v>
      </c>
      <c r="B9" s="706" t="s">
        <v>1848</v>
      </c>
      <c r="C9" s="707"/>
      <c r="D9" s="705" t="s">
        <v>498</v>
      </c>
      <c r="E9" s="704"/>
      <c r="F9" s="1775">
        <f>'Expenditures 15-22'!K151</f>
        <v>543884</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436395</v>
      </c>
      <c r="G11" s="708"/>
    </row>
    <row r="12" spans="1:9" x14ac:dyDescent="0.2">
      <c r="A12" s="705" t="s">
        <v>459</v>
      </c>
      <c r="B12" s="706" t="s">
        <v>1851</v>
      </c>
      <c r="C12" s="707"/>
      <c r="D12" s="705" t="s">
        <v>498</v>
      </c>
      <c r="E12" s="704"/>
      <c r="F12" s="1775">
        <f>'Expenditures 15-22'!K295</f>
        <v>155698</v>
      </c>
      <c r="G12" s="708"/>
    </row>
    <row r="13" spans="1:9" x14ac:dyDescent="0.2">
      <c r="A13" s="705" t="s">
        <v>106</v>
      </c>
      <c r="B13" s="706" t="s">
        <v>1852</v>
      </c>
      <c r="C13" s="707"/>
      <c r="D13" s="705" t="s">
        <v>498</v>
      </c>
      <c r="E13" s="704"/>
      <c r="F13" s="1775">
        <f>'Expenditures 15-22'!K342</f>
        <v>332073</v>
      </c>
      <c r="G13" s="709"/>
    </row>
    <row r="14" spans="1:9" ht="12" customHeight="1" thickBot="1" x14ac:dyDescent="0.25">
      <c r="A14" s="1443"/>
      <c r="B14" s="1444"/>
      <c r="C14" s="1445"/>
      <c r="D14" s="1446" t="s">
        <v>498</v>
      </c>
      <c r="E14" s="1447" t="s">
        <v>952</v>
      </c>
      <c r="F14" s="1776">
        <f>SUM(F8:F13)</f>
        <v>4814570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166573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178906</v>
      </c>
      <c r="G52" s="701"/>
    </row>
    <row r="53" spans="1:7" x14ac:dyDescent="0.2">
      <c r="A53" s="705" t="s">
        <v>456</v>
      </c>
      <c r="B53" s="705" t="s">
        <v>1458</v>
      </c>
      <c r="C53" s="724">
        <f>'Expenditures 15-22'!B102</f>
        <v>4000</v>
      </c>
      <c r="D53" s="723" t="str">
        <f>'Expenditures 15-22'!A102</f>
        <v>Total Payments to Other Govt Units</v>
      </c>
      <c r="E53" s="704"/>
      <c r="F53" s="1782">
        <f>'Expenditures 15-22'!K102</f>
        <v>142352</v>
      </c>
      <c r="G53" s="701"/>
    </row>
    <row r="54" spans="1:7" x14ac:dyDescent="0.2">
      <c r="A54" s="705" t="s">
        <v>456</v>
      </c>
      <c r="B54" s="705" t="s">
        <v>1459</v>
      </c>
      <c r="C54" s="724" t="s">
        <v>975</v>
      </c>
      <c r="D54" s="720" t="s">
        <v>1086</v>
      </c>
      <c r="E54" s="704"/>
      <c r="F54" s="1782">
        <f>'Expenditures 15-22'!G114</f>
        <v>70782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96372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198154</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6893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20586</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880618</v>
      </c>
      <c r="G77" s="701"/>
    </row>
    <row r="78" spans="1:9" s="728" customFormat="1" ht="12" customHeight="1" thickTop="1" thickBot="1" x14ac:dyDescent="0.25">
      <c r="A78" s="1450"/>
      <c r="B78" s="1448"/>
      <c r="C78" s="1445"/>
      <c r="D78" s="1449" t="s">
        <v>2012</v>
      </c>
      <c r="E78" s="1447"/>
      <c r="F78" s="1788">
        <f>(F14-F77)</f>
        <v>3933952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329.7</v>
      </c>
      <c r="G79" s="733"/>
      <c r="H79" s="705"/>
      <c r="I79" s="705"/>
    </row>
    <row r="80" spans="1:9" s="728" customFormat="1" ht="12" customHeight="1" thickBot="1" x14ac:dyDescent="0.25">
      <c r="A80" s="1452"/>
      <c r="B80" s="1448"/>
      <c r="C80" s="1445"/>
      <c r="D80" s="1449" t="s">
        <v>2013</v>
      </c>
      <c r="E80" s="1447" t="s">
        <v>952</v>
      </c>
      <c r="F80" s="1790">
        <f>IF(F79&gt;0,F78/F79," Complete Line 79")</f>
        <v>11931.913861085835</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716</v>
      </c>
      <c r="G95" s="745"/>
    </row>
    <row r="96" spans="1:7" x14ac:dyDescent="0.2">
      <c r="A96" s="741" t="s">
        <v>139</v>
      </c>
      <c r="B96" s="741" t="s">
        <v>174</v>
      </c>
      <c r="C96" s="743">
        <v>1700</v>
      </c>
      <c r="D96" s="751" t="str">
        <f>'Revenues 9-14'!A82</f>
        <v>Total District/School Activity Income</v>
      </c>
      <c r="E96" s="739"/>
      <c r="F96" s="1793">
        <f>SUM('Revenues 9-14'!C82,'Revenues 9-14'!D82)</f>
        <v>11742</v>
      </c>
      <c r="G96" s="745"/>
    </row>
    <row r="97" spans="1:7" x14ac:dyDescent="0.2">
      <c r="A97" s="741" t="s">
        <v>456</v>
      </c>
      <c r="B97" s="741" t="s">
        <v>175</v>
      </c>
      <c r="C97" s="743">
        <f>'Revenues 9-14'!B84</f>
        <v>1811</v>
      </c>
      <c r="D97" s="744" t="str">
        <f>'Revenues 9-14'!A84</f>
        <v>Rentals - Regular Textbooks</v>
      </c>
      <c r="E97" s="739"/>
      <c r="F97" s="1793">
        <f>'Revenues 9-14'!C84</f>
        <v>12305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10320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1906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3088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154740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141467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106782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21000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4201</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9301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17475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22840</v>
      </c>
      <c r="G171" s="760"/>
    </row>
    <row r="172" spans="1:7" x14ac:dyDescent="0.2">
      <c r="A172" s="1529" t="s">
        <v>5</v>
      </c>
      <c r="B172" s="1530" t="s">
        <v>1885</v>
      </c>
      <c r="C172" s="1531">
        <v>3100</v>
      </c>
      <c r="D172" s="1532" t="s">
        <v>1887</v>
      </c>
      <c r="E172" s="739"/>
      <c r="F172" s="1794">
        <v>111384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680797</v>
      </c>
    </row>
    <row r="176" spans="1:7" ht="12" customHeight="1" x14ac:dyDescent="0.2">
      <c r="A176" s="1443"/>
      <c r="B176" s="1453"/>
      <c r="C176" s="1454"/>
      <c r="D176" s="1455" t="s">
        <v>2014</v>
      </c>
      <c r="E176" s="1456"/>
      <c r="F176" s="1793">
        <f>'PCTC-OEPP 27-28'!F78-F175</f>
        <v>3253155</v>
      </c>
    </row>
    <row r="177" spans="1:9" ht="12" customHeight="1" x14ac:dyDescent="0.2">
      <c r="A177" s="1443"/>
      <c r="B177" s="1453"/>
      <c r="C177" s="1454"/>
      <c r="D177" s="1455" t="s">
        <v>1794</v>
      </c>
      <c r="E177" s="1456"/>
      <c r="F177" s="1793">
        <f>'Cap Outlay Deprec 26'!I18</f>
        <v>244838</v>
      </c>
    </row>
    <row r="178" spans="1:9" ht="12" customHeight="1" x14ac:dyDescent="0.2">
      <c r="A178" s="1443"/>
      <c r="B178" s="1453"/>
      <c r="C178" s="1454"/>
      <c r="D178" s="1455" t="s">
        <v>2015</v>
      </c>
      <c r="E178" s="1456"/>
      <c r="F178" s="1793">
        <f>F176+F177</f>
        <v>3497993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329.7</v>
      </c>
      <c r="G179" s="763"/>
      <c r="I179" s="701"/>
    </row>
    <row r="180" spans="1:9" ht="12" customHeight="1" thickBot="1" x14ac:dyDescent="0.25">
      <c r="A180" s="1443"/>
      <c r="B180" s="1457"/>
      <c r="C180" s="1454"/>
      <c r="D180" s="1455" t="s">
        <v>2017</v>
      </c>
      <c r="E180" s="1456" t="s">
        <v>1528</v>
      </c>
      <c r="F180" s="1798">
        <f>F178/F179</f>
        <v>10609.62390051562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153782</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2115408</v>
      </c>
      <c r="F19" s="1802"/>
      <c r="G19" s="1804">
        <f>'Expenditures 15-22'!K33-SUM('Expenditures 15-22'!G33,'Expenditures 15-22'!I33)+'Expenditures 15-22'!D229</f>
        <v>2115408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152492</v>
      </c>
      <c r="F21" s="1805"/>
      <c r="G21" s="1808">
        <f>'Expenditures 15-22'!K42-SUM('Expenditures 15-22'!G42,'Expenditures 15-22'!I42)+'Expenditures 15-22'!K120-SUM('Expenditures 15-22'!G120,'Expenditures 15-22'!I120)+'Expenditures 15-22'!K180-SUM('Expenditures 15-22'!G180,'Expenditures 15-22'!I180)+'Expenditures 15-22'!D238</f>
        <v>152492</v>
      </c>
      <c r="H21" s="817"/>
      <c r="I21" s="157"/>
    </row>
    <row r="22" spans="1:9" s="542" customFormat="1" ht="12" customHeight="1" x14ac:dyDescent="0.2">
      <c r="A22" s="824" t="s">
        <v>560</v>
      </c>
      <c r="B22" s="825"/>
      <c r="C22" s="823">
        <v>2200</v>
      </c>
      <c r="D22" s="1805"/>
      <c r="E22" s="1807">
        <f>'Expenditures 15-22'!K47-SUM('Expenditures 15-22'!G47,'Expenditures 15-22'!I47)+'Expenditures 15-22'!D243</f>
        <v>70297</v>
      </c>
      <c r="F22" s="1805"/>
      <c r="G22" s="1808">
        <f>'Expenditures 15-22'!K47-SUM('Expenditures 15-22'!G47,'Expenditures 15-22'!I47)+'Expenditures 15-22'!D243</f>
        <v>70297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498385</v>
      </c>
      <c r="F23" s="1805"/>
      <c r="G23" s="1807">
        <f>'Expenditures 15-22'!K53-SUM('Expenditures 15-22'!G53,'Expenditures 15-22'!I53)+'Expenditures 15-22'!D257+'Expenditures 15-22'!K330-SUM('Expenditures 15-22'!G330,'Expenditures 15-22'!I330)</f>
        <v>498385</v>
      </c>
      <c r="H23" s="817"/>
      <c r="I23" s="157"/>
    </row>
    <row r="24" spans="1:9" s="542" customFormat="1" ht="12" customHeight="1" x14ac:dyDescent="0.2">
      <c r="A24" s="824" t="s">
        <v>562</v>
      </c>
      <c r="B24" s="825"/>
      <c r="C24" s="823">
        <v>2400</v>
      </c>
      <c r="D24" s="1805"/>
      <c r="E24" s="1807">
        <f>'Expenditures 15-22'!K57-SUM('Expenditures 15-22'!G57,'Expenditures 15-22'!I57)+'Expenditures 15-22'!D261</f>
        <v>179382</v>
      </c>
      <c r="F24" s="1805"/>
      <c r="G24" s="1808">
        <f>'Expenditures 15-22'!K57-SUM('Expenditures 15-22'!G57,'Expenditures 15-22'!I57)+'Expenditures 15-22'!D261</f>
        <v>179382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62507</v>
      </c>
      <c r="E27" s="1807">
        <f>E8</f>
        <v>0</v>
      </c>
      <c r="F27" s="1807">
        <f>'Expenditures 15-22'!K60-SUM('Expenditures 15-22'!G60,'Expenditures 15-22'!I60)+'Expenditures 15-22'!D264-E8</f>
        <v>62507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486270</v>
      </c>
      <c r="F28" s="1809">
        <f>'Expenditures 15-22'!K61-SUM('Expenditures 15-22'!G61,'Expenditures 15-22'!I61)+'Expenditures 15-22'!K124-SUM('Expenditures 15-22'!G124,'Expenditures 15-22'!I124)+'Expenditures 15-22'!D266-E9</f>
        <v>486270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259227</v>
      </c>
      <c r="F29" s="1805"/>
      <c r="G29" s="1808">
        <f>'Expenditures 15-22'!K62-SUM('Expenditures 15-22'!G62,'Expenditures 15-22'!I62)+'Expenditures 15-22'!K125-SUM('Expenditures 15-22'!G125,'Expenditures 15-22'!I125)+'Expenditures 15-22'!K182-SUM('Expenditures 15-22'!G182,'Expenditures 15-22'!I182)+'Expenditures 15-22'!D267</f>
        <v>259227</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129668</v>
      </c>
      <c r="E37" s="1807">
        <f>E14</f>
        <v>0</v>
      </c>
      <c r="F37" s="1807">
        <f>'Expenditures 15-22'!K71-SUM('Expenditures 15-22'!G71,'Expenditures 15-22'!I71)+'Expenditures 15-22'!D276-E14</f>
        <v>129668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199492</v>
      </c>
      <c r="F39" s="1805"/>
      <c r="G39" s="1807">
        <f>'Expenditures 15-22'!K75-SUM('Expenditures 15-22'!G75,'Expenditures 15-22'!I75)+'Expenditures 15-22'!K130-SUM('Expenditures 15-22'!G130,'Expenditures 15-22'!I130)+'Expenditures 15-22'!K185-SUM('Expenditures 15-22'!G185,'Expenditures 15-22'!I185)+'Expenditures 15-22'!D280</f>
        <v>199492</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192175</v>
      </c>
      <c r="E41" s="1809">
        <f>SUM(E19:E40)</f>
        <v>3960953</v>
      </c>
      <c r="F41" s="1809">
        <f>SUM(F19:F39)</f>
        <v>678445</v>
      </c>
      <c r="G41" s="1809">
        <f>SUM(G19:G40)</f>
        <v>3474683</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192175</v>
      </c>
      <c r="F43" s="1458" t="s">
        <v>470</v>
      </c>
      <c r="G43" s="1810">
        <f>F41</f>
        <v>678445</v>
      </c>
    </row>
    <row r="44" spans="1:7" ht="12" customHeight="1" x14ac:dyDescent="0.2">
      <c r="A44" s="817"/>
      <c r="B44" s="157"/>
      <c r="C44" s="831"/>
      <c r="D44" s="1458" t="s">
        <v>471</v>
      </c>
      <c r="E44" s="1810">
        <f>E41</f>
        <v>3960953</v>
      </c>
      <c r="F44" s="1458" t="s">
        <v>471</v>
      </c>
      <c r="G44" s="1810">
        <f>G41</f>
        <v>3474683</v>
      </c>
    </row>
    <row r="45" spans="1:7" ht="12" customHeight="1" x14ac:dyDescent="0.2">
      <c r="A45" s="817"/>
      <c r="B45" s="157"/>
      <c r="C45" s="157"/>
      <c r="D45" s="1459" t="s">
        <v>999</v>
      </c>
      <c r="E45" s="1811">
        <f>(E43/E44)</f>
        <v>4.851736438175358E-2</v>
      </c>
      <c r="F45" s="1459" t="s">
        <v>999</v>
      </c>
      <c r="G45" s="1811">
        <f>(G43/G44)</f>
        <v>0.19525378286306982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Shiloh CUSD 1</v>
      </c>
      <c r="D6" s="2418"/>
      <c r="E6" s="2418"/>
      <c r="F6" s="1482"/>
      <c r="G6" s="1507"/>
      <c r="L6" s="1507"/>
      <c r="M6" s="1855"/>
      <c r="N6" s="1855"/>
      <c r="O6" s="1855"/>
    </row>
    <row r="7" spans="1:15" ht="11.25" customHeight="1" thickBot="1" x14ac:dyDescent="0.3">
      <c r="A7" s="1480"/>
      <c r="B7" s="1481"/>
      <c r="C7" s="2419">
        <f>COVER!A13</f>
        <v>11023001026</v>
      </c>
      <c r="D7" s="2419"/>
      <c r="E7" s="241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Shiloh CUSD 1</v>
      </c>
      <c r="K6" s="2440"/>
      <c r="L6" s="2454"/>
      <c r="M6" s="838"/>
      <c r="N6" s="1999"/>
    </row>
    <row r="7" spans="1:14" x14ac:dyDescent="0.2">
      <c r="A7" s="2455" t="s">
        <v>864</v>
      </c>
      <c r="B7" s="2456"/>
      <c r="C7" s="2456"/>
      <c r="D7" s="2456"/>
      <c r="E7" s="2457"/>
      <c r="F7" s="839"/>
      <c r="G7" s="838"/>
      <c r="H7" s="838"/>
      <c r="I7" s="1925" t="s">
        <v>369</v>
      </c>
      <c r="J7" s="2442">
        <f>COVER!A13</f>
        <v>11023001026</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92091</v>
      </c>
      <c r="F12" s="1943"/>
      <c r="G12" s="1969">
        <f>G68</f>
        <v>14303</v>
      </c>
      <c r="H12" s="1945">
        <f t="shared" ref="H12:H18" si="0">SUM(E12:G12)</f>
        <v>106394</v>
      </c>
      <c r="I12" s="1944">
        <v>95581</v>
      </c>
      <c r="J12" s="1943"/>
      <c r="K12" s="1944">
        <v>14973</v>
      </c>
      <c r="L12" s="1945">
        <f t="shared" ref="L12:L18" si="1">SUM(I12:K12)</f>
        <v>110554</v>
      </c>
      <c r="M12" s="838"/>
      <c r="N12" s="1999"/>
    </row>
    <row r="13" spans="1:14" x14ac:dyDescent="0.2">
      <c r="A13" s="2004">
        <v>2</v>
      </c>
      <c r="B13" s="1941" t="s">
        <v>42</v>
      </c>
      <c r="C13" s="842"/>
      <c r="D13" s="1942">
        <v>2330</v>
      </c>
      <c r="E13" s="1945">
        <f>'Expenditures 15-22'!K51</f>
        <v>8375</v>
      </c>
      <c r="F13" s="1943"/>
      <c r="G13" s="1969">
        <f>H68</f>
        <v>0</v>
      </c>
      <c r="H13" s="1945">
        <f t="shared" si="0"/>
        <v>8375</v>
      </c>
      <c r="I13" s="1944">
        <v>8562</v>
      </c>
      <c r="J13" s="1943"/>
      <c r="K13" s="1944"/>
      <c r="L13" s="1945">
        <f t="shared" si="1"/>
        <v>8562</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100466</v>
      </c>
      <c r="F19" s="1951">
        <f t="shared" si="2"/>
        <v>0</v>
      </c>
      <c r="G19" s="1951">
        <f t="shared" ref="G19" si="3">SUM(G12:G17)-G18</f>
        <v>14303</v>
      </c>
      <c r="H19" s="1951">
        <f t="shared" si="2"/>
        <v>114769</v>
      </c>
      <c r="I19" s="1951">
        <f t="shared" si="2"/>
        <v>104143</v>
      </c>
      <c r="J19" s="1951">
        <f t="shared" si="2"/>
        <v>0</v>
      </c>
      <c r="K19" s="1951">
        <f t="shared" si="2"/>
        <v>14973</v>
      </c>
      <c r="L19" s="1951">
        <f t="shared" si="2"/>
        <v>119116</v>
      </c>
      <c r="M19" s="838"/>
      <c r="N19" s="1999"/>
    </row>
    <row r="20" spans="1:14" ht="13.5" thickTop="1" x14ac:dyDescent="0.2">
      <c r="A20" s="2004">
        <v>9</v>
      </c>
      <c r="B20" s="2464" t="s">
        <v>2021</v>
      </c>
      <c r="C20" s="2464"/>
      <c r="D20" s="2465"/>
      <c r="E20" s="1952"/>
      <c r="F20" s="1952"/>
      <c r="G20" s="1952"/>
      <c r="H20" s="1952"/>
      <c r="I20" s="1952"/>
      <c r="J20" s="1952"/>
      <c r="K20" s="1952"/>
      <c r="L20" s="1953">
        <f>IF(AND(H19&gt;0,L19&gt;0),(((L19-H19)/H19)),"Enter Budget Data")</f>
        <v>3.7876081520271151E-2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2024</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2025</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2026</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2027</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7" t="s">
        <v>2029</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Shiloh CUSD 1</v>
      </c>
      <c r="M52" s="2440"/>
      <c r="N52" s="2441"/>
    </row>
    <row r="53" spans="1:14" x14ac:dyDescent="0.2">
      <c r="A53" s="1983"/>
      <c r="B53" s="1984"/>
      <c r="C53" s="1984"/>
      <c r="D53" s="1984"/>
      <c r="E53" s="1984"/>
      <c r="F53" s="1984"/>
      <c r="G53" s="1984"/>
      <c r="H53" s="1984"/>
      <c r="I53" s="1984"/>
      <c r="J53" s="1984"/>
      <c r="K53" s="1925" t="s">
        <v>369</v>
      </c>
      <c r="L53" s="2442">
        <f>J7</f>
        <v>11023001026</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2030</v>
      </c>
      <c r="H55" s="2446"/>
      <c r="I55" s="2446"/>
      <c r="J55" s="2446"/>
      <c r="K55" s="2446"/>
      <c r="L55" s="2446"/>
      <c r="M55" s="2446"/>
      <c r="N55" s="2447"/>
    </row>
    <row r="56" spans="1:14" ht="63.75" x14ac:dyDescent="0.2">
      <c r="A56" s="2448" t="s">
        <v>2031</v>
      </c>
      <c r="B56" s="2449"/>
      <c r="C56" s="245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2041</v>
      </c>
      <c r="B58" s="2429"/>
      <c r="C58" s="2429"/>
      <c r="D58" s="1968">
        <v>2362</v>
      </c>
      <c r="E58" s="1978">
        <f>'Expenditures 15-22'!K320</f>
        <v>18232</v>
      </c>
      <c r="F58" s="1973"/>
      <c r="G58" s="2032"/>
      <c r="H58" s="2033"/>
      <c r="I58" s="2033"/>
      <c r="J58" s="2033"/>
      <c r="K58" s="2033"/>
      <c r="L58" s="2033"/>
      <c r="M58" s="2033">
        <v>18232</v>
      </c>
      <c r="N58" s="1976">
        <f>IF((SUM(G58:M58))=E58,SUM(G58:M58),"Column N does not agree with Column E")</f>
        <v>18232</v>
      </c>
    </row>
    <row r="59" spans="1:14" ht="24.75" customHeight="1" x14ac:dyDescent="0.2">
      <c r="A59" s="2422" t="s">
        <v>297</v>
      </c>
      <c r="B59" s="2423"/>
      <c r="C59" s="2423"/>
      <c r="D59" s="1968">
        <v>2363</v>
      </c>
      <c r="E59" s="1978">
        <f>'Expenditures 15-22'!K321</f>
        <v>1320</v>
      </c>
      <c r="F59" s="1973"/>
      <c r="G59" s="2032"/>
      <c r="H59" s="2033"/>
      <c r="I59" s="2033"/>
      <c r="J59" s="2033"/>
      <c r="K59" s="2033"/>
      <c r="L59" s="2033"/>
      <c r="M59" s="2033">
        <v>1320</v>
      </c>
      <c r="N59" s="1976">
        <f>IF((SUM(G59:M59))=E59,SUM(G59:M59),"Column N does not agree with Column E")</f>
        <v>1320</v>
      </c>
    </row>
    <row r="60" spans="1:14" ht="24" customHeight="1" x14ac:dyDescent="0.2">
      <c r="A60" s="2422" t="s">
        <v>236</v>
      </c>
      <c r="B60" s="2423"/>
      <c r="C60" s="2423"/>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2" t="s">
        <v>697</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259505</v>
      </c>
      <c r="F63" s="1973"/>
      <c r="G63" s="2032">
        <v>14303</v>
      </c>
      <c r="H63" s="2033"/>
      <c r="I63" s="2033"/>
      <c r="J63" s="2033"/>
      <c r="K63" s="2033"/>
      <c r="L63" s="2033"/>
      <c r="M63" s="2033">
        <v>245202</v>
      </c>
      <c r="N63" s="1976">
        <f t="shared" si="4"/>
        <v>259505</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6940</v>
      </c>
      <c r="F65" s="1973"/>
      <c r="G65" s="2032"/>
      <c r="H65" s="2033"/>
      <c r="I65" s="2033"/>
      <c r="J65" s="2033"/>
      <c r="K65" s="2033"/>
      <c r="L65" s="2033"/>
      <c r="M65" s="2033">
        <v>6940</v>
      </c>
      <c r="N65" s="1976">
        <f t="shared" si="4"/>
        <v>6940</v>
      </c>
    </row>
    <row r="66" spans="1:14" ht="24" customHeight="1" x14ac:dyDescent="0.2">
      <c r="A66" s="2422" t="s">
        <v>469</v>
      </c>
      <c r="B66" s="2423"/>
      <c r="C66" s="2423"/>
      <c r="D66" s="1968">
        <v>2371</v>
      </c>
      <c r="E66" s="1978">
        <f>'Expenditures 15-22'!K328</f>
        <v>46076</v>
      </c>
      <c r="F66" s="1973"/>
      <c r="G66" s="2032"/>
      <c r="H66" s="2033"/>
      <c r="I66" s="2033"/>
      <c r="J66" s="2033"/>
      <c r="K66" s="2033"/>
      <c r="L66" s="2033"/>
      <c r="M66" s="2033">
        <v>46076</v>
      </c>
      <c r="N66" s="1976">
        <f t="shared" si="4"/>
        <v>46076</v>
      </c>
    </row>
    <row r="67" spans="1:14" ht="24.75" customHeight="1" x14ac:dyDescent="0.2">
      <c r="A67" s="2424" t="s">
        <v>2042</v>
      </c>
      <c r="B67" s="2425"/>
      <c r="C67" s="2425"/>
      <c r="D67" s="1970">
        <v>2372</v>
      </c>
      <c r="E67" s="1979">
        <f>'Expenditures 15-22'!K329</f>
        <v>0</v>
      </c>
      <c r="F67" s="1973"/>
      <c r="G67" s="2034"/>
      <c r="H67" s="2035"/>
      <c r="I67" s="2035"/>
      <c r="J67" s="2035"/>
      <c r="K67" s="2035"/>
      <c r="L67" s="2035"/>
      <c r="M67" s="2035"/>
      <c r="N67" s="1976">
        <f t="shared" si="4"/>
        <v>0</v>
      </c>
    </row>
    <row r="68" spans="1:14" x14ac:dyDescent="0.2">
      <c r="A68" s="2426" t="s">
        <v>1151</v>
      </c>
      <c r="B68" s="2427"/>
      <c r="C68" s="2427"/>
      <c r="D68" s="1971"/>
      <c r="E68" s="1975">
        <f>SUM(E57:E67)</f>
        <v>332073</v>
      </c>
      <c r="F68" s="1974"/>
      <c r="G68" s="1975">
        <f t="shared" ref="G68:N68" si="5">SUM(G57:G67)</f>
        <v>14303</v>
      </c>
      <c r="H68" s="1975">
        <f t="shared" si="5"/>
        <v>0</v>
      </c>
      <c r="I68" s="1975">
        <f t="shared" si="5"/>
        <v>0</v>
      </c>
      <c r="J68" s="1975">
        <f t="shared" si="5"/>
        <v>0</v>
      </c>
      <c r="K68" s="1975">
        <f t="shared" si="5"/>
        <v>0</v>
      </c>
      <c r="L68" s="1975">
        <f t="shared" si="5"/>
        <v>0</v>
      </c>
      <c r="M68" s="1975">
        <f t="shared" si="5"/>
        <v>317770</v>
      </c>
      <c r="N68" s="1989">
        <f t="shared" si="5"/>
        <v>332073</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2071</v>
      </c>
    </row>
    <row r="6" spans="1:2" x14ac:dyDescent="0.2">
      <c r="A6" s="847"/>
      <c r="B6" s="2038" t="s">
        <v>2072</v>
      </c>
    </row>
    <row r="7" spans="1:2" x14ac:dyDescent="0.2">
      <c r="A7" s="847"/>
      <c r="B7" s="307" t="s">
        <v>2073</v>
      </c>
    </row>
    <row r="8" spans="1:2" x14ac:dyDescent="0.2">
      <c r="A8" s="847"/>
    </row>
    <row r="9" spans="1:2" x14ac:dyDescent="0.2">
      <c r="A9" s="848">
        <v>2</v>
      </c>
      <c r="B9" s="2037" t="s">
        <v>2074</v>
      </c>
    </row>
    <row r="10" spans="1:2" x14ac:dyDescent="0.2">
      <c r="A10" s="848"/>
      <c r="B10" s="2038" t="s">
        <v>2075</v>
      </c>
    </row>
    <row r="11" spans="1:2" x14ac:dyDescent="0.2">
      <c r="A11" s="848"/>
      <c r="B11" s="307" t="s">
        <v>2076</v>
      </c>
    </row>
    <row r="12" spans="1:2" x14ac:dyDescent="0.2">
      <c r="A12" s="848"/>
    </row>
    <row r="13" spans="1:2" x14ac:dyDescent="0.2">
      <c r="A13" s="848">
        <v>3</v>
      </c>
      <c r="B13" s="2037" t="s">
        <v>2077</v>
      </c>
    </row>
    <row r="14" spans="1:2" x14ac:dyDescent="0.2">
      <c r="A14" s="848"/>
      <c r="B14" s="2038" t="s">
        <v>2072</v>
      </c>
    </row>
    <row r="15" spans="1:2" x14ac:dyDescent="0.2">
      <c r="A15" s="848"/>
      <c r="B15" s="307" t="s">
        <v>2078</v>
      </c>
    </row>
    <row r="16" spans="1:2" x14ac:dyDescent="0.2">
      <c r="A16" s="848"/>
      <c r="B16" s="2038" t="s">
        <v>2079</v>
      </c>
    </row>
    <row r="17" spans="1:2" x14ac:dyDescent="0.2">
      <c r="A17" s="848"/>
      <c r="B17" s="307" t="s">
        <v>2080</v>
      </c>
    </row>
    <row r="18" spans="1:2" x14ac:dyDescent="0.2">
      <c r="A18" s="848"/>
    </row>
    <row r="19" spans="1:2" x14ac:dyDescent="0.2">
      <c r="A19" s="848">
        <v>4</v>
      </c>
      <c r="B19" s="2037" t="s">
        <v>2081</v>
      </c>
    </row>
    <row r="20" spans="1:2" x14ac:dyDescent="0.2">
      <c r="A20" s="848"/>
      <c r="B20" s="2038" t="s">
        <v>2072</v>
      </c>
    </row>
    <row r="21" spans="1:2" x14ac:dyDescent="0.2">
      <c r="A21" s="848"/>
      <c r="B21" s="307" t="s">
        <v>2082</v>
      </c>
    </row>
    <row r="22" spans="1:2" x14ac:dyDescent="0.2">
      <c r="A22" s="848"/>
    </row>
    <row r="23" spans="1:2" x14ac:dyDescent="0.2">
      <c r="A23" s="848">
        <v>5</v>
      </c>
      <c r="B23" s="2037" t="s">
        <v>2083</v>
      </c>
    </row>
    <row r="24" spans="1:2" x14ac:dyDescent="0.2">
      <c r="A24" s="848"/>
      <c r="B24" s="2038" t="s">
        <v>2072</v>
      </c>
    </row>
    <row r="25" spans="1:2" x14ac:dyDescent="0.2">
      <c r="A25" s="848"/>
      <c r="B25" s="307" t="s">
        <v>2084</v>
      </c>
    </row>
    <row r="26" spans="1:2" x14ac:dyDescent="0.2">
      <c r="A26" s="848"/>
      <c r="B26" s="307" t="s">
        <v>2085</v>
      </c>
    </row>
    <row r="27" spans="1:2" x14ac:dyDescent="0.2">
      <c r="A27" s="848"/>
    </row>
    <row r="28" spans="1:2" x14ac:dyDescent="0.2">
      <c r="A28" s="848">
        <v>6</v>
      </c>
      <c r="B28" s="2037" t="s">
        <v>2086</v>
      </c>
    </row>
    <row r="29" spans="1:2" x14ac:dyDescent="0.2">
      <c r="A29" s="848"/>
      <c r="B29" s="307" t="s">
        <v>2087</v>
      </c>
    </row>
    <row r="30" spans="1:2" x14ac:dyDescent="0.2">
      <c r="A30" s="848"/>
    </row>
    <row r="31" spans="1:2" x14ac:dyDescent="0.2">
      <c r="A31" s="848">
        <v>7</v>
      </c>
      <c r="B31" s="2037" t="s">
        <v>2088</v>
      </c>
    </row>
    <row r="32" spans="1:2" x14ac:dyDescent="0.2">
      <c r="A32" s="848"/>
      <c r="B32" s="307" t="s">
        <v>2089</v>
      </c>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Shiloh CUSD 1</v>
      </c>
    </row>
    <row r="63" spans="1:2" x14ac:dyDescent="0.2">
      <c r="B63" s="849">
        <f>COVER!A13</f>
        <v>11023001026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4387357</v>
      </c>
      <c r="C8" s="1813">
        <f>'Acct Summary 7-8'!D8</f>
        <v>576501</v>
      </c>
      <c r="D8" s="1813">
        <f>'Acct Summary 7-8'!F8</f>
        <v>372543</v>
      </c>
      <c r="E8" s="1813">
        <f>'Acct Summary 7-8'!I8</f>
        <v>86381</v>
      </c>
      <c r="F8" s="1813">
        <f>SUM(B8:E8)</f>
        <v>5422782</v>
      </c>
    </row>
    <row r="9" spans="1:8" s="858" customFormat="1" ht="14.25" customHeight="1" thickBot="1" x14ac:dyDescent="0.25">
      <c r="A9" s="857" t="s">
        <v>1353</v>
      </c>
      <c r="B9" s="1814">
        <f>'Acct Summary 7-8'!C17</f>
        <v>3346520</v>
      </c>
      <c r="C9" s="1814">
        <f>'Acct Summary 7-8'!D17</f>
        <v>543884</v>
      </c>
      <c r="D9" s="1814">
        <f>'Acct Summary 7-8'!F17</f>
        <v>436395</v>
      </c>
      <c r="E9" s="1813"/>
      <c r="F9" s="1813">
        <f>SUM(B9:E9)</f>
        <v>4326799</v>
      </c>
    </row>
    <row r="10" spans="1:8" s="858" customFormat="1" ht="14.25" thickTop="1" thickBot="1" x14ac:dyDescent="0.25">
      <c r="A10" s="859" t="s">
        <v>1354</v>
      </c>
      <c r="B10" s="1815">
        <f>(B8-B9)</f>
        <v>1040837</v>
      </c>
      <c r="C10" s="1815">
        <f>(C8-C9)</f>
        <v>32617</v>
      </c>
      <c r="D10" s="1815">
        <f>(D8-D9)</f>
        <v>-63852</v>
      </c>
      <c r="E10" s="1814">
        <f>(E8-E9)</f>
        <v>86381</v>
      </c>
      <c r="F10" s="1816">
        <f>SUM(F8-F9)</f>
        <v>1095983</v>
      </c>
    </row>
    <row r="11" spans="1:8" s="858" customFormat="1" ht="14.25" thickTop="1" thickBot="1" x14ac:dyDescent="0.25">
      <c r="A11" s="860" t="s">
        <v>1903</v>
      </c>
      <c r="B11" s="1817">
        <f>'Acct Summary 7-8'!C81</f>
        <v>4989736</v>
      </c>
      <c r="C11" s="1817">
        <f>'Acct Summary 7-8'!D81</f>
        <v>748848</v>
      </c>
      <c r="D11" s="1817">
        <f>'Acct Summary 7-8'!F81</f>
        <v>652795</v>
      </c>
      <c r="E11" s="1817">
        <f>'Acct Summary 7-8'!I81</f>
        <v>1475532</v>
      </c>
      <c r="F11" s="1818">
        <f>SUM(B11:E11)</f>
        <v>7866911</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11023001026</v>
      </c>
      <c r="E2" s="1542">
        <v>2020</v>
      </c>
      <c r="F2" s="1542">
        <v>1</v>
      </c>
      <c r="G2" s="1899">
        <v>101000300</v>
      </c>
    </row>
    <row r="3" spans="1:7" ht="15" x14ac:dyDescent="0.25">
      <c r="A3" t="s">
        <v>950</v>
      </c>
      <c r="B3" s="135" t="str">
        <f>COVER!A15</f>
        <v>EDGAR</v>
      </c>
      <c r="E3" s="1830" t="s">
        <v>1971</v>
      </c>
      <c r="F3" s="1830" t="s">
        <v>1970</v>
      </c>
      <c r="G3" s="1899">
        <v>101000400</v>
      </c>
    </row>
    <row r="4" spans="1:7" ht="15" x14ac:dyDescent="0.25">
      <c r="A4" t="s">
        <v>1000</v>
      </c>
      <c r="B4" s="135" t="str">
        <f>COVER!A17</f>
        <v>Shiloh CUSD 1</v>
      </c>
      <c r="E4" s="1828">
        <v>44119</v>
      </c>
      <c r="F4" s="1829">
        <v>44151</v>
      </c>
      <c r="G4" s="1899">
        <v>101000600</v>
      </c>
    </row>
    <row r="5" spans="1:7" ht="15" x14ac:dyDescent="0.25">
      <c r="A5" t="s">
        <v>699</v>
      </c>
      <c r="B5" s="135" t="str">
        <f>COVER!A38</f>
        <v>Allen Hall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4750000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4991389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1653</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1653</v>
      </c>
      <c r="C91" s="2" t="s">
        <v>569</v>
      </c>
      <c r="D91" s="2" t="str">
        <f t="shared" si="0"/>
        <v>Error?</v>
      </c>
      <c r="G91" s="1899">
        <v>102640400</v>
      </c>
    </row>
    <row r="92" spans="1:7" ht="15" x14ac:dyDescent="0.25">
      <c r="A92" s="5">
        <v>31</v>
      </c>
      <c r="B92" s="1832">
        <f>'Assets-Liab 5-6'!C39</f>
        <v>4989736</v>
      </c>
      <c r="D92" s="2" t="str">
        <f t="shared" si="0"/>
        <v>Error?</v>
      </c>
      <c r="G92" s="1899">
        <v>102640600</v>
      </c>
    </row>
    <row r="93" spans="1:7" ht="15" x14ac:dyDescent="0.25">
      <c r="A93" s="5">
        <v>32</v>
      </c>
      <c r="B93" s="1832">
        <f>'Assets-Liab 5-6'!C41</f>
        <v>4991389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460000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748848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698848</v>
      </c>
      <c r="D123" s="2" t="str">
        <f t="shared" si="0"/>
        <v>Error?</v>
      </c>
      <c r="G123" s="1899">
        <v>203000400</v>
      </c>
    </row>
    <row r="124" spans="1:7" ht="15" x14ac:dyDescent="0.25">
      <c r="A124" s="5">
        <v>63</v>
      </c>
      <c r="B124" s="1832">
        <f>'Assets-Liab 5-6'!D41</f>
        <v>748848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525000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652795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652795</v>
      </c>
      <c r="D170" s="2" t="str">
        <f t="shared" si="1"/>
        <v>Error?</v>
      </c>
    </row>
    <row r="171" spans="1:4" x14ac:dyDescent="0.2">
      <c r="A171" s="5">
        <v>110</v>
      </c>
      <c r="B171" s="1832">
        <f>'Assets-Liab 5-6'!F41</f>
        <v>652795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150000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168325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168325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100000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120190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114423</v>
      </c>
      <c r="D212" s="2" t="str">
        <f t="shared" si="2"/>
        <v>Error?</v>
      </c>
    </row>
    <row r="213" spans="1:4" x14ac:dyDescent="0.2">
      <c r="A213" s="12">
        <v>152</v>
      </c>
      <c r="B213" s="1832">
        <f>'Assets-Liab 5-6'!H41</f>
        <v>120190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78704</v>
      </c>
      <c r="D273" s="2" t="str">
        <f t="shared" si="3"/>
        <v>Error?</v>
      </c>
    </row>
    <row r="274" spans="1:4" x14ac:dyDescent="0.2">
      <c r="A274" s="5">
        <v>213</v>
      </c>
      <c r="B274" s="1832">
        <f>'Assets-Liab 5-6'!M17</f>
        <v>4341571</v>
      </c>
      <c r="D274" s="2" t="str">
        <f t="shared" si="3"/>
        <v>Error?</v>
      </c>
    </row>
    <row r="275" spans="1:4" x14ac:dyDescent="0.2">
      <c r="A275" s="5">
        <v>214</v>
      </c>
      <c r="B275" s="1832">
        <f>'Assets-Liab 5-6'!M18</f>
        <v>1032296</v>
      </c>
      <c r="D275" s="2" t="str">
        <f t="shared" si="3"/>
        <v>Error?</v>
      </c>
    </row>
    <row r="276" spans="1:4" x14ac:dyDescent="0.2">
      <c r="A276" s="5">
        <v>215</v>
      </c>
      <c r="B276" s="1832">
        <f>'Assets-Liab 5-6'!M19</f>
        <v>3090583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8543154</v>
      </c>
      <c r="C279" s="2" t="s">
        <v>569</v>
      </c>
      <c r="D279" s="2" t="str">
        <f t="shared" si="3"/>
        <v>Error?</v>
      </c>
    </row>
    <row r="280" spans="1:4" x14ac:dyDescent="0.2">
      <c r="A280" s="5">
        <v>219</v>
      </c>
      <c r="B280" s="1832">
        <f>'Assets-Liab 5-6'!M40</f>
        <v>8543154</v>
      </c>
      <c r="D280" s="2" t="str">
        <f t="shared" si="3"/>
        <v>Error?</v>
      </c>
    </row>
    <row r="281" spans="1:4" x14ac:dyDescent="0.2">
      <c r="A281" s="5">
        <v>220</v>
      </c>
      <c r="B281" s="1832">
        <f>'Assets-Liab 5-6'!M41</f>
        <v>8543154</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35467</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948312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164532</v>
      </c>
      <c r="D717" s="2" t="str">
        <f t="shared" si="10"/>
        <v>Error?</v>
      </c>
    </row>
    <row r="718" spans="1:4" x14ac:dyDescent="0.2">
      <c r="A718" s="5">
        <v>657</v>
      </c>
      <c r="B718" s="1832">
        <f>'Expenditures 15-22'!C14</f>
        <v>164208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1662080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45928</v>
      </c>
      <c r="D722" s="2" t="str">
        <f t="shared" si="10"/>
        <v>Error?</v>
      </c>
    </row>
    <row r="723" spans="1:4" x14ac:dyDescent="0.2">
      <c r="A723" s="5">
        <v>662</v>
      </c>
      <c r="B723" s="1832">
        <f>'Expenditures 15-22'!C38</f>
        <v>16297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53780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116005</v>
      </c>
      <c r="C727" s="2" t="s">
        <v>569</v>
      </c>
      <c r="D727" s="2" t="str">
        <f t="shared" si="10"/>
        <v>Error?</v>
      </c>
    </row>
    <row r="728" spans="1:4" x14ac:dyDescent="0.2">
      <c r="A728" s="5">
        <v>667</v>
      </c>
      <c r="B728" s="1832">
        <f>'Expenditures 15-22'!C44</f>
        <v>440</v>
      </c>
      <c r="D728" s="2" t="str">
        <f t="shared" si="10"/>
        <v>Error?</v>
      </c>
    </row>
    <row r="729" spans="1:4" x14ac:dyDescent="0.2">
      <c r="A729" s="5">
        <v>668</v>
      </c>
      <c r="B729" s="1832">
        <f>'Expenditures 15-22'!C45</f>
        <v>27545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27985</v>
      </c>
      <c r="C731" s="2" t="s">
        <v>569</v>
      </c>
      <c r="D731" s="2" t="str">
        <f t="shared" si="10"/>
        <v>Error?</v>
      </c>
    </row>
    <row r="732" spans="1:4" x14ac:dyDescent="0.2">
      <c r="A732" s="5">
        <v>671</v>
      </c>
      <c r="B732" s="1832">
        <f>'Expenditures 15-22'!C49</f>
        <v>8689</v>
      </c>
      <c r="D732" s="2" t="str">
        <f t="shared" si="10"/>
        <v>Error?</v>
      </c>
    </row>
    <row r="733" spans="1:4" x14ac:dyDescent="0.2">
      <c r="A733" s="5">
        <v>672</v>
      </c>
      <c r="B733" s="1832">
        <f>'Expenditures 15-22'!C50</f>
        <v>82756</v>
      </c>
      <c r="D733" s="2" t="str">
        <f t="shared" si="10"/>
        <v>Error?</v>
      </c>
    </row>
    <row r="734" spans="1:4" x14ac:dyDescent="0.2">
      <c r="A734" s="5">
        <v>673</v>
      </c>
      <c r="B734" s="1832">
        <f>'Expenditures 15-22'!C53</f>
        <v>96988</v>
      </c>
      <c r="C734" s="2" t="s">
        <v>569</v>
      </c>
      <c r="D734" s="2" t="str">
        <f t="shared" si="10"/>
        <v>Error?</v>
      </c>
    </row>
    <row r="735" spans="1:4" x14ac:dyDescent="0.2">
      <c r="A735" s="5">
        <v>674</v>
      </c>
      <c r="B735" s="1832">
        <f>'Expenditures 15-22'!C55</f>
        <v>121890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121890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46636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46636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80948</v>
      </c>
      <c r="D751" s="2" t="str">
        <f t="shared" si="10"/>
        <v>Error?</v>
      </c>
    </row>
    <row r="752" spans="1:4" x14ac:dyDescent="0.2">
      <c r="A752" s="10">
        <v>691</v>
      </c>
      <c r="B752" s="1832"/>
      <c r="D752" s="2" t="str">
        <f t="shared" si="10"/>
        <v>OK</v>
      </c>
    </row>
    <row r="753" spans="1:4" x14ac:dyDescent="0.2">
      <c r="A753" s="5">
        <v>692</v>
      </c>
      <c r="B753" s="1832">
        <f>'Expenditures 15-22'!C72</f>
        <v>80948</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490452</v>
      </c>
      <c r="C755" s="2" t="s">
        <v>569</v>
      </c>
      <c r="D755" s="2" t="str">
        <f t="shared" si="10"/>
        <v>Error?</v>
      </c>
    </row>
    <row r="756" spans="1:4" x14ac:dyDescent="0.2">
      <c r="A756" s="5">
        <v>695</v>
      </c>
      <c r="B756" s="1832">
        <f>'Expenditures 15-22'!C75</f>
        <v>144412</v>
      </c>
      <c r="D756" s="2" t="str">
        <f t="shared" si="10"/>
        <v>Error?</v>
      </c>
    </row>
    <row r="757" spans="1:4" x14ac:dyDescent="0.2">
      <c r="A757" s="5">
        <v>696</v>
      </c>
      <c r="B757" s="1832">
        <f>'Expenditures 15-22'!C114</f>
        <v>2296944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156366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21286</v>
      </c>
      <c r="D775" s="2" t="str">
        <f t="shared" si="11"/>
        <v>Error?</v>
      </c>
    </row>
    <row r="776" spans="1:4" x14ac:dyDescent="0.2">
      <c r="A776" s="5">
        <v>715</v>
      </c>
      <c r="B776" s="1832">
        <f>'Expenditures 15-22'!D14</f>
        <v>11052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251821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10245</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11316</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21561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5466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5466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7408</v>
      </c>
      <c r="D791" s="2" t="str">
        <f t="shared" si="11"/>
        <v>Error?</v>
      </c>
    </row>
    <row r="792" spans="1:4" x14ac:dyDescent="0.2">
      <c r="A792" s="5">
        <v>731</v>
      </c>
      <c r="B792" s="1832">
        <f>'Expenditures 15-22'!D53</f>
        <v>7408</v>
      </c>
      <c r="C792" s="2" t="s">
        <v>569</v>
      </c>
      <c r="D792" s="2" t="str">
        <f t="shared" si="11"/>
        <v>Error?</v>
      </c>
    </row>
    <row r="793" spans="1:4" x14ac:dyDescent="0.2">
      <c r="A793" s="5">
        <v>732</v>
      </c>
      <c r="B793" s="1832">
        <f>'Expenditures 15-22'!D55</f>
        <v>13572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13572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4627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4627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15039</v>
      </c>
      <c r="D809" s="2" t="str">
        <f t="shared" si="11"/>
        <v>Error?</v>
      </c>
    </row>
    <row r="810" spans="1:4" x14ac:dyDescent="0.2">
      <c r="A810" s="10">
        <v>749</v>
      </c>
      <c r="B810" s="1832"/>
      <c r="D810" s="2" t="str">
        <f t="shared" si="11"/>
        <v>OK</v>
      </c>
    </row>
    <row r="811" spans="1:4" x14ac:dyDescent="0.2">
      <c r="A811" s="5">
        <v>750</v>
      </c>
      <c r="B811" s="1832">
        <f>'Expenditures 15-22'!D72</f>
        <v>15039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67673</v>
      </c>
      <c r="C813" s="2" t="s">
        <v>569</v>
      </c>
      <c r="D813" s="2" t="str">
        <f t="shared" si="11"/>
        <v>Error?</v>
      </c>
    </row>
    <row r="814" spans="1:4" x14ac:dyDescent="0.2">
      <c r="A814" s="5">
        <v>753</v>
      </c>
      <c r="B814" s="1832">
        <f>'Expenditures 15-22'!D75</f>
        <v>5337</v>
      </c>
      <c r="D814" s="2" t="str">
        <f t="shared" si="11"/>
        <v>Error?</v>
      </c>
    </row>
    <row r="815" spans="1:4" x14ac:dyDescent="0.2">
      <c r="A815" s="5">
        <v>754</v>
      </c>
      <c r="B815" s="1832">
        <f>'Expenditures 15-22'!D114</f>
        <v>324831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4097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231</v>
      </c>
      <c r="D833" s="2" t="str">
        <f t="shared" si="12"/>
        <v>Error?</v>
      </c>
    </row>
    <row r="834" spans="1:4" x14ac:dyDescent="0.2">
      <c r="A834" s="5">
        <v>773</v>
      </c>
      <c r="B834" s="1832">
        <f>'Expenditures 15-22'!E14</f>
        <v>17390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57196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2577</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2588</v>
      </c>
      <c r="C843" s="2" t="s">
        <v>569</v>
      </c>
      <c r="D843" s="2" t="str">
        <f t="shared" si="12"/>
        <v>Error?</v>
      </c>
    </row>
    <row r="844" spans="1:4" x14ac:dyDescent="0.2">
      <c r="A844" s="5">
        <v>783</v>
      </c>
      <c r="B844" s="1832">
        <f>'Expenditures 15-22'!E44</f>
        <v>29471</v>
      </c>
      <c r="D844" s="2" t="str">
        <f t="shared" si="12"/>
        <v>Error?</v>
      </c>
    </row>
    <row r="845" spans="1:4" x14ac:dyDescent="0.2">
      <c r="A845" s="5">
        <v>784</v>
      </c>
      <c r="B845" s="1832">
        <f>'Expenditures 15-22'!E45</f>
        <v>1760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31231</v>
      </c>
      <c r="C847" s="2" t="s">
        <v>569</v>
      </c>
      <c r="D847" s="2" t="str">
        <f t="shared" si="12"/>
        <v>Error?</v>
      </c>
    </row>
    <row r="848" spans="1:4" x14ac:dyDescent="0.2">
      <c r="A848" s="5">
        <v>787</v>
      </c>
      <c r="B848" s="1832">
        <f>'Expenditures 15-22'!E49</f>
        <v>20186</v>
      </c>
      <c r="D848" s="2" t="str">
        <f t="shared" si="12"/>
        <v>Error?</v>
      </c>
    </row>
    <row r="849" spans="1:4" x14ac:dyDescent="0.2">
      <c r="A849" s="5">
        <v>788</v>
      </c>
      <c r="B849" s="1832">
        <f>'Expenditures 15-22'!E50</f>
        <v>1201</v>
      </c>
      <c r="D849" s="2" t="str">
        <f t="shared" si="12"/>
        <v>Error?</v>
      </c>
    </row>
    <row r="850" spans="1:4" x14ac:dyDescent="0.2">
      <c r="A850" s="5">
        <v>789</v>
      </c>
      <c r="B850" s="1832">
        <f>'Expenditures 15-22'!E53</f>
        <v>24219</v>
      </c>
      <c r="C850" s="2" t="s">
        <v>569</v>
      </c>
      <c r="D850" s="2" t="str">
        <f t="shared" si="12"/>
        <v>Error?</v>
      </c>
    </row>
    <row r="851" spans="1:4" x14ac:dyDescent="0.2">
      <c r="A851" s="5">
        <v>790</v>
      </c>
      <c r="B851" s="1832">
        <f>'Expenditures 15-22'!E55</f>
        <v>26141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26141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2904</v>
      </c>
      <c r="D855" s="2" t="str">
        <f t="shared" si="12"/>
        <v>Error?</v>
      </c>
    </row>
    <row r="856" spans="1:4" x14ac:dyDescent="0.2">
      <c r="A856" s="5">
        <v>795</v>
      </c>
      <c r="B856" s="1832">
        <f>'Expenditures 15-22'!E61</f>
        <v>14400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153782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171086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22626</v>
      </c>
      <c r="D867" s="2" t="str">
        <f t="shared" si="12"/>
        <v>Error?</v>
      </c>
    </row>
    <row r="868" spans="1:4" x14ac:dyDescent="0.2">
      <c r="A868" s="10">
        <v>807</v>
      </c>
      <c r="B868" s="1832"/>
      <c r="D868" s="2" t="str">
        <f t="shared" si="12"/>
        <v>OK</v>
      </c>
    </row>
    <row r="869" spans="1:4" x14ac:dyDescent="0.2">
      <c r="A869" s="5">
        <v>808</v>
      </c>
      <c r="B869" s="1832">
        <f>'Expenditures 15-22'!E72</f>
        <v>22626</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277891</v>
      </c>
      <c r="C871" s="2" t="s">
        <v>569</v>
      </c>
      <c r="D871" s="2" t="str">
        <f t="shared" si="12"/>
        <v>Error?</v>
      </c>
    </row>
    <row r="872" spans="1:4" x14ac:dyDescent="0.2">
      <c r="A872" s="5">
        <v>811</v>
      </c>
      <c r="B872" s="1832">
        <f>'Expenditures 15-22'!E75</f>
        <v>10484</v>
      </c>
      <c r="D872" s="2" t="str">
        <f t="shared" si="12"/>
        <v>Error?</v>
      </c>
    </row>
    <row r="873" spans="1:4" x14ac:dyDescent="0.2">
      <c r="A873" s="5">
        <v>812</v>
      </c>
      <c r="B873" s="1832">
        <f>'Expenditures 15-22'!E114</f>
        <v>345571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63156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13473</v>
      </c>
      <c r="D891" s="2" t="str">
        <f t="shared" si="12"/>
        <v>Error?</v>
      </c>
    </row>
    <row r="892" spans="1:4" x14ac:dyDescent="0.2">
      <c r="A892" s="5">
        <v>831</v>
      </c>
      <c r="B892" s="1832">
        <f>'Expenditures 15-22'!F14</f>
        <v>11513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91855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6573</v>
      </c>
      <c r="D896" s="2" t="str">
        <f t="shared" si="13"/>
        <v>Error?</v>
      </c>
    </row>
    <row r="897" spans="1:4" x14ac:dyDescent="0.2">
      <c r="A897" s="5">
        <v>836</v>
      </c>
      <c r="B897" s="1832">
        <f>'Expenditures 15-22'!F38</f>
        <v>1188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283</v>
      </c>
      <c r="D900" s="2" t="str">
        <f t="shared" si="13"/>
        <v>Error?</v>
      </c>
    </row>
    <row r="901" spans="1:4" x14ac:dyDescent="0.2">
      <c r="A901" s="5">
        <v>840</v>
      </c>
      <c r="B901" s="1832">
        <f>'Expenditures 15-22'!F42</f>
        <v>8044</v>
      </c>
      <c r="C901" s="2" t="s">
        <v>569</v>
      </c>
      <c r="D901" s="2" t="str">
        <f t="shared" si="13"/>
        <v>Error?</v>
      </c>
    </row>
    <row r="902" spans="1:4" x14ac:dyDescent="0.2">
      <c r="A902" s="5">
        <v>841</v>
      </c>
      <c r="B902" s="1832">
        <f>'Expenditures 15-22'!F44</f>
        <v>53</v>
      </c>
      <c r="D902" s="2" t="str">
        <f t="shared" si="13"/>
        <v>Error?</v>
      </c>
    </row>
    <row r="903" spans="1:4" x14ac:dyDescent="0.2">
      <c r="A903" s="5">
        <v>842</v>
      </c>
      <c r="B903" s="1832">
        <f>'Expenditures 15-22'!F45</f>
        <v>1622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1675</v>
      </c>
      <c r="C905" s="2" t="s">
        <v>569</v>
      </c>
      <c r="D905" s="2" t="str">
        <f t="shared" si="13"/>
        <v>Error?</v>
      </c>
    </row>
    <row r="906" spans="1:4" x14ac:dyDescent="0.2">
      <c r="A906" s="5">
        <v>845</v>
      </c>
      <c r="B906" s="1832">
        <f>'Expenditures 15-22'!F49</f>
        <v>5467</v>
      </c>
      <c r="D906" s="2" t="str">
        <f t="shared" si="13"/>
        <v>Error?</v>
      </c>
    </row>
    <row r="907" spans="1:4" x14ac:dyDescent="0.2">
      <c r="A907" s="5">
        <v>846</v>
      </c>
      <c r="B907" s="1832">
        <f>'Expenditures 15-22'!F50</f>
        <v>626</v>
      </c>
      <c r="D907" s="2" t="str">
        <f t="shared" si="13"/>
        <v>Error?</v>
      </c>
    </row>
    <row r="908" spans="1:4" x14ac:dyDescent="0.2">
      <c r="A908" s="5">
        <v>847</v>
      </c>
      <c r="B908" s="1832">
        <f>'Expenditures 15-22'!F53</f>
        <v>6093</v>
      </c>
      <c r="C908" s="2" t="s">
        <v>569</v>
      </c>
      <c r="D908" s="2" t="str">
        <f t="shared" si="13"/>
        <v>Error?</v>
      </c>
    </row>
    <row r="909" spans="1:4" x14ac:dyDescent="0.2">
      <c r="A909" s="5">
        <v>848</v>
      </c>
      <c r="B909" s="1832">
        <f>'Expenditures 15-22'!F55</f>
        <v>2122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2122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477</v>
      </c>
      <c r="D913" s="2" t="str">
        <f t="shared" si="13"/>
        <v>Error?</v>
      </c>
    </row>
    <row r="914" spans="1:4" x14ac:dyDescent="0.2">
      <c r="A914" s="5">
        <v>853</v>
      </c>
      <c r="B914" s="1832">
        <f>'Expenditures 15-22'!F61</f>
        <v>630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1107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9851</v>
      </c>
      <c r="D925" s="2" t="str">
        <f t="shared" si="13"/>
        <v>Error?</v>
      </c>
    </row>
    <row r="926" spans="1:4" x14ac:dyDescent="0.2">
      <c r="A926" s="10">
        <v>865</v>
      </c>
      <c r="B926" s="1832"/>
      <c r="D926" s="2" t="str">
        <f t="shared" si="13"/>
        <v>OK</v>
      </c>
    </row>
    <row r="927" spans="1:4" x14ac:dyDescent="0.2">
      <c r="A927" s="5">
        <v>866</v>
      </c>
      <c r="B927" s="1832">
        <f>'Expenditures 15-22'!F72</f>
        <v>9851</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28892</v>
      </c>
      <c r="C929" s="2" t="s">
        <v>569</v>
      </c>
      <c r="D929" s="2" t="str">
        <f t="shared" si="13"/>
        <v>Error?</v>
      </c>
    </row>
    <row r="930" spans="1:4" x14ac:dyDescent="0.2">
      <c r="A930" s="5">
        <v>869</v>
      </c>
      <c r="B930" s="1832">
        <f>'Expenditures 15-22'!F75</f>
        <v>18673</v>
      </c>
      <c r="D930" s="2" t="str">
        <f t="shared" si="13"/>
        <v>Error?</v>
      </c>
    </row>
    <row r="931" spans="1:4" x14ac:dyDescent="0.2">
      <c r="A931" s="5">
        <v>870</v>
      </c>
      <c r="B931" s="1832">
        <f>'Expenditures 15-22'!F114</f>
        <v>139420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1800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7943</v>
      </c>
      <c r="D949" s="2" t="str">
        <f t="shared" si="13"/>
        <v>Error?</v>
      </c>
    </row>
    <row r="950" spans="1:4" x14ac:dyDescent="0.2">
      <c r="A950" s="5">
        <v>889</v>
      </c>
      <c r="B950" s="1832">
        <f>'Expenditures 15-22'!G14</f>
        <v>5366</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31210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5992</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5992</v>
      </c>
      <c r="C963" s="2" t="s">
        <v>569</v>
      </c>
      <c r="D963" s="2" t="str">
        <f t="shared" si="14"/>
        <v>Error?</v>
      </c>
    </row>
    <row r="964" spans="1:4" x14ac:dyDescent="0.2">
      <c r="A964" s="5">
        <v>903</v>
      </c>
      <c r="B964" s="1832">
        <f>'Expenditures 15-22'!G49</f>
        <v>1112</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1112</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22065</v>
      </c>
      <c r="D983" s="2" t="str">
        <f t="shared" si="14"/>
        <v>Error?</v>
      </c>
    </row>
    <row r="984" spans="1:4" x14ac:dyDescent="0.2">
      <c r="A984" s="10">
        <v>923</v>
      </c>
      <c r="B984" s="1832"/>
      <c r="D984" s="2" t="str">
        <f t="shared" si="14"/>
        <v>OK</v>
      </c>
    </row>
    <row r="985" spans="1:4" x14ac:dyDescent="0.2">
      <c r="A985" s="5">
        <v>924</v>
      </c>
      <c r="B985" s="1832">
        <f>'Expenditures 15-22'!G72</f>
        <v>22065</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29169</v>
      </c>
      <c r="C987" s="2" t="s">
        <v>569</v>
      </c>
      <c r="D987" s="2" t="str">
        <f t="shared" si="14"/>
        <v>Error?</v>
      </c>
    </row>
    <row r="988" spans="1:4" x14ac:dyDescent="0.2">
      <c r="A988" s="5">
        <v>927</v>
      </c>
      <c r="B988" s="1832">
        <f>'Expenditures 15-22'!G75</f>
        <v>10403</v>
      </c>
      <c r="D988" s="2" t="str">
        <f t="shared" si="14"/>
        <v>Error?</v>
      </c>
    </row>
    <row r="989" spans="1:4" x14ac:dyDescent="0.2">
      <c r="A989" s="5">
        <v>928</v>
      </c>
      <c r="B989" s="1832">
        <f>'Expenditures 15-22'!G114</f>
        <v>70782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1860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9614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11607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564</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564</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4964</v>
      </c>
      <c r="D1022" s="2" t="str">
        <f t="shared" si="14"/>
        <v>Error?</v>
      </c>
    </row>
    <row r="1023" spans="1:4" x14ac:dyDescent="0.2">
      <c r="A1023" s="5">
        <v>962</v>
      </c>
      <c r="B1023" s="1832">
        <f>'Expenditures 15-22'!H50</f>
        <v>100</v>
      </c>
      <c r="D1023" s="2" t="str">
        <f t="shared" ref="D1023:D1086" si="15">IF(ISBLANK(B1023),"OK",IF(A1023-B1023=0,"OK","Error?"))</f>
        <v>Error?</v>
      </c>
    </row>
    <row r="1024" spans="1:4" x14ac:dyDescent="0.2">
      <c r="A1024" s="5">
        <v>963</v>
      </c>
      <c r="B1024" s="1832">
        <f>'Expenditures 15-22'!H53</f>
        <v>5064</v>
      </c>
      <c r="C1024" s="2" t="s">
        <v>569</v>
      </c>
      <c r="D1024" s="2" t="str">
        <f t="shared" si="15"/>
        <v>Error?</v>
      </c>
    </row>
    <row r="1025" spans="1:4" x14ac:dyDescent="0.2">
      <c r="A1025" s="5">
        <v>964</v>
      </c>
      <c r="B1025" s="1832">
        <f>'Expenditures 15-22'!H55</f>
        <v>8264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8264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1121</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1121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15013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142352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168972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1175591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207465</v>
      </c>
      <c r="C1105" s="2" t="s">
        <v>569</v>
      </c>
      <c r="D1105" s="2" t="str">
        <f t="shared" si="16"/>
        <v>Error?</v>
      </c>
    </row>
    <row r="1106" spans="1:4" x14ac:dyDescent="0.2">
      <c r="A1106" s="5">
        <v>1045</v>
      </c>
      <c r="B1106" s="1832">
        <f>'Expenditures 15-22'!K14</f>
        <v>219143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2105769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65887</v>
      </c>
      <c r="C1110" s="2" t="s">
        <v>569</v>
      </c>
      <c r="D1110" s="2" t="str">
        <f t="shared" si="16"/>
        <v>Error?</v>
      </c>
    </row>
    <row r="1111" spans="1:4" x14ac:dyDescent="0.2">
      <c r="A1111" s="5">
        <v>1050</v>
      </c>
      <c r="B1111" s="1832">
        <f>'Expenditures 15-22'!K38</f>
        <v>17485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65107</v>
      </c>
      <c r="C1113" s="2" t="s">
        <v>569</v>
      </c>
      <c r="D1113" s="2" t="str">
        <f t="shared" si="16"/>
        <v>Error?</v>
      </c>
    </row>
    <row r="1114" spans="1:4" x14ac:dyDescent="0.2">
      <c r="A1114" s="5">
        <v>1053</v>
      </c>
      <c r="B1114" s="1832">
        <f>'Expenditures 15-22'!K41</f>
        <v>283</v>
      </c>
      <c r="C1114" s="2" t="s">
        <v>569</v>
      </c>
      <c r="D1114" s="2" t="str">
        <f t="shared" si="16"/>
        <v>Error?</v>
      </c>
    </row>
    <row r="1115" spans="1:4" x14ac:dyDescent="0.2">
      <c r="A1115" s="5">
        <v>1054</v>
      </c>
      <c r="B1115" s="1832">
        <f>'Expenditures 15-22'!K42</f>
        <v>148762</v>
      </c>
      <c r="C1115" s="2" t="s">
        <v>569</v>
      </c>
      <c r="D1115" s="2" t="str">
        <f t="shared" si="16"/>
        <v>Error?</v>
      </c>
    </row>
    <row r="1116" spans="1:4" x14ac:dyDescent="0.2">
      <c r="A1116" s="5">
        <v>1055</v>
      </c>
      <c r="B1116" s="1832">
        <f>'Expenditures 15-22'!K44</f>
        <v>35956</v>
      </c>
      <c r="C1116" s="2" t="s">
        <v>569</v>
      </c>
      <c r="D1116" s="2" t="str">
        <f t="shared" si="16"/>
        <v>Error?</v>
      </c>
    </row>
    <row r="1117" spans="1:4" x14ac:dyDescent="0.2">
      <c r="A1117" s="5">
        <v>1056</v>
      </c>
      <c r="B1117" s="1832">
        <f>'Expenditures 15-22'!K45</f>
        <v>36393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72349</v>
      </c>
      <c r="C1119" s="2" t="s">
        <v>569</v>
      </c>
      <c r="D1119" s="2" t="str">
        <f t="shared" si="16"/>
        <v>Error?</v>
      </c>
    </row>
    <row r="1120" spans="1:4" x14ac:dyDescent="0.2">
      <c r="A1120" s="5">
        <v>1059</v>
      </c>
      <c r="B1120" s="1832">
        <f>'Expenditures 15-22'!K49</f>
        <v>40418</v>
      </c>
      <c r="C1120" s="2" t="s">
        <v>569</v>
      </c>
      <c r="D1120" s="2" t="str">
        <f t="shared" si="16"/>
        <v>Error?</v>
      </c>
    </row>
    <row r="1121" spans="1:4" x14ac:dyDescent="0.2">
      <c r="A1121" s="5">
        <v>1060</v>
      </c>
      <c r="B1121" s="1832">
        <f>'Expenditures 15-22'!K50</f>
        <v>92091</v>
      </c>
      <c r="C1121" s="2" t="s">
        <v>569</v>
      </c>
      <c r="D1121" s="2" t="str">
        <f t="shared" si="16"/>
        <v>Error?</v>
      </c>
    </row>
    <row r="1122" spans="1:4" x14ac:dyDescent="0.2">
      <c r="A1122" s="5">
        <v>1061</v>
      </c>
      <c r="B1122" s="1832">
        <f>'Expenditures 15-22'!K53</f>
        <v>140884</v>
      </c>
      <c r="C1122" s="2" t="s">
        <v>569</v>
      </c>
      <c r="D1122" s="2" t="str">
        <f t="shared" si="16"/>
        <v>Error?</v>
      </c>
    </row>
    <row r="1123" spans="1:4" x14ac:dyDescent="0.2">
      <c r="A1123" s="5">
        <v>1062</v>
      </c>
      <c r="B1123" s="1832">
        <f>'Expenditures 15-22'!K55</f>
        <v>171989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171989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55765</v>
      </c>
      <c r="C1127" s="2" t="s">
        <v>569</v>
      </c>
      <c r="D1127" s="2" t="str">
        <f t="shared" si="16"/>
        <v>Error?</v>
      </c>
    </row>
    <row r="1128" spans="1:4" x14ac:dyDescent="0.2">
      <c r="A1128" s="5">
        <v>1067</v>
      </c>
      <c r="B1128" s="1832">
        <f>'Expenditures 15-22'!K61</f>
        <v>15030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153782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224577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150529</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150529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909090</v>
      </c>
      <c r="C1143" s="2" t="s">
        <v>569</v>
      </c>
      <c r="D1143" s="2" t="str">
        <f t="shared" si="16"/>
        <v>Error?</v>
      </c>
    </row>
    <row r="1144" spans="1:4" x14ac:dyDescent="0.2">
      <c r="A1144" s="5">
        <v>1083</v>
      </c>
      <c r="B1144" s="1832">
        <f>'Expenditures 15-22'!K75</f>
        <v>189309</v>
      </c>
      <c r="C1144" s="2" t="s">
        <v>569</v>
      </c>
      <c r="D1144" s="2" t="str">
        <f t="shared" si="16"/>
        <v>Error?</v>
      </c>
    </row>
    <row r="1145" spans="1:4" x14ac:dyDescent="0.2">
      <c r="A1145" s="5">
        <v>1084</v>
      </c>
      <c r="B1145" s="1832">
        <f>'Expenditures 15-22'!K102</f>
        <v>142352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3346520</v>
      </c>
      <c r="C1152" s="2" t="s">
        <v>569</v>
      </c>
      <c r="D1152" s="2" t="str">
        <f t="shared" si="17"/>
        <v>Error?</v>
      </c>
    </row>
    <row r="1153" spans="1:4" x14ac:dyDescent="0.2">
      <c r="A1153" s="5">
        <v>1092</v>
      </c>
      <c r="B1153" s="1832">
        <f>'Expenditures 15-22'!K115</f>
        <v>1040837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183028</v>
      </c>
      <c r="D1221" s="2" t="str">
        <f t="shared" si="18"/>
        <v>Error?</v>
      </c>
    </row>
    <row r="1222" spans="1:4" x14ac:dyDescent="0.2">
      <c r="A1222" s="10">
        <v>1161</v>
      </c>
      <c r="B1222" s="1832"/>
      <c r="D1222" s="2" t="str">
        <f t="shared" si="18"/>
        <v>OK</v>
      </c>
    </row>
    <row r="1223" spans="1:4" x14ac:dyDescent="0.2">
      <c r="A1223" s="5">
        <v>1162</v>
      </c>
      <c r="B1223" s="1832">
        <f>'Expenditures 15-22'!C127</f>
        <v>183028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183028</v>
      </c>
      <c r="C1225" s="2" t="s">
        <v>569</v>
      </c>
      <c r="D1225" s="2" t="str">
        <f t="shared" si="18"/>
        <v>Error?</v>
      </c>
    </row>
    <row r="1226" spans="1:4" x14ac:dyDescent="0.2">
      <c r="A1226" s="5">
        <v>1165</v>
      </c>
      <c r="B1226" s="1832">
        <f>'Expenditures 15-22'!C151</f>
        <v>183028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20899</v>
      </c>
      <c r="D1229" s="2" t="str">
        <f t="shared" si="18"/>
        <v>Error?</v>
      </c>
    </row>
    <row r="1230" spans="1:4" x14ac:dyDescent="0.2">
      <c r="A1230" s="10">
        <v>1169</v>
      </c>
      <c r="B1230" s="1832"/>
      <c r="D1230" s="2" t="str">
        <f t="shared" si="18"/>
        <v>OK</v>
      </c>
    </row>
    <row r="1231" spans="1:4" x14ac:dyDescent="0.2">
      <c r="A1231" s="5">
        <v>1170</v>
      </c>
      <c r="B1231" s="1832">
        <f>'Expenditures 15-22'!D127</f>
        <v>20899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20899</v>
      </c>
      <c r="C1233" s="2" t="s">
        <v>569</v>
      </c>
      <c r="D1233" s="2" t="str">
        <f t="shared" si="18"/>
        <v>Error?</v>
      </c>
    </row>
    <row r="1234" spans="1:4" x14ac:dyDescent="0.2">
      <c r="A1234" s="5">
        <v>1173</v>
      </c>
      <c r="B1234" s="1832">
        <f>'Expenditures 15-22'!D151</f>
        <v>20899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111887</v>
      </c>
      <c r="D1237" s="2" t="str">
        <f t="shared" si="18"/>
        <v>Error?</v>
      </c>
    </row>
    <row r="1238" spans="1:4" x14ac:dyDescent="0.2">
      <c r="A1238" s="10">
        <v>1177</v>
      </c>
      <c r="B1238" s="1832"/>
      <c r="D1238" s="2" t="str">
        <f t="shared" si="18"/>
        <v>OK</v>
      </c>
    </row>
    <row r="1239" spans="1:4" x14ac:dyDescent="0.2">
      <c r="A1239" s="5">
        <v>1178</v>
      </c>
      <c r="B1239" s="1832">
        <f>'Expenditures 15-22'!E127</f>
        <v>111887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111887</v>
      </c>
      <c r="C1241" s="2" t="s">
        <v>569</v>
      </c>
      <c r="D1241" s="2" t="str">
        <f t="shared" si="18"/>
        <v>Error?</v>
      </c>
    </row>
    <row r="1242" spans="1:4" x14ac:dyDescent="0.2">
      <c r="A1242" s="5">
        <v>1181</v>
      </c>
      <c r="B1242" s="1832">
        <f>'Expenditures 15-22'!E151</f>
        <v>111887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131698</v>
      </c>
      <c r="D1245" s="2" t="str">
        <f t="shared" si="18"/>
        <v>Error?</v>
      </c>
    </row>
    <row r="1246" spans="1:4" x14ac:dyDescent="0.2">
      <c r="A1246" s="10">
        <v>1185</v>
      </c>
      <c r="B1246" s="1832"/>
      <c r="D1246" s="2" t="str">
        <f t="shared" si="18"/>
        <v>OK</v>
      </c>
    </row>
    <row r="1247" spans="1:4" x14ac:dyDescent="0.2">
      <c r="A1247" s="5">
        <v>1186</v>
      </c>
      <c r="B1247" s="1832">
        <f>'Expenditures 15-22'!F127</f>
        <v>131698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131698</v>
      </c>
      <c r="C1249" s="2" t="s">
        <v>569</v>
      </c>
      <c r="D1249" s="2" t="str">
        <f t="shared" si="18"/>
        <v>Error?</v>
      </c>
    </row>
    <row r="1250" spans="1:4" x14ac:dyDescent="0.2">
      <c r="A1250" s="5">
        <v>1189</v>
      </c>
      <c r="B1250" s="1832">
        <f>'Expenditures 15-22'!F151</f>
        <v>131698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96372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96372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96372</v>
      </c>
      <c r="C1258" s="2" t="s">
        <v>569</v>
      </c>
      <c r="D1258" s="2" t="str">
        <f t="shared" si="18"/>
        <v>Error?</v>
      </c>
    </row>
    <row r="1259" spans="1:4" x14ac:dyDescent="0.2">
      <c r="A1259" s="5">
        <v>1198</v>
      </c>
      <c r="B1259" s="1832">
        <f>'Expenditures 15-22'!G151</f>
        <v>96372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543884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543884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543884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543884</v>
      </c>
      <c r="C1288" s="2" t="s">
        <v>569</v>
      </c>
      <c r="D1288" s="2" t="str">
        <f t="shared" si="19"/>
        <v>Error?</v>
      </c>
    </row>
    <row r="1289" spans="1:4" x14ac:dyDescent="0.2">
      <c r="A1289" s="5">
        <v>1228</v>
      </c>
      <c r="B1289" s="1832">
        <f>'Expenditures 15-22'!K152</f>
        <v>32617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78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145015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145015</v>
      </c>
      <c r="C1339" s="2" t="s">
        <v>569</v>
      </c>
      <c r="D1339" s="2" t="str">
        <f t="shared" si="19"/>
        <v>Error?</v>
      </c>
    </row>
    <row r="1340" spans="1:4" x14ac:dyDescent="0.2">
      <c r="A1340" s="5">
        <v>1279</v>
      </c>
      <c r="B1340" s="1832">
        <f>'Expenditures 15-22'!C210</f>
        <v>145015</v>
      </c>
      <c r="C1340" s="2" t="s">
        <v>569</v>
      </c>
      <c r="D1340" s="2" t="str">
        <f t="shared" si="19"/>
        <v>Error?</v>
      </c>
    </row>
    <row r="1341" spans="1:4" x14ac:dyDescent="0.2">
      <c r="A1341" s="5">
        <v>1280</v>
      </c>
      <c r="B1341" s="1832">
        <f>'Expenditures 15-22'!D182</f>
        <v>10933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10933</v>
      </c>
      <c r="C1345" s="2" t="s">
        <v>569</v>
      </c>
      <c r="D1345" s="2" t="str">
        <f t="shared" si="20"/>
        <v>Error?</v>
      </c>
    </row>
    <row r="1346" spans="1:4" x14ac:dyDescent="0.2">
      <c r="A1346" s="5">
        <v>1285</v>
      </c>
      <c r="B1346" s="1832">
        <f>'Expenditures 15-22'!D210</f>
        <v>10933</v>
      </c>
      <c r="C1346" s="2" t="s">
        <v>569</v>
      </c>
      <c r="D1346" s="2" t="str">
        <f t="shared" si="20"/>
        <v>Error?</v>
      </c>
    </row>
    <row r="1347" spans="1:4" x14ac:dyDescent="0.2">
      <c r="A1347" s="5">
        <v>1286</v>
      </c>
      <c r="B1347" s="1832">
        <f>'Expenditures 15-22'!E182</f>
        <v>21838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21838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21838</v>
      </c>
      <c r="C1353" s="2" t="s">
        <v>569</v>
      </c>
      <c r="D1353" s="2" t="str">
        <f t="shared" si="20"/>
        <v>Error?</v>
      </c>
    </row>
    <row r="1354" spans="1:4" x14ac:dyDescent="0.2">
      <c r="A1354" s="5">
        <v>1293</v>
      </c>
      <c r="B1354" s="1832">
        <f>'Expenditures 15-22'!F182</f>
        <v>59764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59764</v>
      </c>
      <c r="C1358" s="2" t="s">
        <v>569</v>
      </c>
      <c r="D1358" s="2" t="str">
        <f t="shared" si="20"/>
        <v>Error?</v>
      </c>
    </row>
    <row r="1359" spans="1:4" x14ac:dyDescent="0.2">
      <c r="A1359" s="5">
        <v>1298</v>
      </c>
      <c r="B1359" s="1832">
        <f>'Expenditures 15-22'!F210</f>
        <v>59764</v>
      </c>
      <c r="C1359" s="2" t="s">
        <v>569</v>
      </c>
      <c r="D1359" s="2" t="str">
        <f t="shared" si="20"/>
        <v>Error?</v>
      </c>
    </row>
    <row r="1360" spans="1:4" x14ac:dyDescent="0.2">
      <c r="A1360" s="5">
        <v>1299</v>
      </c>
      <c r="B1360" s="1832">
        <f>'Expenditures 15-22'!G182</f>
        <v>198154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198154</v>
      </c>
      <c r="C1364" s="2" t="s">
        <v>569</v>
      </c>
      <c r="D1364" s="2" t="str">
        <f t="shared" si="20"/>
        <v>Error?</v>
      </c>
    </row>
    <row r="1365" spans="1:4" x14ac:dyDescent="0.2">
      <c r="A1365" s="5">
        <v>1304</v>
      </c>
      <c r="B1365" s="1832">
        <f>'Expenditures 15-22'!G210</f>
        <v>198154</v>
      </c>
      <c r="C1365" s="2" t="s">
        <v>569</v>
      </c>
      <c r="D1365" s="2" t="str">
        <f t="shared" si="20"/>
        <v>Error?</v>
      </c>
    </row>
    <row r="1366" spans="1:4" x14ac:dyDescent="0.2">
      <c r="A1366" s="5">
        <v>1305</v>
      </c>
      <c r="B1366" s="1832">
        <f>'Expenditures 15-22'!H182</f>
        <v>691</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691</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691</v>
      </c>
      <c r="C1376" s="2" t="s">
        <v>569</v>
      </c>
      <c r="D1376" s="2" t="str">
        <f t="shared" si="20"/>
        <v>Error?</v>
      </c>
    </row>
    <row r="1377" spans="1:4" x14ac:dyDescent="0.2">
      <c r="A1377" s="5">
        <v>1316</v>
      </c>
      <c r="B1377" s="1832">
        <f>'Expenditures 15-22'!K182</f>
        <v>436395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436395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436395</v>
      </c>
      <c r="C1388" s="2" t="s">
        <v>569</v>
      </c>
      <c r="D1388" s="2" t="str">
        <f t="shared" si="20"/>
        <v>Error?</v>
      </c>
    </row>
    <row r="1389" spans="1:4" x14ac:dyDescent="0.2">
      <c r="A1389" s="5">
        <v>1328</v>
      </c>
      <c r="B1389" s="1832">
        <f>'Expenditures 15-22'!K211</f>
        <v>-63852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2386</v>
      </c>
      <c r="D1407" s="2" t="str">
        <f t="shared" ref="D1407:D1470" si="21">IF(ISBLANK(B1407),"OK",IF(A1407-B1407=0,"OK","Error?"))</f>
        <v>Error?</v>
      </c>
    </row>
    <row r="1408" spans="1:4" x14ac:dyDescent="0.2">
      <c r="A1408" s="5">
        <v>1347</v>
      </c>
      <c r="B1408" s="1832">
        <f>'Expenditures 15-22'!D223</f>
        <v>4380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40849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666</v>
      </c>
      <c r="D1412" s="2" t="str">
        <f t="shared" si="21"/>
        <v>Error?</v>
      </c>
    </row>
    <row r="1413" spans="1:4" x14ac:dyDescent="0.2">
      <c r="A1413" s="5">
        <v>1352</v>
      </c>
      <c r="B1413" s="1832">
        <f>'Expenditures 15-22'!D234</f>
        <v>2284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780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3730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3940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3940</v>
      </c>
      <c r="C1421" s="2" t="s">
        <v>569</v>
      </c>
      <c r="D1421" s="2" t="str">
        <f t="shared" si="21"/>
        <v>Error?</v>
      </c>
    </row>
    <row r="1422" spans="1:4" x14ac:dyDescent="0.2">
      <c r="A1422" s="5">
        <v>1361</v>
      </c>
      <c r="B1422" s="1832">
        <f>'Expenditures 15-22'!D245</f>
        <v>1111</v>
      </c>
      <c r="D1422" s="2" t="str">
        <f t="shared" si="21"/>
        <v>Error?</v>
      </c>
    </row>
    <row r="1423" spans="1:4" x14ac:dyDescent="0.2">
      <c r="A1423" s="5">
        <v>1362</v>
      </c>
      <c r="B1423" s="1832">
        <f>'Expenditures 15-22'!D246</f>
        <v>5661</v>
      </c>
      <c r="D1423" s="2" t="str">
        <f t="shared" si="21"/>
        <v>Error?</v>
      </c>
    </row>
    <row r="1424" spans="1:4" x14ac:dyDescent="0.2">
      <c r="A1424" s="5">
        <v>1363</v>
      </c>
      <c r="B1424" s="1832">
        <f>'Expenditures 15-22'!D257</f>
        <v>26540</v>
      </c>
      <c r="C1424" s="2" t="s">
        <v>569</v>
      </c>
      <c r="D1424" s="2" t="str">
        <f t="shared" si="21"/>
        <v>Error?</v>
      </c>
    </row>
    <row r="1425" spans="1:4" x14ac:dyDescent="0.2">
      <c r="A1425" s="5">
        <v>1364</v>
      </c>
      <c r="B1425" s="1832">
        <f>'Expenditures 15-22'!D259</f>
        <v>7393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7393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6742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23728</v>
      </c>
      <c r="D1431" s="2" t="str">
        <f t="shared" si="21"/>
        <v>Error?</v>
      </c>
    </row>
    <row r="1432" spans="1:4" x14ac:dyDescent="0.2">
      <c r="A1432" s="5">
        <v>1371</v>
      </c>
      <c r="B1432" s="1832">
        <f>'Expenditures 15-22'!D267</f>
        <v>20986</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51456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1204</v>
      </c>
      <c r="D1442" s="2" t="str">
        <f t="shared" si="21"/>
        <v>Error?</v>
      </c>
    </row>
    <row r="1443" spans="1:4" x14ac:dyDescent="0.2">
      <c r="A1443" s="10">
        <v>1382</v>
      </c>
      <c r="B1443" s="1832"/>
      <c r="D1443" s="2" t="str">
        <f t="shared" si="21"/>
        <v>OK</v>
      </c>
    </row>
    <row r="1444" spans="1:4" x14ac:dyDescent="0.2">
      <c r="A1444" s="5">
        <v>1383</v>
      </c>
      <c r="B1444" s="1832">
        <f>'Expenditures 15-22'!D277</f>
        <v>1204</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94263</v>
      </c>
      <c r="C1446" s="2" t="s">
        <v>569</v>
      </c>
      <c r="D1446" s="2" t="str">
        <f t="shared" si="21"/>
        <v>Error?</v>
      </c>
    </row>
    <row r="1447" spans="1:4" x14ac:dyDescent="0.2">
      <c r="A1447" s="5">
        <v>1386</v>
      </c>
      <c r="B1447" s="1832">
        <f>'Expenditures 15-22'!D280</f>
        <v>20586</v>
      </c>
      <c r="D1447" s="2" t="str">
        <f t="shared" si="21"/>
        <v>Error?</v>
      </c>
    </row>
    <row r="1448" spans="1:4" x14ac:dyDescent="0.2">
      <c r="A1448" s="5">
        <v>1387</v>
      </c>
      <c r="B1448" s="1832">
        <f>'Expenditures 15-22'!D295</f>
        <v>155698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2386</v>
      </c>
      <c r="C1471" s="2" t="s">
        <v>569</v>
      </c>
      <c r="D1471" s="2" t="str">
        <f t="shared" ref="D1471:D1534" si="22">IF(ISBLANK(B1471),"OK",IF(A1471-B1471=0,"OK","Error?"))</f>
        <v>Error?</v>
      </c>
    </row>
    <row r="1472" spans="1:4" x14ac:dyDescent="0.2">
      <c r="A1472" s="5">
        <v>1411</v>
      </c>
      <c r="B1472" s="1832">
        <f>'Expenditures 15-22'!K223</f>
        <v>4380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40849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666</v>
      </c>
      <c r="C1476" s="2" t="s">
        <v>569</v>
      </c>
      <c r="D1476" s="2" t="str">
        <f t="shared" si="22"/>
        <v>Error?</v>
      </c>
    </row>
    <row r="1477" spans="1:4" x14ac:dyDescent="0.2">
      <c r="A1477" s="5">
        <v>1416</v>
      </c>
      <c r="B1477" s="1832">
        <f>'Expenditures 15-22'!K234</f>
        <v>2284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780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3730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3940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3940</v>
      </c>
      <c r="C1485" s="2" t="s">
        <v>569</v>
      </c>
      <c r="D1485" s="2" t="str">
        <f t="shared" si="22"/>
        <v>Error?</v>
      </c>
    </row>
    <row r="1486" spans="1:4" x14ac:dyDescent="0.2">
      <c r="A1486" s="5">
        <v>1425</v>
      </c>
      <c r="B1486" s="1832">
        <f>'Expenditures 15-22'!K245</f>
        <v>1111</v>
      </c>
      <c r="C1486" s="2" t="s">
        <v>569</v>
      </c>
      <c r="D1486" s="2" t="str">
        <f t="shared" si="22"/>
        <v>Error?</v>
      </c>
    </row>
    <row r="1487" spans="1:4" x14ac:dyDescent="0.2">
      <c r="A1487" s="5">
        <v>1426</v>
      </c>
      <c r="B1487" s="1832">
        <f>'Expenditures 15-22'!K246</f>
        <v>5661</v>
      </c>
      <c r="C1487" s="2" t="s">
        <v>569</v>
      </c>
      <c r="D1487" s="2" t="str">
        <f t="shared" si="22"/>
        <v>Error?</v>
      </c>
    </row>
    <row r="1488" spans="1:4" x14ac:dyDescent="0.2">
      <c r="A1488" s="5">
        <v>1427</v>
      </c>
      <c r="B1488" s="1832">
        <f>'Expenditures 15-22'!K257</f>
        <v>26540</v>
      </c>
      <c r="C1488" s="2" t="s">
        <v>569</v>
      </c>
      <c r="D1488" s="2" t="str">
        <f t="shared" si="22"/>
        <v>Error?</v>
      </c>
    </row>
    <row r="1489" spans="1:4" x14ac:dyDescent="0.2">
      <c r="A1489" s="5">
        <v>1428</v>
      </c>
      <c r="B1489" s="1832">
        <f>'Expenditures 15-22'!K259</f>
        <v>7393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7393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6742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23728</v>
      </c>
      <c r="C1495" s="2" t="s">
        <v>569</v>
      </c>
      <c r="D1495" s="2" t="str">
        <f t="shared" si="22"/>
        <v>Error?</v>
      </c>
    </row>
    <row r="1496" spans="1:4" x14ac:dyDescent="0.2">
      <c r="A1496" s="5">
        <v>1435</v>
      </c>
      <c r="B1496" s="1832">
        <f>'Expenditures 15-22'!K267</f>
        <v>20986</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51456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1204</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1204</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94263</v>
      </c>
      <c r="C1510" s="2" t="s">
        <v>569</v>
      </c>
      <c r="D1510" s="2" t="str">
        <f t="shared" si="22"/>
        <v>Error?</v>
      </c>
    </row>
    <row r="1511" spans="1:4" x14ac:dyDescent="0.2">
      <c r="A1511" s="5">
        <v>1450</v>
      </c>
      <c r="B1511" s="1832">
        <f>'Expenditures 15-22'!K280</f>
        <v>20586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155698</v>
      </c>
      <c r="C1517" s="2" t="s">
        <v>569</v>
      </c>
      <c r="D1517" s="2" t="str">
        <f t="shared" si="22"/>
        <v>Error?</v>
      </c>
    </row>
    <row r="1518" spans="1:4" x14ac:dyDescent="0.2">
      <c r="A1518" s="5">
        <v>1457</v>
      </c>
      <c r="B1518" s="1832">
        <f>'Expenditures 15-22'!K296</f>
        <v>-29433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32824</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32824</v>
      </c>
      <c r="C1541" s="2" t="s">
        <v>569</v>
      </c>
      <c r="D1541" s="2" t="str">
        <f t="shared" si="23"/>
        <v>Error?</v>
      </c>
    </row>
    <row r="1542" spans="1:4" x14ac:dyDescent="0.2">
      <c r="A1542" s="5">
        <v>1481</v>
      </c>
      <c r="B1542" s="1832">
        <f>'Expenditures 15-22'!F312</f>
        <v>32824</v>
      </c>
      <c r="C1542" s="2" t="s">
        <v>569</v>
      </c>
      <c r="D1542" s="2" t="str">
        <f t="shared" si="23"/>
        <v>Error?</v>
      </c>
    </row>
    <row r="1543" spans="1:4" x14ac:dyDescent="0.2">
      <c r="A1543" s="5">
        <v>1482</v>
      </c>
      <c r="B1543" s="1832">
        <f>'Expenditures 15-22'!G301</f>
        <v>194338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194338</v>
      </c>
      <c r="C1547" s="2" t="s">
        <v>569</v>
      </c>
      <c r="D1547" s="2" t="str">
        <f t="shared" si="23"/>
        <v>Error?</v>
      </c>
    </row>
    <row r="1548" spans="1:4" x14ac:dyDescent="0.2">
      <c r="A1548" s="5">
        <v>1487</v>
      </c>
      <c r="B1548" s="1832">
        <f>'Expenditures 15-22'!G312</f>
        <v>194338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227162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227162</v>
      </c>
      <c r="C1559" s="2" t="s">
        <v>569</v>
      </c>
      <c r="D1559" s="2" t="str">
        <f t="shared" si="23"/>
        <v>Error?</v>
      </c>
    </row>
    <row r="1560" spans="1:4" x14ac:dyDescent="0.2">
      <c r="A1560" s="5">
        <v>1499</v>
      </c>
      <c r="B1560" s="1832">
        <f>'Expenditures 15-22'!K312</f>
        <v>227162</v>
      </c>
      <c r="C1560" s="2" t="s">
        <v>569</v>
      </c>
      <c r="D1560" s="2" t="str">
        <f t="shared" si="23"/>
        <v>Error?</v>
      </c>
    </row>
    <row r="1561" spans="1:4" x14ac:dyDescent="0.2">
      <c r="A1561" s="5">
        <v>1500</v>
      </c>
      <c r="B1561" s="1832">
        <f>'Expenditures 15-22'!K313</f>
        <v>-47473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4098821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4989736</v>
      </c>
      <c r="C1630" s="2" t="s">
        <v>569</v>
      </c>
      <c r="D1630" s="2" t="str">
        <f t="shared" si="24"/>
        <v>Error?</v>
      </c>
    </row>
    <row r="1631" spans="1:4" x14ac:dyDescent="0.2">
      <c r="A1631" s="5">
        <v>1570</v>
      </c>
      <c r="B1631" s="1832">
        <f>'Acct Summary 7-8'!D79</f>
        <v>530764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748848</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716647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652795</v>
      </c>
      <c r="C1672" s="2" t="s">
        <v>569</v>
      </c>
      <c r="D1672" s="2" t="str">
        <f t="shared" si="25"/>
        <v>Error?</v>
      </c>
    </row>
    <row r="1673" spans="1:4" x14ac:dyDescent="0.2">
      <c r="A1673" s="5">
        <v>1612</v>
      </c>
      <c r="B1673" s="1832">
        <f>'Acct Summary 7-8'!G79</f>
        <v>197758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168325</v>
      </c>
      <c r="C1686" s="2" t="s">
        <v>569</v>
      </c>
      <c r="D1686" s="2" t="str">
        <f t="shared" si="25"/>
        <v>Error?</v>
      </c>
    </row>
    <row r="1687" spans="1:4" x14ac:dyDescent="0.2">
      <c r="A1687" s="5">
        <v>1626</v>
      </c>
      <c r="B1687" s="1832">
        <f>'Acct Summary 7-8'!H79</f>
        <v>167663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120190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2545674</v>
      </c>
      <c r="C1744" s="2" t="s">
        <v>569</v>
      </c>
      <c r="D1744" s="2" t="str">
        <f t="shared" si="26"/>
        <v>Error?</v>
      </c>
    </row>
    <row r="1745" spans="1:5" x14ac:dyDescent="0.2">
      <c r="A1745" s="5">
        <v>1684</v>
      </c>
      <c r="B1745" s="1832">
        <f>'Tax Sched 23'!B5</f>
        <v>509134</v>
      </c>
      <c r="C1745" s="2" t="s">
        <v>569</v>
      </c>
      <c r="D1745" s="2" t="str">
        <f t="shared" si="26"/>
        <v>Error?</v>
      </c>
    </row>
    <row r="1746" spans="1:5" x14ac:dyDescent="0.2">
      <c r="A1746" s="5">
        <v>1685</v>
      </c>
      <c r="B1746" s="1832">
        <f>'Tax Sched 23'!B6</f>
        <v>78</v>
      </c>
      <c r="C1746" s="2" t="s">
        <v>569</v>
      </c>
      <c r="D1746" s="2" t="str">
        <f t="shared" si="26"/>
        <v>Error?</v>
      </c>
    </row>
    <row r="1747" spans="1:5" x14ac:dyDescent="0.2">
      <c r="A1747" s="5">
        <v>1686</v>
      </c>
      <c r="B1747" s="1832">
        <f>'Tax Sched 23'!B7</f>
        <v>203654</v>
      </c>
      <c r="C1747" s="2" t="s">
        <v>569</v>
      </c>
      <c r="D1747" s="2" t="str">
        <f t="shared" si="26"/>
        <v>Error?</v>
      </c>
    </row>
    <row r="1748" spans="1:5" x14ac:dyDescent="0.2">
      <c r="A1748" s="5">
        <v>1687</v>
      </c>
      <c r="B1748" s="1832">
        <f>'Tax Sched 23'!B8</f>
        <v>55481</v>
      </c>
      <c r="C1748" s="2" t="s">
        <v>569</v>
      </c>
      <c r="D1748" s="2" t="str">
        <f t="shared" si="26"/>
        <v>Error?</v>
      </c>
    </row>
    <row r="1749" spans="1:5" x14ac:dyDescent="0.2">
      <c r="A1749" s="5">
        <v>1688</v>
      </c>
      <c r="B1749" s="1832">
        <f>'Tax Sched 23'!B10</f>
        <v>50914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224858</v>
      </c>
      <c r="C1752" s="2" t="s">
        <v>569</v>
      </c>
      <c r="D1752" s="2" t="str">
        <f t="shared" si="26"/>
        <v>Error?</v>
      </c>
    </row>
    <row r="1753" spans="1:5" x14ac:dyDescent="0.2">
      <c r="A1753" s="5">
        <v>1692</v>
      </c>
      <c r="B1753" s="1832">
        <f>'Tax Sched 23'!B12</f>
        <v>50914</v>
      </c>
      <c r="C1753" s="2" t="s">
        <v>569</v>
      </c>
      <c r="D1753" s="2" t="str">
        <f t="shared" si="26"/>
        <v>Error?</v>
      </c>
    </row>
    <row r="1754" spans="1:5" x14ac:dyDescent="0.2">
      <c r="A1754" s="5">
        <v>1693</v>
      </c>
      <c r="B1754" s="1832">
        <f>'Tax Sched 23'!B14</f>
        <v>40731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3787833</v>
      </c>
      <c r="C1759" s="2" t="s">
        <v>569</v>
      </c>
      <c r="D1759" s="2" t="str">
        <f t="shared" si="26"/>
        <v>Error?</v>
      </c>
    </row>
    <row r="1760" spans="1:5" x14ac:dyDescent="0.2">
      <c r="A1760" s="5">
        <v>1699</v>
      </c>
      <c r="B1760" s="1832">
        <f>'Tax Sched 23'!D4</f>
        <v>2545674</v>
      </c>
      <c r="C1760" s="2" t="s">
        <v>569</v>
      </c>
      <c r="D1760" s="2" t="str">
        <f t="shared" si="26"/>
        <v>Error?</v>
      </c>
    </row>
    <row r="1761" spans="1:7" x14ac:dyDescent="0.2">
      <c r="A1761" s="5">
        <v>1700</v>
      </c>
      <c r="B1761" s="1832">
        <f>'Tax Sched 23'!D5</f>
        <v>509134</v>
      </c>
      <c r="C1761" s="2" t="s">
        <v>569</v>
      </c>
      <c r="D1761" s="2" t="str">
        <f t="shared" si="26"/>
        <v>Error?</v>
      </c>
    </row>
    <row r="1762" spans="1:7" s="8" customFormat="1" x14ac:dyDescent="0.2">
      <c r="A1762" s="5">
        <v>1701</v>
      </c>
      <c r="B1762" s="1832">
        <f>'Tax Sched 23'!D6</f>
        <v>78</v>
      </c>
      <c r="C1762" s="2" t="s">
        <v>569</v>
      </c>
      <c r="D1762" s="2" t="str">
        <f t="shared" si="26"/>
        <v>Error?</v>
      </c>
      <c r="E1762" s="9"/>
      <c r="G1762"/>
    </row>
    <row r="1763" spans="1:7" x14ac:dyDescent="0.2">
      <c r="A1763" s="5">
        <v>1702</v>
      </c>
      <c r="B1763" s="1832">
        <f>'Tax Sched 23'!D7</f>
        <v>203654</v>
      </c>
      <c r="C1763" s="2" t="s">
        <v>569</v>
      </c>
      <c r="D1763" s="2" t="str">
        <f t="shared" si="26"/>
        <v>Error?</v>
      </c>
    </row>
    <row r="1764" spans="1:7" x14ac:dyDescent="0.2">
      <c r="A1764" s="5">
        <v>1703</v>
      </c>
      <c r="B1764" s="1832">
        <f>'Tax Sched 23'!D8</f>
        <v>55481</v>
      </c>
      <c r="C1764" s="2" t="s">
        <v>569</v>
      </c>
      <c r="D1764" s="2" t="str">
        <f t="shared" si="26"/>
        <v>Error?</v>
      </c>
    </row>
    <row r="1765" spans="1:7" x14ac:dyDescent="0.2">
      <c r="A1765" s="5">
        <v>1704</v>
      </c>
      <c r="B1765" s="1832">
        <f>'Tax Sched 23'!D10</f>
        <v>50914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224858</v>
      </c>
      <c r="C1768" s="2" t="s">
        <v>569</v>
      </c>
      <c r="D1768" s="2" t="str">
        <f t="shared" si="26"/>
        <v>Error?</v>
      </c>
    </row>
    <row r="1769" spans="1:7" x14ac:dyDescent="0.2">
      <c r="A1769" s="5">
        <v>1708</v>
      </c>
      <c r="B1769" s="1832">
        <f>'Tax Sched 23'!D12</f>
        <v>50914</v>
      </c>
      <c r="C1769" s="2" t="s">
        <v>569</v>
      </c>
      <c r="D1769" s="2" t="str">
        <f t="shared" si="26"/>
        <v>Error?</v>
      </c>
    </row>
    <row r="1770" spans="1:7" x14ac:dyDescent="0.2">
      <c r="A1770" s="5">
        <v>1709</v>
      </c>
      <c r="B1770" s="1832">
        <f>'Tax Sched 23'!D14</f>
        <v>40731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3787833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1760763</v>
      </c>
      <c r="C1792" s="2" t="s">
        <v>569</v>
      </c>
      <c r="D1792" s="2" t="str">
        <f t="shared" si="27"/>
        <v>Error?</v>
      </c>
    </row>
    <row r="1793" spans="1:4" x14ac:dyDescent="0.2">
      <c r="A1793" s="5">
        <v>1732</v>
      </c>
      <c r="B1793" s="1832">
        <f>'Tax Sched 23'!F5</f>
        <v>351357</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140414</v>
      </c>
      <c r="C1795" s="2" t="s">
        <v>569</v>
      </c>
      <c r="D1795" s="2" t="str">
        <f t="shared" si="27"/>
        <v>Error?</v>
      </c>
    </row>
    <row r="1796" spans="1:4" x14ac:dyDescent="0.2">
      <c r="A1796" s="5">
        <v>1735</v>
      </c>
      <c r="B1796" s="1832">
        <f>'Tax Sched 23'!F8</f>
        <v>32958</v>
      </c>
      <c r="C1796" s="2" t="s">
        <v>569</v>
      </c>
      <c r="D1796" s="2" t="str">
        <f t="shared" si="27"/>
        <v>Error?</v>
      </c>
    </row>
    <row r="1797" spans="1:4" x14ac:dyDescent="0.2">
      <c r="A1797" s="5">
        <v>1736</v>
      </c>
      <c r="B1797" s="1832">
        <f>'Tax Sched 23'!F10</f>
        <v>35201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151620</v>
      </c>
      <c r="C1800" s="2" t="s">
        <v>569</v>
      </c>
      <c r="D1800" s="2" t="str">
        <f t="shared" si="27"/>
        <v>Error?</v>
      </c>
    </row>
    <row r="1801" spans="1:4" x14ac:dyDescent="0.2">
      <c r="A1801" s="5">
        <v>1740</v>
      </c>
      <c r="B1801" s="1832">
        <f>'Tax Sched 23'!F12</f>
        <v>35201</v>
      </c>
      <c r="C1801" s="2" t="s">
        <v>569</v>
      </c>
      <c r="D1801" s="2" t="str">
        <f t="shared" si="27"/>
        <v>Error?</v>
      </c>
    </row>
    <row r="1802" spans="1:4" x14ac:dyDescent="0.2">
      <c r="A1802" s="5">
        <v>1741</v>
      </c>
      <c r="B1802" s="1832">
        <f>'Tax Sched 23'!F14</f>
        <v>28296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2603969</v>
      </c>
      <c r="C1807" s="2" t="s">
        <v>569</v>
      </c>
      <c r="D1807" s="2" t="str">
        <f t="shared" si="27"/>
        <v>Error?</v>
      </c>
    </row>
    <row r="1808" spans="1:4" x14ac:dyDescent="0.2">
      <c r="A1808" s="5">
        <v>1747</v>
      </c>
      <c r="B1808" s="1832">
        <f>'Tax Sched 23'!E4</f>
        <v>1760763</v>
      </c>
      <c r="D1808" s="2" t="str">
        <f t="shared" si="27"/>
        <v>Error?</v>
      </c>
    </row>
    <row r="1809" spans="1:4" x14ac:dyDescent="0.2">
      <c r="A1809" s="5">
        <v>1748</v>
      </c>
      <c r="B1809" s="1832">
        <f>'Tax Sched 23'!E5</f>
        <v>351357</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140414</v>
      </c>
      <c r="D1811" s="2" t="str">
        <f t="shared" si="27"/>
        <v>Error?</v>
      </c>
    </row>
    <row r="1812" spans="1:4" x14ac:dyDescent="0.2">
      <c r="A1812" s="5">
        <v>1751</v>
      </c>
      <c r="B1812" s="1832">
        <f>'Tax Sched 23'!E8</f>
        <v>32958</v>
      </c>
      <c r="D1812" s="2" t="str">
        <f t="shared" si="27"/>
        <v>Error?</v>
      </c>
    </row>
    <row r="1813" spans="1:4" x14ac:dyDescent="0.2">
      <c r="A1813" s="5">
        <v>1752</v>
      </c>
      <c r="B1813" s="1832">
        <f>'Tax Sched 23'!E10</f>
        <v>35201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151620</v>
      </c>
      <c r="D1816" s="2" t="str">
        <f t="shared" si="27"/>
        <v>Error?</v>
      </c>
    </row>
    <row r="1817" spans="1:4" x14ac:dyDescent="0.2">
      <c r="A1817" s="5">
        <v>1756</v>
      </c>
      <c r="B1817" s="1832">
        <f>'Tax Sched 23'!E12</f>
        <v>35201</v>
      </c>
      <c r="D1817" s="2" t="str">
        <f t="shared" si="27"/>
        <v>Error?</v>
      </c>
    </row>
    <row r="1818" spans="1:4" x14ac:dyDescent="0.2">
      <c r="A1818" s="5">
        <v>1757</v>
      </c>
      <c r="B1818" s="1832">
        <f>'Tax Sched 23'!E14</f>
        <v>28296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2603969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40731</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40731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40731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78704</v>
      </c>
      <c r="D2008" s="2" t="str">
        <f t="shared" si="30"/>
        <v>Error?</v>
      </c>
    </row>
    <row r="2009" spans="1:4" x14ac:dyDescent="0.2">
      <c r="A2009" s="5">
        <v>1948</v>
      </c>
      <c r="B2009" s="1832">
        <f>'Cap Outlay Deprec 26'!C8</f>
        <v>4341571</v>
      </c>
      <c r="D2009" s="2" t="str">
        <f t="shared" si="30"/>
        <v>Error?</v>
      </c>
    </row>
    <row r="2010" spans="1:4" x14ac:dyDescent="0.2">
      <c r="A2010" s="5">
        <v>1949</v>
      </c>
      <c r="B2010" s="1832">
        <f>'Cap Outlay Deprec 26'!C10</f>
        <v>741586</v>
      </c>
      <c r="D2010" s="2" t="str">
        <f t="shared" si="30"/>
        <v>Error?</v>
      </c>
    </row>
    <row r="2011" spans="1:4" x14ac:dyDescent="0.2">
      <c r="A2011" s="5">
        <v>1950</v>
      </c>
      <c r="B2011" s="1832">
        <f>'Cap Outlay Deprec 26'!C12</f>
        <v>1057251</v>
      </c>
      <c r="D2011" s="2" t="str">
        <f t="shared" si="30"/>
        <v>Error?</v>
      </c>
    </row>
    <row r="2012" spans="1:4" x14ac:dyDescent="0.2">
      <c r="A2012" s="5">
        <v>1951</v>
      </c>
      <c r="B2012" s="1832">
        <f>'Cap Outlay Deprec 26'!C13</f>
        <v>1764396</v>
      </c>
      <c r="D2012" s="2" t="str">
        <f t="shared" si="30"/>
        <v>Error?</v>
      </c>
    </row>
    <row r="2013" spans="1:4" x14ac:dyDescent="0.2">
      <c r="A2013" s="5">
        <v>1952</v>
      </c>
      <c r="B2013" s="1832">
        <f>'Cap Outlay Deprec 26'!C16</f>
        <v>7983508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290710</v>
      </c>
      <c r="D2016" s="2" t="str">
        <f t="shared" si="30"/>
        <v>Error?</v>
      </c>
    </row>
    <row r="2017" spans="1:4" x14ac:dyDescent="0.2">
      <c r="A2017" s="5">
        <v>1956</v>
      </c>
      <c r="B2017" s="1832">
        <f>'Cap Outlay Deprec 26'!D12</f>
        <v>70782</v>
      </c>
      <c r="D2017" s="2" t="str">
        <f t="shared" si="30"/>
        <v>Error?</v>
      </c>
    </row>
    <row r="2018" spans="1:4" x14ac:dyDescent="0.2">
      <c r="A2018" s="5">
        <v>1957</v>
      </c>
      <c r="B2018" s="1832">
        <f>'Cap Outlay Deprec 26'!D13</f>
        <v>198154</v>
      </c>
      <c r="D2018" s="2" t="str">
        <f t="shared" si="30"/>
        <v>Error?</v>
      </c>
    </row>
    <row r="2019" spans="1:4" x14ac:dyDescent="0.2">
      <c r="A2019" s="5">
        <v>1958</v>
      </c>
      <c r="B2019" s="1832">
        <f>'Cap Outlay Deprec 26'!D16</f>
        <v>559646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78704</v>
      </c>
      <c r="C2026" s="2" t="s">
        <v>569</v>
      </c>
      <c r="D2026" s="2" t="str">
        <f t="shared" si="30"/>
        <v>Error?</v>
      </c>
    </row>
    <row r="2027" spans="1:4" x14ac:dyDescent="0.2">
      <c r="A2027" s="5">
        <v>1966</v>
      </c>
      <c r="B2027" s="1832">
        <f>'Cap Outlay Deprec 26'!F8</f>
        <v>4341571</v>
      </c>
      <c r="C2027" s="2" t="s">
        <v>569</v>
      </c>
      <c r="D2027" s="2" t="str">
        <f t="shared" si="30"/>
        <v>Error?</v>
      </c>
    </row>
    <row r="2028" spans="1:4" x14ac:dyDescent="0.2">
      <c r="A2028" s="5">
        <v>1967</v>
      </c>
      <c r="B2028" s="1832">
        <f>'Cap Outlay Deprec 26'!F10</f>
        <v>1032296</v>
      </c>
      <c r="C2028" s="2" t="s">
        <v>569</v>
      </c>
      <c r="D2028" s="2" t="str">
        <f t="shared" si="30"/>
        <v>Error?</v>
      </c>
    </row>
    <row r="2029" spans="1:4" x14ac:dyDescent="0.2">
      <c r="A2029" s="5">
        <v>1968</v>
      </c>
      <c r="B2029" s="1832">
        <f>'Cap Outlay Deprec 26'!F12</f>
        <v>1128033</v>
      </c>
      <c r="C2029" s="2" t="s">
        <v>569</v>
      </c>
      <c r="D2029" s="2" t="str">
        <f t="shared" si="30"/>
        <v>Error?</v>
      </c>
    </row>
    <row r="2030" spans="1:4" x14ac:dyDescent="0.2">
      <c r="A2030" s="5">
        <v>1969</v>
      </c>
      <c r="B2030" s="1832">
        <f>'Cap Outlay Deprec 26'!F13</f>
        <v>1962550</v>
      </c>
      <c r="C2030" s="2" t="s">
        <v>569</v>
      </c>
      <c r="D2030" s="2" t="str">
        <f t="shared" si="30"/>
        <v>Error?</v>
      </c>
    </row>
    <row r="2031" spans="1:4" x14ac:dyDescent="0.2">
      <c r="A2031" s="5">
        <v>1970</v>
      </c>
      <c r="B2031" s="1832">
        <f>'Cap Outlay Deprec 26'!F16</f>
        <v>8543154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3398675</v>
      </c>
      <c r="D2033" s="2" t="str">
        <f t="shared" si="30"/>
        <v>Error?</v>
      </c>
    </row>
    <row r="2034" spans="1:4" x14ac:dyDescent="0.2">
      <c r="A2034" s="5">
        <v>1973</v>
      </c>
      <c r="B2034" s="1832">
        <f>'Cap Outlay Deprec 26'!H10</f>
        <v>427581</v>
      </c>
      <c r="D2034" s="2" t="str">
        <f t="shared" si="30"/>
        <v>Error?</v>
      </c>
    </row>
    <row r="2035" spans="1:4" x14ac:dyDescent="0.2">
      <c r="A2035" s="5">
        <v>1974</v>
      </c>
      <c r="B2035" s="1832">
        <f>'Cap Outlay Deprec 26'!H12</f>
        <v>748774</v>
      </c>
      <c r="D2035" s="2" t="str">
        <f t="shared" si="30"/>
        <v>Error?</v>
      </c>
    </row>
    <row r="2036" spans="1:4" x14ac:dyDescent="0.2">
      <c r="A2036" s="5">
        <v>1975</v>
      </c>
      <c r="B2036" s="1832">
        <f>'Cap Outlay Deprec 26'!H13</f>
        <v>1615586</v>
      </c>
      <c r="D2036" s="2" t="str">
        <f t="shared" si="30"/>
        <v>Error?</v>
      </c>
    </row>
    <row r="2037" spans="1:4" x14ac:dyDescent="0.2">
      <c r="A2037" s="5">
        <v>1976</v>
      </c>
      <c r="B2037" s="1832">
        <f>'Cap Outlay Deprec 26'!H16</f>
        <v>6190616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71033</v>
      </c>
      <c r="D2039" s="2" t="str">
        <f t="shared" si="30"/>
        <v>Error?</v>
      </c>
    </row>
    <row r="2040" spans="1:4" x14ac:dyDescent="0.2">
      <c r="A2040" s="5">
        <v>1979</v>
      </c>
      <c r="B2040" s="1832">
        <f>'Cap Outlay Deprec 26'!I10</f>
        <v>46823</v>
      </c>
      <c r="D2040" s="2" t="str">
        <f t="shared" si="30"/>
        <v>Error?</v>
      </c>
    </row>
    <row r="2041" spans="1:4" x14ac:dyDescent="0.2">
      <c r="A2041" s="5">
        <v>1980</v>
      </c>
      <c r="B2041" s="1832">
        <f>'Cap Outlay Deprec 26'!I12</f>
        <v>51640</v>
      </c>
      <c r="D2041" s="2" t="str">
        <f t="shared" si="30"/>
        <v>Error?</v>
      </c>
    </row>
    <row r="2042" spans="1:4" x14ac:dyDescent="0.2">
      <c r="A2042" s="5">
        <v>1981</v>
      </c>
      <c r="B2042" s="1832">
        <f>'Cap Outlay Deprec 26'!I13</f>
        <v>75342</v>
      </c>
      <c r="D2042" s="2" t="str">
        <f t="shared" si="30"/>
        <v>Error?</v>
      </c>
    </row>
    <row r="2043" spans="1:4" x14ac:dyDescent="0.2">
      <c r="A2043" s="5">
        <v>1982</v>
      </c>
      <c r="B2043" s="1832">
        <f>'Cap Outlay Deprec 26'!I16</f>
        <v>244838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3469708</v>
      </c>
      <c r="C2051" s="2" t="s">
        <v>569</v>
      </c>
      <c r="D2051" s="2" t="str">
        <f t="shared" si="31"/>
        <v>Error?</v>
      </c>
    </row>
    <row r="2052" spans="1:4" x14ac:dyDescent="0.2">
      <c r="A2052" s="5">
        <v>1991</v>
      </c>
      <c r="B2052" s="1832">
        <f>'Cap Outlay Deprec 26'!K10</f>
        <v>474404</v>
      </c>
      <c r="C2052" s="2" t="s">
        <v>569</v>
      </c>
      <c r="D2052" s="2" t="str">
        <f t="shared" si="31"/>
        <v>Error?</v>
      </c>
    </row>
    <row r="2053" spans="1:4" x14ac:dyDescent="0.2">
      <c r="A2053" s="5">
        <v>1992</v>
      </c>
      <c r="B2053" s="1832">
        <f>'Cap Outlay Deprec 26'!K12</f>
        <v>800414</v>
      </c>
      <c r="C2053" s="2" t="s">
        <v>569</v>
      </c>
      <c r="D2053" s="2" t="str">
        <f t="shared" si="31"/>
        <v>Error?</v>
      </c>
    </row>
    <row r="2054" spans="1:4" x14ac:dyDescent="0.2">
      <c r="A2054" s="5">
        <v>1993</v>
      </c>
      <c r="B2054" s="1832">
        <f>'Cap Outlay Deprec 26'!K13</f>
        <v>1690928</v>
      </c>
      <c r="C2054" s="2" t="s">
        <v>569</v>
      </c>
      <c r="D2054" s="2" t="str">
        <f t="shared" si="31"/>
        <v>Error?</v>
      </c>
    </row>
    <row r="2055" spans="1:4" x14ac:dyDescent="0.2">
      <c r="A2055" s="5">
        <v>1994</v>
      </c>
      <c r="B2055" s="1832">
        <f>'Cap Outlay Deprec 26'!K16</f>
        <v>6435454</v>
      </c>
      <c r="C2055" s="2" t="s">
        <v>569</v>
      </c>
      <c r="D2055" s="2" t="str">
        <f t="shared" si="31"/>
        <v>Error?</v>
      </c>
    </row>
    <row r="2056" spans="1:4" x14ac:dyDescent="0.2">
      <c r="A2056" s="5">
        <v>1995</v>
      </c>
      <c r="B2056" s="1832">
        <f>'Cap Outlay Deprec 26'!L5</f>
        <v>78704</v>
      </c>
      <c r="C2056" s="2" t="s">
        <v>569</v>
      </c>
      <c r="D2056" s="2" t="str">
        <f t="shared" si="31"/>
        <v>Error?</v>
      </c>
    </row>
    <row r="2057" spans="1:4" x14ac:dyDescent="0.2">
      <c r="A2057" s="5">
        <v>1996</v>
      </c>
      <c r="B2057" s="1832">
        <f>'Cap Outlay Deprec 26'!L8</f>
        <v>871863</v>
      </c>
      <c r="C2057" s="2" t="s">
        <v>569</v>
      </c>
      <c r="D2057" s="2" t="str">
        <f t="shared" si="31"/>
        <v>Error?</v>
      </c>
    </row>
    <row r="2058" spans="1:4" x14ac:dyDescent="0.2">
      <c r="A2058" s="5">
        <v>1997</v>
      </c>
      <c r="B2058" s="1832">
        <f>'Cap Outlay Deprec 26'!L10</f>
        <v>557892</v>
      </c>
      <c r="C2058" s="2" t="s">
        <v>569</v>
      </c>
      <c r="D2058" s="2" t="str">
        <f t="shared" si="31"/>
        <v>Error?</v>
      </c>
    </row>
    <row r="2059" spans="1:4" x14ac:dyDescent="0.2">
      <c r="A2059" s="5">
        <v>1998</v>
      </c>
      <c r="B2059" s="1832">
        <f>'Cap Outlay Deprec 26'!L12</f>
        <v>327619</v>
      </c>
      <c r="C2059" s="2" t="s">
        <v>569</v>
      </c>
      <c r="D2059" s="2" t="str">
        <f t="shared" si="31"/>
        <v>Error?</v>
      </c>
    </row>
    <row r="2060" spans="1:4" x14ac:dyDescent="0.2">
      <c r="A2060" s="5">
        <v>1999</v>
      </c>
      <c r="B2060" s="1832">
        <f>'Cap Outlay Deprec 26'!L13</f>
        <v>271622</v>
      </c>
      <c r="C2060" s="2" t="s">
        <v>569</v>
      </c>
      <c r="D2060" s="2" t="str">
        <f t="shared" si="31"/>
        <v>Error?</v>
      </c>
    </row>
    <row r="2061" spans="1:4" x14ac:dyDescent="0.2">
      <c r="A2061" s="5">
        <v>2000</v>
      </c>
      <c r="B2061" s="1832">
        <f>'Cap Outlay Deprec 26'!L16</f>
        <v>2107700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142352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142352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35467</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168325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5767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3012988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1051303</v>
      </c>
      <c r="C2553" s="2" t="s">
        <v>569</v>
      </c>
      <c r="D2553" s="2" t="str">
        <f t="shared" si="38"/>
        <v>Error?</v>
      </c>
    </row>
    <row r="2554" spans="1:4" x14ac:dyDescent="0.2">
      <c r="A2554" s="5">
        <v>2493</v>
      </c>
      <c r="B2554" s="1832">
        <f>'Acct Summary 7-8'!C7</f>
        <v>323066</v>
      </c>
      <c r="C2554" s="2" t="s">
        <v>569</v>
      </c>
      <c r="D2554" s="2" t="str">
        <f t="shared" si="38"/>
        <v>Error?</v>
      </c>
    </row>
    <row r="2555" spans="1:4" x14ac:dyDescent="0.2">
      <c r="A2555" s="5">
        <v>2494</v>
      </c>
      <c r="B2555" s="1832">
        <f>'Acct Summary 7-8'!C8</f>
        <v>4387357</v>
      </c>
      <c r="C2555" s="2" t="s">
        <v>569</v>
      </c>
      <c r="D2555" s="2" t="str">
        <f t="shared" si="38"/>
        <v>Error?</v>
      </c>
    </row>
    <row r="2556" spans="1:4" x14ac:dyDescent="0.2">
      <c r="A2556" s="5">
        <v>2495</v>
      </c>
      <c r="B2556" s="1832">
        <f>'Acct Summary 7-8'!C12</f>
        <v>2105769</v>
      </c>
      <c r="C2556" s="2" t="s">
        <v>569</v>
      </c>
      <c r="D2556" s="2" t="str">
        <f t="shared" si="38"/>
        <v>Error?</v>
      </c>
    </row>
    <row r="2557" spans="1:4" x14ac:dyDescent="0.2">
      <c r="A2557" s="5">
        <v>2496</v>
      </c>
      <c r="B2557" s="1832">
        <f>'Acct Summary 7-8'!C13</f>
        <v>909090</v>
      </c>
      <c r="C2557" s="2" t="s">
        <v>569</v>
      </c>
      <c r="D2557" s="2" t="str">
        <f t="shared" si="38"/>
        <v>Error?</v>
      </c>
    </row>
    <row r="2558" spans="1:4" x14ac:dyDescent="0.2">
      <c r="A2558" s="5">
        <v>2497</v>
      </c>
      <c r="B2558" s="1832">
        <f>'Acct Summary 7-8'!C14</f>
        <v>189309</v>
      </c>
      <c r="C2558" s="2" t="s">
        <v>569</v>
      </c>
      <c r="D2558" s="2" t="str">
        <f t="shared" si="38"/>
        <v>Error?</v>
      </c>
    </row>
    <row r="2559" spans="1:4" x14ac:dyDescent="0.2">
      <c r="A2559" s="5">
        <v>2498</v>
      </c>
      <c r="B2559" s="1832">
        <f>'Acct Summary 7-8'!C15</f>
        <v>142352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3346520</v>
      </c>
      <c r="C2561" s="2" t="s">
        <v>569</v>
      </c>
      <c r="D2561" s="2" t="str">
        <f t="shared" si="39"/>
        <v>Error?</v>
      </c>
    </row>
    <row r="2562" spans="1:4" x14ac:dyDescent="0.2">
      <c r="A2562" s="5">
        <v>2501</v>
      </c>
      <c r="B2562" s="1832">
        <f>'Acct Summary 7-8'!C20</f>
        <v>1040837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526501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576501</v>
      </c>
      <c r="C2568" s="2" t="s">
        <v>569</v>
      </c>
      <c r="D2568" s="2" t="str">
        <f t="shared" si="39"/>
        <v>Error?</v>
      </c>
    </row>
    <row r="2569" spans="1:4" x14ac:dyDescent="0.2">
      <c r="A2569" s="5">
        <v>2508</v>
      </c>
      <c r="B2569" s="1832">
        <f>'Acct Summary 7-8'!D13</f>
        <v>543884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543884</v>
      </c>
      <c r="C2573" s="2" t="s">
        <v>569</v>
      </c>
      <c r="D2573" s="2" t="str">
        <f t="shared" si="39"/>
        <v>Error?</v>
      </c>
    </row>
    <row r="2574" spans="1:4" x14ac:dyDescent="0.2">
      <c r="A2574" s="5">
        <v>2513</v>
      </c>
      <c r="B2574" s="1832">
        <f>'Acct Summary 7-8'!D20</f>
        <v>32617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217803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154740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372543</v>
      </c>
      <c r="C2595" s="2" t="s">
        <v>569</v>
      </c>
      <c r="D2595" s="2" t="str">
        <f t="shared" si="39"/>
        <v>Error?</v>
      </c>
    </row>
    <row r="2596" spans="1:4" x14ac:dyDescent="0.2">
      <c r="A2596" s="5">
        <v>2535</v>
      </c>
      <c r="B2596" s="1832">
        <f>'Acct Summary 7-8'!F13</f>
        <v>436395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436395</v>
      </c>
      <c r="C2600" s="2" t="s">
        <v>569</v>
      </c>
      <c r="D2600" s="2" t="str">
        <f t="shared" si="39"/>
        <v>Error?</v>
      </c>
    </row>
    <row r="2601" spans="1:4" x14ac:dyDescent="0.2">
      <c r="A2601" s="5">
        <v>2540</v>
      </c>
      <c r="B2601" s="1832">
        <f>'Acct Summary 7-8'!F20</f>
        <v>-63852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126265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126265</v>
      </c>
      <c r="C2606" s="2" t="s">
        <v>569</v>
      </c>
      <c r="D2606" s="2" t="str">
        <f t="shared" si="39"/>
        <v>Error?</v>
      </c>
    </row>
    <row r="2607" spans="1:4" x14ac:dyDescent="0.2">
      <c r="A2607" s="5">
        <v>2546</v>
      </c>
      <c r="B2607" s="1832">
        <f>'Acct Summary 7-8'!G12</f>
        <v>40849</v>
      </c>
      <c r="C2607" s="2" t="s">
        <v>569</v>
      </c>
      <c r="D2607" s="2" t="str">
        <f t="shared" si="39"/>
        <v>Error?</v>
      </c>
    </row>
    <row r="2608" spans="1:4" x14ac:dyDescent="0.2">
      <c r="A2608" s="5">
        <v>2547</v>
      </c>
      <c r="B2608" s="1832">
        <f>'Acct Summary 7-8'!G13</f>
        <v>94263</v>
      </c>
      <c r="C2608" s="2" t="s">
        <v>569</v>
      </c>
      <c r="D2608" s="2" t="str">
        <f t="shared" si="39"/>
        <v>Error?</v>
      </c>
    </row>
    <row r="2609" spans="1:4" x14ac:dyDescent="0.2">
      <c r="A2609" s="5">
        <v>2548</v>
      </c>
      <c r="B2609" s="1832">
        <f>'Acct Summary 7-8'!G14</f>
        <v>20586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155698</v>
      </c>
      <c r="C2612" s="2" t="s">
        <v>569</v>
      </c>
      <c r="D2612" s="2" t="str">
        <f t="shared" si="39"/>
        <v>Error?</v>
      </c>
    </row>
    <row r="2613" spans="1:4" x14ac:dyDescent="0.2">
      <c r="A2613" s="5">
        <v>2552</v>
      </c>
      <c r="B2613" s="1832">
        <f>'Acct Summary 7-8'!G20</f>
        <v>-29433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78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179689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179689</v>
      </c>
      <c r="C2658" s="2" t="s">
        <v>569</v>
      </c>
      <c r="D2658" s="2" t="str">
        <f t="shared" si="40"/>
        <v>Error?</v>
      </c>
    </row>
    <row r="2659" spans="1:4" x14ac:dyDescent="0.2">
      <c r="A2659" s="5">
        <v>2598</v>
      </c>
      <c r="B2659" s="1832">
        <f>'Acct Summary 7-8'!H13</f>
        <v>227162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227162</v>
      </c>
      <c r="C2661" s="2" t="s">
        <v>569</v>
      </c>
      <c r="D2661" s="2" t="str">
        <f t="shared" si="40"/>
        <v>Error?</v>
      </c>
    </row>
    <row r="2662" spans="1:4" x14ac:dyDescent="0.2">
      <c r="A2662" s="5">
        <v>2601</v>
      </c>
      <c r="B2662" s="1832">
        <f>'Acct Summary 7-8'!H20</f>
        <v>-47473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5543</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2832</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8375</v>
      </c>
      <c r="C2724" s="2" t="s">
        <v>569</v>
      </c>
      <c r="D2724" s="2" t="str">
        <f t="shared" si="41"/>
        <v>Error?</v>
      </c>
    </row>
    <row r="2725" spans="1:4" x14ac:dyDescent="0.2">
      <c r="A2725" s="5">
        <v>2664</v>
      </c>
      <c r="B2725" s="1832">
        <f>'Expenditures 15-22'!D247</f>
        <v>758</v>
      </c>
      <c r="D2725" s="2" t="str">
        <f t="shared" si="41"/>
        <v>Error?</v>
      </c>
    </row>
    <row r="2726" spans="1:4" x14ac:dyDescent="0.2">
      <c r="A2726" s="5">
        <v>2665</v>
      </c>
      <c r="B2726" s="1832">
        <f>'Expenditures 15-22'!K247</f>
        <v>758</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1475000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1475532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77281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1475532</v>
      </c>
      <c r="D2912" s="2" t="str">
        <f t="shared" si="44"/>
        <v>Error?</v>
      </c>
    </row>
    <row r="2913" spans="1:4" x14ac:dyDescent="0.2">
      <c r="A2913" s="5">
        <v>2852</v>
      </c>
      <c r="B2913" s="1832">
        <f>'Assets-Liab 5-6'!I41</f>
        <v>1475532</v>
      </c>
      <c r="C2913" s="2" t="s">
        <v>569</v>
      </c>
      <c r="D2913" s="2" t="str">
        <f t="shared" si="44"/>
        <v>Error?</v>
      </c>
    </row>
    <row r="2914" spans="1:4" x14ac:dyDescent="0.2">
      <c r="A2914" s="5">
        <v>2853</v>
      </c>
      <c r="B2914" s="1832">
        <f>'Assets-Liab 5-6'!L33</f>
        <v>77281</v>
      </c>
      <c r="D2914" s="2" t="str">
        <f t="shared" si="44"/>
        <v>Error?</v>
      </c>
    </row>
    <row r="2915" spans="1:4" x14ac:dyDescent="0.2">
      <c r="A2915" s="10">
        <v>2854</v>
      </c>
      <c r="B2915" s="1832"/>
      <c r="D2915" s="2" t="str">
        <f t="shared" si="44"/>
        <v>OK</v>
      </c>
    </row>
    <row r="2916" spans="1:4" x14ac:dyDescent="0.2">
      <c r="A2916" s="5">
        <v>2855</v>
      </c>
      <c r="B2916" s="1832">
        <f>'Assets-Liab 5-6'!L34</f>
        <v>77281</v>
      </c>
      <c r="C2916" s="2" t="s">
        <v>569</v>
      </c>
      <c r="D2916" s="2" t="str">
        <f t="shared" si="44"/>
        <v>Error?</v>
      </c>
    </row>
    <row r="2917" spans="1:4" x14ac:dyDescent="0.2">
      <c r="A2917" s="5">
        <v>2856</v>
      </c>
      <c r="B2917" s="1832">
        <f>'Assets-Liab 5-6'!L41</f>
        <v>77281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142352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142352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74976</v>
      </c>
      <c r="D3055" s="2" t="str">
        <f t="shared" si="46"/>
        <v>Error?</v>
      </c>
    </row>
    <row r="3056" spans="1:4" x14ac:dyDescent="0.2">
      <c r="A3056" s="5">
        <v>2995</v>
      </c>
      <c r="B3056" s="1832">
        <f>'Expenditures 15-22'!D10</f>
        <v>11678</v>
      </c>
      <c r="D3056" s="2" t="str">
        <f t="shared" si="46"/>
        <v>Error?</v>
      </c>
    </row>
    <row r="3057" spans="1:4" x14ac:dyDescent="0.2">
      <c r="A3057" s="5">
        <v>2996</v>
      </c>
      <c r="B3057" s="1832">
        <f>'Expenditures 15-22'!E10</f>
        <v>1605</v>
      </c>
      <c r="D3057" s="2" t="str">
        <f t="shared" si="46"/>
        <v>Error?</v>
      </c>
    </row>
    <row r="3058" spans="1:4" x14ac:dyDescent="0.2">
      <c r="A3058" s="5">
        <v>2997</v>
      </c>
      <c r="B3058" s="1832">
        <f>'Expenditures 15-22'!F10</f>
        <v>127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88386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4041</v>
      </c>
      <c r="D3064" s="2" t="str">
        <f t="shared" si="46"/>
        <v>Error?</v>
      </c>
    </row>
    <row r="3065" spans="1:4" x14ac:dyDescent="0.2">
      <c r="A3065" s="5">
        <v>3004</v>
      </c>
      <c r="B3065" s="1832">
        <f>'Expenditures 15-22'!K219</f>
        <v>4041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86381</v>
      </c>
      <c r="C3225" s="2" t="s">
        <v>569</v>
      </c>
      <c r="D3225" s="2" t="str">
        <f t="shared" si="49"/>
        <v>Error?</v>
      </c>
    </row>
    <row r="3226" spans="1:4" x14ac:dyDescent="0.2">
      <c r="A3226" s="5">
        <v>3165</v>
      </c>
      <c r="B3226" s="1832">
        <f>'Acct Summary 7-8'!I8</f>
        <v>86381</v>
      </c>
      <c r="C3226" s="2" t="s">
        <v>569</v>
      </c>
      <c r="D3226" s="2" t="str">
        <f t="shared" si="49"/>
        <v>Error?</v>
      </c>
    </row>
    <row r="3227" spans="1:4" x14ac:dyDescent="0.2">
      <c r="A3227" s="5">
        <v>3166</v>
      </c>
      <c r="B3227" s="1832">
        <f>'Acct Summary 7-8'!I20</f>
        <v>86381</v>
      </c>
      <c r="C3227" s="2" t="s">
        <v>569</v>
      </c>
      <c r="D3227" s="2" t="str">
        <f t="shared" si="49"/>
        <v>Error?</v>
      </c>
    </row>
    <row r="3228" spans="1:4" x14ac:dyDescent="0.2">
      <c r="A3228" s="5">
        <v>3167</v>
      </c>
      <c r="B3228" s="1832">
        <f>'Acct Summary 7-8'!C43</f>
        <v>78</v>
      </c>
      <c r="D3228" s="2" t="str">
        <f t="shared" si="49"/>
        <v>Error?</v>
      </c>
    </row>
    <row r="3229" spans="1:4" x14ac:dyDescent="0.2">
      <c r="A3229" s="5">
        <v>3168</v>
      </c>
      <c r="B3229" s="1832">
        <f>'Acct Summary 7-8'!C44</f>
        <v>78</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150000</v>
      </c>
      <c r="C3231" s="2" t="s">
        <v>569</v>
      </c>
      <c r="D3231" s="2" t="str">
        <f t="shared" si="49"/>
        <v>Error?</v>
      </c>
    </row>
    <row r="3232" spans="1:4" x14ac:dyDescent="0.2">
      <c r="A3232" s="5">
        <v>3171</v>
      </c>
      <c r="B3232" s="1832">
        <f>'Acct Summary 7-8'!C77</f>
        <v>-149922</v>
      </c>
      <c r="C3232" s="2" t="s">
        <v>569</v>
      </c>
      <c r="D3232" s="2" t="str">
        <f t="shared" si="49"/>
        <v>Error?</v>
      </c>
    </row>
    <row r="3233" spans="1:4" x14ac:dyDescent="0.2">
      <c r="A3233" s="5">
        <v>3172</v>
      </c>
      <c r="B3233" s="1832">
        <f>'Acct Summary 7-8'!C78</f>
        <v>890915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185467</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185467</v>
      </c>
      <c r="C3238" s="2" t="s">
        <v>569</v>
      </c>
      <c r="D3238" s="2" t="str">
        <f t="shared" si="49"/>
        <v>Error?</v>
      </c>
    </row>
    <row r="3239" spans="1:4" x14ac:dyDescent="0.2">
      <c r="A3239" s="5">
        <v>3178</v>
      </c>
      <c r="B3239" s="1832">
        <f>'Acct Summary 7-8'!D78</f>
        <v>218084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-63852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-29433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78</v>
      </c>
      <c r="D3275" s="2" t="str">
        <f t="shared" si="50"/>
        <v>Error?</v>
      </c>
    </row>
    <row r="3276" spans="1:4" x14ac:dyDescent="0.2">
      <c r="A3276" s="5">
        <v>3215</v>
      </c>
      <c r="B3276" s="1832">
        <f>'Acct Summary 7-8'!E76</f>
        <v>78</v>
      </c>
      <c r="C3276" s="2" t="s">
        <v>569</v>
      </c>
      <c r="D3276" s="2" t="str">
        <f t="shared" si="50"/>
        <v>Error?</v>
      </c>
    </row>
    <row r="3277" spans="1:4" x14ac:dyDescent="0.2">
      <c r="A3277" s="5">
        <v>3216</v>
      </c>
      <c r="B3277" s="1832">
        <f>'Acct Summary 7-8'!E77</f>
        <v>-78</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-47473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35467</v>
      </c>
      <c r="C3318" s="2" t="s">
        <v>569</v>
      </c>
      <c r="D3318" s="2" t="str">
        <f t="shared" si="50"/>
        <v>Error?</v>
      </c>
    </row>
    <row r="3319" spans="1:4" x14ac:dyDescent="0.2">
      <c r="A3319" s="5">
        <v>3258</v>
      </c>
      <c r="B3319" s="1832">
        <f>'Acct Summary 7-8'!I77</f>
        <v>-35467</v>
      </c>
      <c r="C3319" s="2" t="s">
        <v>569</v>
      </c>
      <c r="D3319" s="2" t="str">
        <f t="shared" si="50"/>
        <v>Error?</v>
      </c>
    </row>
    <row r="3320" spans="1:4" x14ac:dyDescent="0.2">
      <c r="A3320" s="5">
        <v>3259</v>
      </c>
      <c r="B3320" s="1832">
        <f>'Acct Summary 7-8'!I78</f>
        <v>50914</v>
      </c>
      <c r="C3320" s="2" t="s">
        <v>569</v>
      </c>
      <c r="D3320" s="2" t="str">
        <f t="shared" si="50"/>
        <v>Error?</v>
      </c>
    </row>
    <row r="3321" spans="1:4" x14ac:dyDescent="0.2">
      <c r="A3321" s="5">
        <v>3260</v>
      </c>
      <c r="B3321" s="1832">
        <f>'Acct Summary 7-8'!I79</f>
        <v>1424618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1475532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170112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29552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31886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827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133</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232510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14466</v>
      </c>
      <c r="D3387" s="2" t="str">
        <f t="shared" si="51"/>
        <v>Error?</v>
      </c>
    </row>
    <row r="3388" spans="1:4" x14ac:dyDescent="0.2">
      <c r="A3388" s="5">
        <v>3327</v>
      </c>
      <c r="B3388" s="1832">
        <f>'Expenditures 15-22'!D217</f>
        <v>8683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14466</v>
      </c>
      <c r="C3390" s="2" t="s">
        <v>569</v>
      </c>
      <c r="D3390" s="2" t="str">
        <f t="shared" si="51"/>
        <v>Error?</v>
      </c>
    </row>
    <row r="3391" spans="1:4" x14ac:dyDescent="0.2">
      <c r="A3391" s="5">
        <v>3330</v>
      </c>
      <c r="B3391" s="1832">
        <f>'Expenditures 15-22'!K217</f>
        <v>8683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221073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288848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127795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18325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20190</v>
      </c>
      <c r="D3425" s="2" t="str">
        <f t="shared" si="52"/>
        <v>Error?</v>
      </c>
    </row>
    <row r="3426" spans="1:4" x14ac:dyDescent="0.2">
      <c r="A3426" s="10">
        <v>3365</v>
      </c>
      <c r="B3426" s="1832"/>
      <c r="D3426" s="2" t="str">
        <f t="shared" si="52"/>
        <v>OK</v>
      </c>
    </row>
    <row r="3427" spans="1:4" x14ac:dyDescent="0.2">
      <c r="A3427" s="5">
        <v>3366</v>
      </c>
      <c r="B3427" s="1832">
        <f>'Assets-Liab 5-6'!I4</f>
        <v>532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77281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55481</v>
      </c>
      <c r="C3446" s="2" t="s">
        <v>569</v>
      </c>
      <c r="D3446" s="2" t="str">
        <f t="shared" si="52"/>
        <v>Error?</v>
      </c>
    </row>
    <row r="3447" spans="1:4" x14ac:dyDescent="0.2">
      <c r="A3447" s="5">
        <v>3386</v>
      </c>
      <c r="B3447" s="1832">
        <f>'Tax Sched 23'!D16</f>
        <v>55481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32958</v>
      </c>
      <c r="C3449" s="2" t="s">
        <v>569</v>
      </c>
      <c r="D3449" s="2" t="str">
        <f t="shared" si="52"/>
        <v>Error?</v>
      </c>
    </row>
    <row r="3450" spans="1:4" x14ac:dyDescent="0.2">
      <c r="A3450" s="5">
        <v>3389</v>
      </c>
      <c r="B3450" s="1832">
        <f>'Tax Sched 23'!E16</f>
        <v>32958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19167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225000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244167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244167</v>
      </c>
      <c r="D3567" s="2" t="str">
        <f t="shared" si="54"/>
        <v>Error?</v>
      </c>
    </row>
    <row r="3568" spans="1:4" x14ac:dyDescent="0.2">
      <c r="A3568" s="5">
        <v>3507</v>
      </c>
      <c r="B3568" s="1832">
        <f>'Assets-Liab 5-6'!K41</f>
        <v>244167</v>
      </c>
      <c r="C3568" s="2" t="s">
        <v>569</v>
      </c>
      <c r="D3568" s="2" t="str">
        <f t="shared" si="54"/>
        <v>Error?</v>
      </c>
    </row>
    <row r="3569" spans="1:4" x14ac:dyDescent="0.2">
      <c r="A3569" s="5">
        <v>3508</v>
      </c>
      <c r="B3569" s="1832">
        <f>'Acct Summary 7-8'!K4</f>
        <v>55498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55498</v>
      </c>
      <c r="C3571" s="2" t="s">
        <v>569</v>
      </c>
      <c r="D3571" s="2" t="str">
        <f t="shared" si="54"/>
        <v>Error?</v>
      </c>
    </row>
    <row r="3572" spans="1:4" x14ac:dyDescent="0.2">
      <c r="A3572" s="5">
        <v>3511</v>
      </c>
      <c r="B3572" s="1832">
        <f>'Acct Summary 7-8'!K13</f>
        <v>40751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40751</v>
      </c>
      <c r="C3575" s="2" t="s">
        <v>569</v>
      </c>
      <c r="D3575" s="2" t="str">
        <f t="shared" si="54"/>
        <v>Error?</v>
      </c>
    </row>
    <row r="3576" spans="1:4" x14ac:dyDescent="0.2">
      <c r="A3576" s="5">
        <v>3515</v>
      </c>
      <c r="B3576" s="1832">
        <f>'Acct Summary 7-8'!K20</f>
        <v>14747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14747</v>
      </c>
      <c r="C3588" s="2" t="s">
        <v>569</v>
      </c>
      <c r="D3588" s="2" t="str">
        <f t="shared" si="55"/>
        <v>Error?</v>
      </c>
    </row>
    <row r="3589" spans="1:4" x14ac:dyDescent="0.2">
      <c r="A3589" s="5">
        <v>3528</v>
      </c>
      <c r="B3589" s="1832">
        <f>'Acct Summary 7-8'!K79</f>
        <v>229420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244167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40544</v>
      </c>
      <c r="D3632" s="2" t="str">
        <f t="shared" si="55"/>
        <v>Error?</v>
      </c>
    </row>
    <row r="3633" spans="1:4" x14ac:dyDescent="0.2">
      <c r="A3633" s="5">
        <v>3572</v>
      </c>
      <c r="B3633" s="1832">
        <f>'Expenditures 15-22'!E350</f>
        <v>40544</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40544</v>
      </c>
      <c r="C3635" s="2" t="s">
        <v>569</v>
      </c>
      <c r="D3635" s="2" t="str">
        <f t="shared" si="55"/>
        <v>Error?</v>
      </c>
    </row>
    <row r="3636" spans="1:4" x14ac:dyDescent="0.2">
      <c r="A3636" s="5">
        <v>3575</v>
      </c>
      <c r="B3636" s="1832">
        <f>'Expenditures 15-22'!E367</f>
        <v>40544</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207</v>
      </c>
      <c r="D3639" s="2" t="str">
        <f t="shared" si="55"/>
        <v>Error?</v>
      </c>
    </row>
    <row r="3640" spans="1:4" x14ac:dyDescent="0.2">
      <c r="A3640" s="5">
        <v>3579</v>
      </c>
      <c r="B3640" s="1832">
        <f>'Expenditures 15-22'!F350</f>
        <v>207</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207</v>
      </c>
      <c r="C3642" s="2" t="s">
        <v>569</v>
      </c>
      <c r="D3642" s="2" t="str">
        <f t="shared" si="55"/>
        <v>Error?</v>
      </c>
    </row>
    <row r="3643" spans="1:4" x14ac:dyDescent="0.2">
      <c r="A3643" s="5">
        <v>3582</v>
      </c>
      <c r="B3643" s="1832">
        <f>'Expenditures 15-22'!F367</f>
        <v>207</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40751</v>
      </c>
      <c r="C3669" s="2" t="s">
        <v>569</v>
      </c>
      <c r="D3669" s="2" t="str">
        <f t="shared" si="56"/>
        <v>Error?</v>
      </c>
    </row>
    <row r="3670" spans="1:4" x14ac:dyDescent="0.2">
      <c r="A3670" s="5">
        <v>3609</v>
      </c>
      <c r="B3670" s="1832">
        <f>'Expenditures 15-22'!K350</f>
        <v>40751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40751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40751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14747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50914</v>
      </c>
      <c r="C3725" s="2" t="s">
        <v>569</v>
      </c>
      <c r="D3725" s="2" t="str">
        <f t="shared" si="57"/>
        <v>Error?</v>
      </c>
    </row>
    <row r="3726" spans="1:4" x14ac:dyDescent="0.2">
      <c r="A3726" s="5">
        <v>3665</v>
      </c>
      <c r="B3726" s="1832">
        <f>'Tax Sched 23'!D13</f>
        <v>50914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35201</v>
      </c>
      <c r="C3728" s="2" t="s">
        <v>569</v>
      </c>
      <c r="D3728" s="2" t="str">
        <f t="shared" si="57"/>
        <v>Error?</v>
      </c>
    </row>
    <row r="3729" spans="1:4" x14ac:dyDescent="0.2">
      <c r="A3729" s="5">
        <v>3668</v>
      </c>
      <c r="B3729" s="1832">
        <f>'Tax Sched 23'!E13</f>
        <v>35201</v>
      </c>
      <c r="D3729" s="2" t="str">
        <f t="shared" si="57"/>
        <v>Error?</v>
      </c>
    </row>
    <row r="3730" spans="1:4" x14ac:dyDescent="0.2">
      <c r="A3730" s="5">
        <v>3669</v>
      </c>
      <c r="B3730" s="1832">
        <f>'ICR Computation 30'!E10</f>
        <v>153782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1581149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5968506</v>
      </c>
      <c r="C4122" s="2" t="s">
        <v>569</v>
      </c>
      <c r="D4122" s="2" t="str">
        <f t="shared" si="63"/>
        <v>Error?</v>
      </c>
    </row>
    <row r="4123" spans="1:4" x14ac:dyDescent="0.2">
      <c r="A4123" s="5">
        <v>4062</v>
      </c>
      <c r="B4123" s="1832">
        <f>'Acct Summary 7-8'!D10</f>
        <v>576501</v>
      </c>
      <c r="C4123" s="2" t="s">
        <v>569</v>
      </c>
      <c r="D4123" s="2" t="str">
        <f t="shared" si="63"/>
        <v>Error?</v>
      </c>
    </row>
    <row r="4124" spans="1:4" x14ac:dyDescent="0.2">
      <c r="A4124" s="5">
        <v>4063</v>
      </c>
      <c r="B4124" s="1832">
        <f>'Acct Summary 7-8'!E10</f>
        <v>78</v>
      </c>
      <c r="C4124" s="2" t="s">
        <v>569</v>
      </c>
      <c r="D4124" s="2" t="str">
        <f t="shared" si="63"/>
        <v>Error?</v>
      </c>
    </row>
    <row r="4125" spans="1:4" x14ac:dyDescent="0.2">
      <c r="A4125" s="5">
        <v>4064</v>
      </c>
      <c r="B4125" s="1832">
        <f>'Acct Summary 7-8'!F10</f>
        <v>372543</v>
      </c>
      <c r="C4125" s="2" t="s">
        <v>569</v>
      </c>
      <c r="D4125" s="2" t="str">
        <f t="shared" si="63"/>
        <v>Error?</v>
      </c>
    </row>
    <row r="4126" spans="1:4" x14ac:dyDescent="0.2">
      <c r="A4126" s="5">
        <v>4065</v>
      </c>
      <c r="B4126" s="1832">
        <f>'Acct Summary 7-8'!G10</f>
        <v>126265</v>
      </c>
      <c r="C4126" s="2" t="s">
        <v>569</v>
      </c>
      <c r="D4126" s="2" t="str">
        <f t="shared" si="63"/>
        <v>Error?</v>
      </c>
    </row>
    <row r="4127" spans="1:4" x14ac:dyDescent="0.2">
      <c r="A4127" s="5">
        <v>4066</v>
      </c>
      <c r="B4127" s="1832">
        <f>'Acct Summary 7-8'!H10</f>
        <v>179689</v>
      </c>
      <c r="C4127" s="2" t="s">
        <v>569</v>
      </c>
      <c r="D4127" s="2" t="str">
        <f t="shared" si="63"/>
        <v>Error?</v>
      </c>
    </row>
    <row r="4128" spans="1:4" x14ac:dyDescent="0.2">
      <c r="A4128" s="5">
        <v>4067</v>
      </c>
      <c r="B4128" s="1832">
        <f>'Acct Summary 7-8'!I10</f>
        <v>86381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55498</v>
      </c>
      <c r="C4130" s="2" t="s">
        <v>569</v>
      </c>
      <c r="D4130" s="2" t="str">
        <f t="shared" si="63"/>
        <v>Error?</v>
      </c>
    </row>
    <row r="4131" spans="1:4" x14ac:dyDescent="0.2">
      <c r="A4131" s="5">
        <v>4070</v>
      </c>
      <c r="B4131" s="1832">
        <f>'Acct Summary 7-8'!C18</f>
        <v>1581149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4927669</v>
      </c>
      <c r="C4136" s="2" t="s">
        <v>569</v>
      </c>
      <c r="D4136" s="2" t="str">
        <f t="shared" si="63"/>
        <v>Error?</v>
      </c>
    </row>
    <row r="4137" spans="1:4" x14ac:dyDescent="0.2">
      <c r="A4137" s="5">
        <v>4076</v>
      </c>
      <c r="B4137" s="1832">
        <f>'Acct Summary 7-8'!D19</f>
        <v>543884</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436395</v>
      </c>
      <c r="C4139" s="2" t="s">
        <v>569</v>
      </c>
      <c r="D4139" s="2" t="str">
        <f t="shared" si="63"/>
        <v>Error?</v>
      </c>
    </row>
    <row r="4140" spans="1:4" x14ac:dyDescent="0.2">
      <c r="A4140" s="5">
        <v>4079</v>
      </c>
      <c r="B4140" s="1832">
        <f>'Acct Summary 7-8'!G19</f>
        <v>155698</v>
      </c>
      <c r="C4140" s="2" t="s">
        <v>569</v>
      </c>
      <c r="D4140" s="2" t="str">
        <f t="shared" si="63"/>
        <v>Error?</v>
      </c>
    </row>
    <row r="4141" spans="1:4" x14ac:dyDescent="0.2">
      <c r="A4141" s="5">
        <v>4080</v>
      </c>
      <c r="B4141" s="1832">
        <f>'Acct Summary 7-8'!H19</f>
        <v>227162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40751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2489.02</v>
      </c>
      <c r="C4265" s="2" t="s">
        <v>569</v>
      </c>
      <c r="D4265" s="2" t="str">
        <f t="shared" si="65"/>
        <v>Error?</v>
      </c>
      <c r="E4265" s="125"/>
    </row>
    <row r="4266" spans="1:5" x14ac:dyDescent="0.2">
      <c r="A4266" s="12">
        <v>4205</v>
      </c>
      <c r="B4266" s="1832">
        <f>('FP Info 3'!F10)*100000</f>
        <v>496.68000000000006</v>
      </c>
      <c r="C4266" s="2" t="s">
        <v>569</v>
      </c>
      <c r="D4266" s="2" t="str">
        <f t="shared" si="65"/>
        <v>Error?</v>
      </c>
      <c r="E4266" s="125"/>
    </row>
    <row r="4267" spans="1:5" x14ac:dyDescent="0.2">
      <c r="A4267" s="12">
        <v>4206</v>
      </c>
      <c r="B4267" s="1832">
        <f>('FP Info 3'!H10)*100000</f>
        <v>198.48999999999998</v>
      </c>
      <c r="C4267" s="2" t="s">
        <v>569</v>
      </c>
      <c r="D4267" s="2" t="str">
        <f t="shared" si="65"/>
        <v>Error?</v>
      </c>
      <c r="E4267" s="125"/>
    </row>
    <row r="4268" spans="1:5" x14ac:dyDescent="0.2">
      <c r="A4268" s="12">
        <v>4207</v>
      </c>
      <c r="B4268" s="1832">
        <f>('FP Info 3'!J10)*100000</f>
        <v>3184</v>
      </c>
      <c r="C4268" s="2" t="s">
        <v>569</v>
      </c>
      <c r="D4268" s="2" t="str">
        <f t="shared" si="65"/>
        <v>Error?</v>
      </c>
    </row>
    <row r="4269" spans="1:5" x14ac:dyDescent="0.2">
      <c r="A4269" s="12">
        <v>4208</v>
      </c>
      <c r="B4269" s="1832">
        <f>'FP Info 3'!J16</f>
        <v>7866911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17475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9301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49.76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22840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107311480</v>
      </c>
      <c r="D4995" s="2" t="str">
        <f t="shared" si="77"/>
        <v>Error?</v>
      </c>
    </row>
    <row r="4996" spans="1:4" x14ac:dyDescent="0.2">
      <c r="A4996" s="12">
        <v>4935</v>
      </c>
      <c r="B4996" s="1832">
        <f>'FP Info 3'!H31</f>
        <v>14808984.240000002</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150000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150000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50914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2545674</v>
      </c>
      <c r="D5061" s="2" t="str">
        <f t="shared" si="78"/>
        <v>Error?</v>
      </c>
    </row>
    <row r="5062" spans="1:4" x14ac:dyDescent="0.2">
      <c r="A5062" s="10">
        <v>5001</v>
      </c>
      <c r="B5062" s="1832"/>
      <c r="D5062" s="2" t="str">
        <f t="shared" si="78"/>
        <v>OK</v>
      </c>
    </row>
    <row r="5063" spans="1:4" x14ac:dyDescent="0.2">
      <c r="A5063" s="5">
        <v>5002</v>
      </c>
      <c r="B5063" s="1832">
        <f>'Revenues 9-14'!C7</f>
        <v>40731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2637319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206807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206807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119752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119752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716</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716</v>
      </c>
      <c r="C5096" s="2" t="s">
        <v>569</v>
      </c>
      <c r="D5096" s="2" t="str">
        <f t="shared" si="78"/>
        <v>Error?</v>
      </c>
    </row>
    <row r="5097" spans="1:4" x14ac:dyDescent="0.2">
      <c r="A5097" s="5">
        <v>5036</v>
      </c>
      <c r="B5097" s="1832">
        <f>'Revenues 9-14'!C77</f>
        <v>10204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1538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11742</v>
      </c>
      <c r="C5102" s="2" t="s">
        <v>569</v>
      </c>
      <c r="D5102" s="2" t="str">
        <f t="shared" si="78"/>
        <v>Error?</v>
      </c>
    </row>
    <row r="5103" spans="1:4" x14ac:dyDescent="0.2">
      <c r="A5103" s="5">
        <v>5042</v>
      </c>
      <c r="B5103" s="1832">
        <f>'Revenues 9-14'!C84</f>
        <v>12305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12305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563</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71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23313</v>
      </c>
      <c r="D5119" s="2" t="str">
        <f t="shared" ref="D5119:D5182" si="79">IF(ISBLANK(B5119),"OK",IF(A5119-B5119=0,"OK","Error?"))</f>
        <v>Error?</v>
      </c>
    </row>
    <row r="5120" spans="1:4" x14ac:dyDescent="0.2">
      <c r="A5120" s="5">
        <v>5059</v>
      </c>
      <c r="B5120" s="1832">
        <f>'Revenues 9-14'!C108</f>
        <v>24347</v>
      </c>
      <c r="C5120" s="2" t="s">
        <v>569</v>
      </c>
      <c r="D5120" s="2" t="str">
        <f t="shared" si="79"/>
        <v>Error?</v>
      </c>
    </row>
    <row r="5121" spans="1:4" x14ac:dyDescent="0.2">
      <c r="A5121" s="5">
        <v>5060</v>
      </c>
      <c r="B5121" s="1832">
        <f>'Revenues 9-14'!C109</f>
        <v>3012988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608098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608098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6529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10320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1906</v>
      </c>
      <c r="D5167" s="2" t="str">
        <f t="shared" si="79"/>
        <v>Error?</v>
      </c>
    </row>
    <row r="5168" spans="1:4" x14ac:dyDescent="0.2">
      <c r="A5168" s="5">
        <v>5107</v>
      </c>
      <c r="B5168" s="1832">
        <f>'Revenues 9-14'!C148</f>
        <v>3088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426391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443205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1051303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87992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31804</v>
      </c>
      <c r="D5241" s="2" t="str">
        <f t="shared" si="80"/>
        <v>Error?</v>
      </c>
    </row>
    <row r="5242" spans="1:4" x14ac:dyDescent="0.2">
      <c r="A5242" s="5">
        <v>5181</v>
      </c>
      <c r="B5242" s="1832">
        <f>'Revenues 9-14'!C194</f>
        <v>21671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141467</v>
      </c>
      <c r="C5246" s="2" t="s">
        <v>569</v>
      </c>
      <c r="D5246" s="2" t="str">
        <f t="shared" si="80"/>
        <v>Error?</v>
      </c>
    </row>
    <row r="5247" spans="1:4" x14ac:dyDescent="0.2">
      <c r="A5247" s="5">
        <v>5186</v>
      </c>
      <c r="B5247" s="1832">
        <f>'Revenues 9-14'!C200</f>
        <v>106782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106782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21000</v>
      </c>
      <c r="D5278" s="2" t="str">
        <f t="shared" si="81"/>
        <v>Error?</v>
      </c>
    </row>
    <row r="5279" spans="1:4" x14ac:dyDescent="0.2">
      <c r="A5279" s="5">
        <v>5218</v>
      </c>
      <c r="B5279" s="1832">
        <f>'Revenues 9-14'!C214</f>
        <v>4201</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25201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323066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323066</v>
      </c>
      <c r="C5326" s="2" t="s">
        <v>569</v>
      </c>
      <c r="D5326" s="2" t="str">
        <f t="shared" si="82"/>
        <v>Error?</v>
      </c>
    </row>
    <row r="5327" spans="1:5" x14ac:dyDescent="0.2">
      <c r="A5327" s="5">
        <v>5266</v>
      </c>
      <c r="B5327" s="1832">
        <f>'Revenues 9-14'!C268</f>
        <v>4387357</v>
      </c>
      <c r="C5327" s="2" t="s">
        <v>569</v>
      </c>
      <c r="D5327" s="2" t="str">
        <f t="shared" si="82"/>
        <v>Error?</v>
      </c>
    </row>
    <row r="5328" spans="1:5" x14ac:dyDescent="0.2">
      <c r="A5328" s="5">
        <v>5267</v>
      </c>
      <c r="B5328" s="1832">
        <f>'Revenues 9-14'!D5</f>
        <v>509134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509134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14082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14082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25</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3230</v>
      </c>
      <c r="D5354" s="2" t="str">
        <f t="shared" si="82"/>
        <v>Error?</v>
      </c>
    </row>
    <row r="5355" spans="1:4" x14ac:dyDescent="0.2">
      <c r="A5355" s="5">
        <v>5294</v>
      </c>
      <c r="B5355" s="1832">
        <f>'Revenues 9-14'!D108</f>
        <v>3285</v>
      </c>
      <c r="C5355" s="2" t="s">
        <v>569</v>
      </c>
      <c r="D5355" s="2" t="str">
        <f t="shared" si="82"/>
        <v>Error?</v>
      </c>
    </row>
    <row r="5356" spans="1:4" x14ac:dyDescent="0.2">
      <c r="A5356" s="5">
        <v>5295</v>
      </c>
      <c r="B5356" s="1832">
        <f>'Revenues 9-14'!D109</f>
        <v>526501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576501</v>
      </c>
      <c r="C5508" s="2" t="s">
        <v>569</v>
      </c>
      <c r="D5508" s="2" t="str">
        <f t="shared" si="85"/>
        <v>Error?</v>
      </c>
    </row>
    <row r="5509" spans="1:4" x14ac:dyDescent="0.2">
      <c r="A5509" s="5">
        <v>5448</v>
      </c>
      <c r="B5509" s="1832">
        <f>'Revenues 9-14'!E5</f>
        <v>78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78</v>
      </c>
      <c r="C5552" s="2" t="s">
        <v>569</v>
      </c>
      <c r="D5552" s="2" t="str">
        <f t="shared" si="85"/>
        <v>Error?</v>
      </c>
    </row>
    <row r="5553" spans="1:4" x14ac:dyDescent="0.2">
      <c r="A5553" s="5">
        <v>5492</v>
      </c>
      <c r="B5553" s="1832">
        <f>'Revenues 9-14'!F5</f>
        <v>203654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203654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14149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14149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217803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60833</v>
      </c>
      <c r="D5615" s="2" t="str">
        <f t="shared" si="86"/>
        <v>Error?</v>
      </c>
    </row>
    <row r="5616" spans="1:4" x14ac:dyDescent="0.2">
      <c r="A5616" s="10">
        <v>5555</v>
      </c>
      <c r="B5616" s="1832"/>
      <c r="D5616" s="2" t="str">
        <f t="shared" si="86"/>
        <v>OK</v>
      </c>
    </row>
    <row r="5617" spans="1:5" x14ac:dyDescent="0.2">
      <c r="A5617" s="5">
        <v>5556</v>
      </c>
      <c r="B5617" s="1832">
        <f>'Revenues 9-14'!F153</f>
        <v>93907</v>
      </c>
      <c r="D5617" s="2" t="str">
        <f t="shared" si="86"/>
        <v>Error?</v>
      </c>
    </row>
    <row r="5618" spans="1:5" x14ac:dyDescent="0.2">
      <c r="A5618" s="5">
        <v>5557</v>
      </c>
      <c r="B5618" s="1832">
        <f>'Revenues 9-14'!F155</f>
        <v>154740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154740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154740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372543</v>
      </c>
      <c r="C5720" s="2" t="s">
        <v>569</v>
      </c>
      <c r="D5720" s="2" t="str">
        <f t="shared" si="88"/>
        <v>Error?</v>
      </c>
    </row>
    <row r="5721" spans="1:4" x14ac:dyDescent="0.2">
      <c r="A5721" s="5">
        <v>5660</v>
      </c>
      <c r="B5721" s="1832">
        <f>'Revenues 9-14'!G5</f>
        <v>55481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55481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110962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10885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10885</v>
      </c>
      <c r="C5730" s="2" t="s">
        <v>569</v>
      </c>
      <c r="D5730" s="2" t="str">
        <f t="shared" si="88"/>
        <v>Error?</v>
      </c>
    </row>
    <row r="5731" spans="1:4" x14ac:dyDescent="0.2">
      <c r="A5731" s="5">
        <v>5670</v>
      </c>
      <c r="B5731" s="1832">
        <f>'Revenues 9-14'!G65</f>
        <v>4418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4418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126265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1706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1706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177983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179689</v>
      </c>
      <c r="C5915" s="2" t="s">
        <v>569</v>
      </c>
      <c r="D5915" s="2" t="str">
        <f t="shared" si="91"/>
        <v>Error?</v>
      </c>
    </row>
    <row r="5916" spans="1:4" x14ac:dyDescent="0.2">
      <c r="A5916" s="5">
        <v>5855</v>
      </c>
      <c r="B5916" s="1832">
        <f>'Revenues 9-14'!I5</f>
        <v>50914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50914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35467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35467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86381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50914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50914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4534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4534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50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50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55498</v>
      </c>
      <c r="C6023" s="2" t="s">
        <v>569</v>
      </c>
      <c r="D6023" s="2" t="str">
        <f t="shared" si="93"/>
        <v>Error?</v>
      </c>
    </row>
    <row r="6024" spans="1:5" x14ac:dyDescent="0.2">
      <c r="A6024" s="5">
        <v>5963</v>
      </c>
      <c r="B6024" s="1832">
        <f>'Revenues 9-14'!G109</f>
        <v>126265</v>
      </c>
      <c r="C6024" s="2" t="s">
        <v>569</v>
      </c>
      <c r="D6024" s="2" t="str">
        <f t="shared" si="93"/>
        <v>Error?</v>
      </c>
    </row>
    <row r="6025" spans="1:5" x14ac:dyDescent="0.2">
      <c r="A6025" s="5">
        <v>5964</v>
      </c>
      <c r="B6025" s="1832">
        <f>'Revenues 9-14'!H109</f>
        <v>179689</v>
      </c>
      <c r="C6025" s="2" t="s">
        <v>569</v>
      </c>
      <c r="D6025" s="2" t="str">
        <f t="shared" si="93"/>
        <v>Error?</v>
      </c>
    </row>
    <row r="6026" spans="1:5" x14ac:dyDescent="0.2">
      <c r="A6026" s="5">
        <v>5965</v>
      </c>
      <c r="B6026" s="1832">
        <f>'Revenues 9-14'!I109</f>
        <v>86381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55498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329.7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20316</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1154</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501168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501168</v>
      </c>
      <c r="D6215" s="2" t="str">
        <f t="shared" si="96"/>
        <v>Error?</v>
      </c>
      <c r="E6215" s="2" t="s">
        <v>189</v>
      </c>
    </row>
    <row r="6216" spans="1:5" x14ac:dyDescent="0.2">
      <c r="A6216">
        <v>6155</v>
      </c>
      <c r="B6216" s="1832">
        <f>'Assets-Liab 5-6'!J41</f>
        <v>501168</v>
      </c>
      <c r="D6216" s="2" t="str">
        <f t="shared" si="96"/>
        <v>Error?</v>
      </c>
      <c r="E6216" s="2" t="s">
        <v>189</v>
      </c>
    </row>
    <row r="6217" spans="1:5" x14ac:dyDescent="0.2">
      <c r="A6217">
        <v>6156</v>
      </c>
      <c r="B6217" s="1832">
        <f>'Assets-Liab 5-6'!J4</f>
        <v>50014</v>
      </c>
      <c r="D6217" s="2" t="str">
        <f t="shared" si="96"/>
        <v>Error?</v>
      </c>
      <c r="E6217" s="2" t="s">
        <v>189</v>
      </c>
    </row>
    <row r="6218" spans="1:5" x14ac:dyDescent="0.2">
      <c r="A6218">
        <v>6157</v>
      </c>
      <c r="B6218" s="1832">
        <f>'Assets-Liab 5-6'!J5</f>
        <v>450000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241909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241909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241909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332073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332073</v>
      </c>
      <c r="D6229" s="2" t="str">
        <f t="shared" si="96"/>
        <v>Error?</v>
      </c>
      <c r="E6229" s="2" t="s">
        <v>189</v>
      </c>
    </row>
    <row r="6230" spans="1:5" x14ac:dyDescent="0.2">
      <c r="A6230">
        <v>6169</v>
      </c>
      <c r="B6230" s="1832">
        <f>'Acct Summary 7-8'!J20</f>
        <v>-90164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-90164</v>
      </c>
      <c r="D6263" s="2" t="str">
        <f t="shared" si="96"/>
        <v>Error?</v>
      </c>
      <c r="E6263" s="2" t="s">
        <v>189</v>
      </c>
    </row>
    <row r="6264" spans="1:5" x14ac:dyDescent="0.2">
      <c r="A6264">
        <v>6203</v>
      </c>
      <c r="B6264" s="1832">
        <f>'Acct Summary 7-8'!J79</f>
        <v>591332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501168</v>
      </c>
      <c r="D6266" s="2" t="str">
        <f t="shared" si="96"/>
        <v>Error?</v>
      </c>
      <c r="E6266" s="2" t="s">
        <v>189</v>
      </c>
    </row>
    <row r="6267" spans="1:5" x14ac:dyDescent="0.2">
      <c r="A6267">
        <v>6206</v>
      </c>
      <c r="B6267" s="1832">
        <f>'Acct Summary 7-8'!C82</f>
        <v>890915</v>
      </c>
      <c r="D6267" s="2" t="str">
        <f t="shared" si="96"/>
        <v>Error?</v>
      </c>
      <c r="E6267" s="2" t="s">
        <v>189</v>
      </c>
    </row>
    <row r="6268" spans="1:5" x14ac:dyDescent="0.2">
      <c r="A6268">
        <v>6207</v>
      </c>
      <c r="B6268" s="1832">
        <f>'Acct Summary 7-8'!D82</f>
        <v>218084</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-63852</v>
      </c>
      <c r="D6270" s="2" t="str">
        <f t="shared" si="96"/>
        <v>Error?</v>
      </c>
      <c r="E6270" s="2" t="s">
        <v>189</v>
      </c>
    </row>
    <row r="6271" spans="1:5" x14ac:dyDescent="0.2">
      <c r="A6271">
        <v>6210</v>
      </c>
      <c r="B6271" s="1832">
        <f>'Acct Summary 7-8'!G82</f>
        <v>-29433</v>
      </c>
      <c r="D6271" s="2" t="str">
        <f t="shared" ref="D6271:D6334" si="97">IF(ISBLANK(B6271),"OK",IF(A6271-B6271=0,"OK","Error?"))</f>
        <v>Error?</v>
      </c>
      <c r="E6271" s="2" t="s">
        <v>189</v>
      </c>
    </row>
    <row r="6272" spans="1:5" x14ac:dyDescent="0.2">
      <c r="A6272">
        <v>6211</v>
      </c>
      <c r="B6272" s="1832">
        <f>'Acct Summary 7-8'!H82</f>
        <v>-47473</v>
      </c>
      <c r="D6272" s="2" t="str">
        <f t="shared" si="97"/>
        <v>Error?</v>
      </c>
      <c r="E6272" s="2" t="s">
        <v>189</v>
      </c>
    </row>
    <row r="6273" spans="1:5" x14ac:dyDescent="0.2">
      <c r="A6273">
        <v>6212</v>
      </c>
      <c r="B6273" s="1832">
        <f>'Acct Summary 7-8'!I82</f>
        <v>50914</v>
      </c>
      <c r="D6273" s="2" t="str">
        <f t="shared" si="97"/>
        <v>Error?</v>
      </c>
      <c r="E6273" s="2" t="s">
        <v>189</v>
      </c>
    </row>
    <row r="6274" spans="1:5" x14ac:dyDescent="0.2">
      <c r="A6274">
        <v>6213</v>
      </c>
      <c r="B6274" s="1832">
        <f>'Acct Summary 7-8'!J82</f>
        <v>-90164</v>
      </c>
      <c r="D6274" s="2" t="str">
        <f t="shared" si="97"/>
        <v>Error?</v>
      </c>
      <c r="E6274" s="2" t="s">
        <v>189</v>
      </c>
    </row>
    <row r="6275" spans="1:5" x14ac:dyDescent="0.2">
      <c r="A6275">
        <v>6214</v>
      </c>
      <c r="B6275" s="1832">
        <f>'Acct Summary 7-8'!K82</f>
        <v>14747</v>
      </c>
      <c r="D6275" s="2" t="str">
        <f t="shared" si="97"/>
        <v>Error?</v>
      </c>
      <c r="E6275" s="2" t="s">
        <v>189</v>
      </c>
    </row>
    <row r="6276" spans="1:5" x14ac:dyDescent="0.2">
      <c r="A6276">
        <v>6215</v>
      </c>
      <c r="B6276" s="1832">
        <f>'Acct Summary 7-8'!C83</f>
        <v>0.17854952646793337</v>
      </c>
      <c r="D6276" s="2" t="str">
        <f t="shared" si="97"/>
        <v>Error?</v>
      </c>
      <c r="E6276" s="2" t="s">
        <v>189</v>
      </c>
    </row>
    <row r="6277" spans="1:5" x14ac:dyDescent="0.2">
      <c r="A6277">
        <v>6216</v>
      </c>
      <c r="B6277" s="1832">
        <f>'Acct Summary 7-8'!D83</f>
        <v>0.29122598978697944</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-9.7813249182361992E-2</v>
      </c>
      <c r="D6279" s="2" t="str">
        <f t="shared" si="97"/>
        <v>Error?</v>
      </c>
      <c r="E6279" s="2" t="s">
        <v>189</v>
      </c>
    </row>
    <row r="6280" spans="1:5" x14ac:dyDescent="0.2">
      <c r="A6280">
        <v>6219</v>
      </c>
      <c r="B6280" s="1832">
        <f>'Acct Summary 7-8'!G83</f>
        <v>-0.17485816129511361</v>
      </c>
      <c r="D6280" s="2" t="str">
        <f t="shared" si="97"/>
        <v>Error?</v>
      </c>
      <c r="E6280" s="2" t="s">
        <v>189</v>
      </c>
    </row>
    <row r="6281" spans="1:5" x14ac:dyDescent="0.2">
      <c r="A6281">
        <v>6220</v>
      </c>
      <c r="B6281" s="1832">
        <f>'Acct Summary 7-8'!H83</f>
        <v>-0.39498294367251852</v>
      </c>
      <c r="D6281" s="2" t="str">
        <f t="shared" si="97"/>
        <v>Error?</v>
      </c>
      <c r="E6281" s="2" t="s">
        <v>189</v>
      </c>
    </row>
    <row r="6282" spans="1:5" x14ac:dyDescent="0.2">
      <c r="A6282">
        <v>6221</v>
      </c>
      <c r="B6282" s="1832">
        <f>'Acct Summary 7-8'!I83</f>
        <v>3.4505520720662104E-2</v>
      </c>
      <c r="D6282" s="2" t="str">
        <f t="shared" si="97"/>
        <v>Error?</v>
      </c>
      <c r="E6282" s="2" t="s">
        <v>189</v>
      </c>
    </row>
    <row r="6283" spans="1:5" x14ac:dyDescent="0.2">
      <c r="A6283">
        <v>6222</v>
      </c>
      <c r="B6283" s="1832">
        <f>'Acct Summary 7-8'!J83</f>
        <v>-0.17990773552980238</v>
      </c>
      <c r="D6283" s="2" t="str">
        <f t="shared" si="97"/>
        <v>Error?</v>
      </c>
      <c r="E6283" s="2" t="s">
        <v>189</v>
      </c>
    </row>
    <row r="6284" spans="1:5" x14ac:dyDescent="0.2">
      <c r="A6284">
        <v>6223</v>
      </c>
      <c r="B6284" s="1832">
        <f>'Acct Summary 7-8'!K83</f>
        <v>6.0397187171075534E-2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224858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224858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17051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17051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241909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3791</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139940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166573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16101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332073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241909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6893</v>
      </c>
      <c r="D7073" s="2" t="str">
        <f t="shared" si="109"/>
        <v>Error?</v>
      </c>
    </row>
    <row r="7074" spans="1:4" x14ac:dyDescent="0.2">
      <c r="A7074">
        <v>7013</v>
      </c>
      <c r="B7074" s="1832">
        <f>'Expenditures 15-22'!K216</f>
        <v>6893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19010</v>
      </c>
      <c r="D7093" s="2" t="str">
        <f t="shared" si="109"/>
        <v>Error?</v>
      </c>
    </row>
    <row r="7094" spans="1:4" x14ac:dyDescent="0.2">
      <c r="A7094">
        <v>7033</v>
      </c>
      <c r="B7094" s="1832">
        <f>'Expenditures 15-22'!K254</f>
        <v>19010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18232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18232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1320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1320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233057</v>
      </c>
      <c r="D7172" s="2" t="str">
        <f t="shared" si="111"/>
        <v>Error?</v>
      </c>
    </row>
    <row r="7173" spans="1:4" x14ac:dyDescent="0.2">
      <c r="A7173">
        <v>7112</v>
      </c>
      <c r="B7173" s="1832">
        <f>'Expenditures 15-22'!D325</f>
        <v>26448</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259505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6940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6940</v>
      </c>
      <c r="D7198" s="2" t="str">
        <f t="shared" si="111"/>
        <v>Error?</v>
      </c>
    </row>
    <row r="7199" spans="1:4" x14ac:dyDescent="0.2">
      <c r="A7199">
        <v>7138</v>
      </c>
      <c r="B7199" s="1832">
        <f>'Expenditures 15-22'!C330</f>
        <v>233057</v>
      </c>
      <c r="D7199" s="2" t="str">
        <f t="shared" si="111"/>
        <v>Error?</v>
      </c>
    </row>
    <row r="7200" spans="1:4" x14ac:dyDescent="0.2">
      <c r="A7200">
        <v>7139</v>
      </c>
      <c r="B7200" s="1832">
        <f>'Expenditures 15-22'!D330</f>
        <v>26448</v>
      </c>
      <c r="D7200" s="2" t="str">
        <f t="shared" si="111"/>
        <v>Error?</v>
      </c>
    </row>
    <row r="7201" spans="1:4" x14ac:dyDescent="0.2">
      <c r="A7201">
        <v>7140</v>
      </c>
      <c r="B7201" s="1832">
        <f>'Expenditures 15-22'!E330</f>
        <v>72568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332073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233057</v>
      </c>
      <c r="D7216" s="2" t="str">
        <f t="shared" si="111"/>
        <v>Error?</v>
      </c>
    </row>
    <row r="7217" spans="1:4" x14ac:dyDescent="0.2">
      <c r="A7217">
        <v>7156</v>
      </c>
      <c r="B7217" s="1832">
        <f>'Expenditures 15-22'!D342</f>
        <v>26448</v>
      </c>
      <c r="D7217" s="2" t="str">
        <f t="shared" si="111"/>
        <v>Error?</v>
      </c>
    </row>
    <row r="7218" spans="1:4" x14ac:dyDescent="0.2">
      <c r="A7218">
        <v>7157</v>
      </c>
      <c r="B7218" s="1832">
        <f>'Expenditures 15-22'!E342</f>
        <v>72568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332073</v>
      </c>
      <c r="D7224" s="2" t="str">
        <f t="shared" si="111"/>
        <v>Error?</v>
      </c>
    </row>
    <row r="7225" spans="1:4" x14ac:dyDescent="0.2">
      <c r="A7225">
        <v>7164</v>
      </c>
      <c r="B7225" s="1832">
        <f>'Expenditures 15-22'!K343</f>
        <v>-90164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21887</v>
      </c>
      <c r="D7246" s="2" t="str">
        <f t="shared" si="112"/>
        <v>Error?</v>
      </c>
    </row>
    <row r="7247" spans="1:4" x14ac:dyDescent="0.2">
      <c r="A7247">
        <f t="shared" si="113"/>
        <v>7186</v>
      </c>
      <c r="B7247" s="1832">
        <f>'Expenditures 15-22'!E7</f>
        <v>1987</v>
      </c>
      <c r="D7247" s="2" t="str">
        <f t="shared" si="112"/>
        <v>Error?</v>
      </c>
    </row>
    <row r="7248" spans="1:4" x14ac:dyDescent="0.2">
      <c r="A7248">
        <f t="shared" si="113"/>
        <v>7187</v>
      </c>
      <c r="B7248" s="1832">
        <f>'Expenditures 15-22'!F7</f>
        <v>2759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16101</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244838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46076</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46076</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54947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400</v>
      </c>
      <c r="D7712" s="2" t="str">
        <f t="shared" si="126"/>
        <v>Error?</v>
      </c>
      <c r="E7712" s="2" t="s">
        <v>822</v>
      </c>
    </row>
    <row r="7713" spans="1:6" x14ac:dyDescent="0.2">
      <c r="A7713">
        <v>7652</v>
      </c>
      <c r="B7713" s="1832">
        <f>'Rest Tax Levies-Tort Im 25'!J8</f>
        <v>177983</v>
      </c>
      <c r="D7713" s="2" t="str">
        <f t="shared" si="126"/>
        <v>Error?</v>
      </c>
      <c r="E7713" s="2" t="s">
        <v>822</v>
      </c>
    </row>
    <row r="7714" spans="1:6" x14ac:dyDescent="0.2">
      <c r="A7714">
        <v>7653</v>
      </c>
      <c r="B7714" s="1832">
        <f>'Rest Tax Levies-Tort Im 25'!K9</f>
        <v>3088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177983</v>
      </c>
      <c r="D7718" s="2" t="str">
        <f t="shared" si="126"/>
        <v>Error?</v>
      </c>
      <c r="E7718" s="2" t="s">
        <v>822</v>
      </c>
    </row>
    <row r="7719" spans="1:6" x14ac:dyDescent="0.2">
      <c r="A7719">
        <v>7658</v>
      </c>
      <c r="B7719" s="1832">
        <f>'Rest Tax Levies-Tort Im 25'!K12</f>
        <v>3488</v>
      </c>
      <c r="D7719" s="2" t="str">
        <f t="shared" si="126"/>
        <v>Error?</v>
      </c>
      <c r="E7719" s="2" t="s">
        <v>822</v>
      </c>
    </row>
    <row r="7720" spans="1:6" x14ac:dyDescent="0.2">
      <c r="A7720">
        <v>7659</v>
      </c>
      <c r="B7720" s="1832">
        <f>'Rest Tax Levies-Tort Im 25'!H14</f>
        <v>40731</v>
      </c>
      <c r="D7720" s="2" t="str">
        <f t="shared" si="126"/>
        <v>Error?</v>
      </c>
      <c r="E7720" s="2" t="s">
        <v>822</v>
      </c>
    </row>
    <row r="7721" spans="1:6" x14ac:dyDescent="0.2">
      <c r="A7721">
        <v>7660</v>
      </c>
      <c r="B7721" s="1832">
        <f>'Rest Tax Levies-Tort Im 25'!K14</f>
        <v>3488</v>
      </c>
      <c r="D7721" s="2" t="str">
        <f t="shared" si="126"/>
        <v>Error?</v>
      </c>
      <c r="E7721" s="2" t="s">
        <v>822</v>
      </c>
    </row>
    <row r="7722" spans="1:6" x14ac:dyDescent="0.2">
      <c r="A7722">
        <v>7661</v>
      </c>
      <c r="B7722" s="1832">
        <f>'Rest Tax Levies-Tort Im 25'!J15</f>
        <v>227163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227163</v>
      </c>
      <c r="D7730" s="2" t="str">
        <f t="shared" si="126"/>
        <v>Error?</v>
      </c>
      <c r="E7730" s="2" t="s">
        <v>822</v>
      </c>
    </row>
    <row r="7731" spans="1:6" x14ac:dyDescent="0.2">
      <c r="A7731">
        <v>7670</v>
      </c>
      <c r="B7731" s="1832">
        <f>'Revenues 9-14'!H103</f>
        <v>177983</v>
      </c>
      <c r="D7731" s="2" t="str">
        <f t="shared" si="126"/>
        <v>Error?</v>
      </c>
      <c r="E7731" s="2" t="s">
        <v>822</v>
      </c>
    </row>
    <row r="7732" spans="1:6" x14ac:dyDescent="0.2">
      <c r="A7732">
        <v>7671</v>
      </c>
      <c r="B7732" s="1832">
        <f>'Rest Tax Levies-Tort Im 25'!J24</f>
        <v>5767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5767</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3488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111384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4814570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166573</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178906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880618</v>
      </c>
      <c r="D7834" s="2" t="str">
        <f t="shared" si="129"/>
        <v>Error?</v>
      </c>
      <c r="E7834" s="4" t="s">
        <v>1998</v>
      </c>
    </row>
    <row r="7835" spans="1:5" x14ac:dyDescent="0.2">
      <c r="A7835">
        <v>7774</v>
      </c>
      <c r="B7835" s="1832">
        <f>'PCTC-OEPP 27-28'!F78</f>
        <v>3933952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11931.913861085835</v>
      </c>
      <c r="D7837" s="2" t="str">
        <f t="shared" si="129"/>
        <v>Error?</v>
      </c>
      <c r="E7837" s="4" t="s">
        <v>1998</v>
      </c>
    </row>
    <row r="7838" spans="1:5" x14ac:dyDescent="0.2">
      <c r="A7838">
        <v>7777</v>
      </c>
      <c r="B7838" s="1832">
        <f>'PCTC-OEPP 27-28'!F96</f>
        <v>11742</v>
      </c>
      <c r="D7838" s="2" t="str">
        <f t="shared" si="129"/>
        <v>Error?</v>
      </c>
      <c r="E7838" s="4" t="s">
        <v>1998</v>
      </c>
    </row>
    <row r="7839" spans="1:5" x14ac:dyDescent="0.2">
      <c r="A7839">
        <v>7778</v>
      </c>
      <c r="B7839" s="1832">
        <f>'PCTC-OEPP 27-28'!F102</f>
        <v>30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10320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3088</v>
      </c>
      <c r="D7846" s="2" t="str">
        <f t="shared" si="129"/>
        <v>Error?</v>
      </c>
      <c r="E7846" s="4" t="s">
        <v>1998</v>
      </c>
    </row>
    <row r="7847" spans="1:5" x14ac:dyDescent="0.2">
      <c r="A7847">
        <v>7786</v>
      </c>
      <c r="B7847" s="1832">
        <f>'PCTC-OEPP 27-28'!F112</f>
        <v>154740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141467</v>
      </c>
      <c r="D7858" s="2" t="str">
        <f t="shared" si="129"/>
        <v>Error?</v>
      </c>
      <c r="E7858" s="4" t="s">
        <v>1998</v>
      </c>
    </row>
    <row r="7859" spans="1:5" x14ac:dyDescent="0.2">
      <c r="A7859">
        <v>7798</v>
      </c>
      <c r="B7859" s="1832">
        <f>'PCTC-OEPP 27-28'!F127</f>
        <v>106782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21000</v>
      </c>
      <c r="D7861" s="2" t="str">
        <f t="shared" si="129"/>
        <v>Error?</v>
      </c>
      <c r="E7861" s="4" t="s">
        <v>1998</v>
      </c>
    </row>
    <row r="7862" spans="1:5" x14ac:dyDescent="0.2">
      <c r="A7862">
        <v>7801</v>
      </c>
      <c r="B7862" s="1832">
        <f>'PCTC-OEPP 27-28'!F130</f>
        <v>4201</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9301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17475</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22840</v>
      </c>
      <c r="D7876" s="2" t="str">
        <f t="shared" si="129"/>
        <v>Error?</v>
      </c>
      <c r="E7876" s="4" t="s">
        <v>1998</v>
      </c>
    </row>
    <row r="7877" spans="1:5" x14ac:dyDescent="0.2">
      <c r="A7877">
        <v>7816</v>
      </c>
      <c r="B7877" s="1832">
        <f>'PCTC-OEPP 27-28'!F175</f>
        <v>680797</v>
      </c>
      <c r="D7877" s="2" t="str">
        <f t="shared" si="129"/>
        <v>Error?</v>
      </c>
      <c r="E7877" s="4" t="s">
        <v>1998</v>
      </c>
    </row>
    <row r="7878" spans="1:5" x14ac:dyDescent="0.2">
      <c r="A7878">
        <v>7817</v>
      </c>
      <c r="B7878" s="1832">
        <f>'PCTC-OEPP 27-28'!F176</f>
        <v>3253155</v>
      </c>
      <c r="D7878" s="2" t="str">
        <f t="shared" si="129"/>
        <v>Error?</v>
      </c>
      <c r="E7878" s="4" t="s">
        <v>1998</v>
      </c>
    </row>
    <row r="7879" spans="1:5" x14ac:dyDescent="0.2">
      <c r="A7879">
        <v>7818</v>
      </c>
      <c r="B7879" s="1832">
        <f>'PCTC-OEPP 27-28'!F178</f>
        <v>3497993</v>
      </c>
      <c r="D7879" s="2" t="str">
        <f t="shared" si="129"/>
        <v>Error?</v>
      </c>
      <c r="E7879" s="4" t="s">
        <v>1998</v>
      </c>
    </row>
    <row r="7880" spans="1:5" x14ac:dyDescent="0.2">
      <c r="A7880">
        <v>7819</v>
      </c>
      <c r="B7880" s="1832">
        <f>'PCTC-OEPP 27-28'!F180</f>
        <v>10609.62390051562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Shiloh CUSD 1</v>
      </c>
      <c r="B7" s="2519"/>
      <c r="C7" s="2519"/>
      <c r="D7" s="2557"/>
      <c r="E7" s="2558">
        <f>COVER!A13</f>
        <v>11023001026</v>
      </c>
      <c r="F7" s="2559"/>
      <c r="G7" s="2525" t="str">
        <f>COVER!T23</f>
        <v>065.018319</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Allen Hall</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21751 N 575TH ST</v>
      </c>
      <c r="B14" s="2544"/>
      <c r="C14" s="2544"/>
      <c r="D14" s="2544"/>
      <c r="E14" s="2544"/>
      <c r="F14" s="2545"/>
      <c r="G14" s="974" t="s">
        <v>1175</v>
      </c>
      <c r="H14" s="972"/>
      <c r="I14" s="972"/>
      <c r="J14" s="972"/>
      <c r="K14" s="972"/>
      <c r="L14" s="973"/>
    </row>
    <row r="15" spans="1:29" ht="13.5" customHeight="1" x14ac:dyDescent="0.2">
      <c r="A15" s="2531" t="str">
        <f>COVER!A21</f>
        <v>HUME</v>
      </c>
      <c r="B15" s="2544"/>
      <c r="C15" s="2544"/>
      <c r="D15" s="2544"/>
      <c r="E15" s="2544"/>
      <c r="F15" s="2545"/>
      <c r="G15" s="2541" t="str">
        <f>COVER!T15</f>
        <v>RUSS LEIGH</v>
      </c>
      <c r="H15" s="2542"/>
      <c r="I15" s="2542"/>
      <c r="J15" s="2542"/>
      <c r="K15" s="2542"/>
      <c r="L15" s="2543"/>
    </row>
    <row r="16" spans="1:29" ht="12.2" customHeight="1" x14ac:dyDescent="0.2">
      <c r="A16" s="2521">
        <f>COVER!A25</f>
        <v>61932</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Shiloh CUSD 1</v>
      </c>
      <c r="B1" s="2561"/>
      <c r="C1" s="2561"/>
      <c r="D1" s="2561"/>
    </row>
    <row r="2" spans="1:11" s="991" customFormat="1" ht="12.75" x14ac:dyDescent="0.2">
      <c r="A2" s="2562">
        <f>'Single Audit Cover'!E7</f>
        <v>11023001026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Shiloh CUSD 1</v>
      </c>
      <c r="B1" s="2565"/>
      <c r="C1" s="2565"/>
      <c r="D1" s="2565"/>
      <c r="E1" s="2565"/>
    </row>
    <row r="2" spans="1:5" x14ac:dyDescent="0.2">
      <c r="A2" s="2566">
        <f>'Single Audit Cover'!E7</f>
        <v>11023001026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323066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323066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323066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323066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Shiloh CUSD 1</v>
      </c>
      <c r="C1" s="2569"/>
      <c r="D1" s="2569"/>
      <c r="E1" s="2569"/>
      <c r="F1" s="2569"/>
      <c r="G1" s="2569"/>
      <c r="H1" s="2569"/>
      <c r="I1" s="2569"/>
      <c r="J1" s="2569"/>
      <c r="K1" s="2569"/>
      <c r="L1" s="2569"/>
      <c r="M1" s="2569"/>
    </row>
    <row r="2" spans="2:14" ht="15" x14ac:dyDescent="0.2">
      <c r="B2" s="2570">
        <f>'Single Audit Cover'!E7</f>
        <v>11023001026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Shiloh CUSD 1</v>
      </c>
      <c r="B1" s="2574"/>
      <c r="C1" s="2574"/>
      <c r="D1" s="2574"/>
      <c r="E1" s="2574"/>
      <c r="F1" s="2574"/>
    </row>
    <row r="2" spans="1:7" ht="13.5" customHeight="1" x14ac:dyDescent="0.2">
      <c r="A2" s="2570">
        <f>'Single Audit Cover'!E7</f>
        <v>11023001026</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1706</v>
      </c>
      <c r="B7" s="2573"/>
      <c r="C7" s="2573"/>
      <c r="D7" s="2573"/>
      <c r="E7" s="2573"/>
      <c r="F7" s="257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1708</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1709</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2068</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Shiloh CUSD 1</v>
      </c>
      <c r="C1" s="2590"/>
      <c r="D1" s="2590"/>
      <c r="E1" s="2590"/>
      <c r="F1" s="2590"/>
      <c r="G1" s="2590"/>
      <c r="H1" s="2590"/>
      <c r="I1" s="2590"/>
      <c r="J1" s="1178"/>
    </row>
    <row r="2" spans="2:10" s="295" customFormat="1" ht="12.75" customHeight="1" x14ac:dyDescent="0.2">
      <c r="B2" s="2591">
        <f>'Single Audit Cover'!E7</f>
        <v>11023001026</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c r="E29" s="2596"/>
      <c r="F29" s="2596"/>
      <c r="G29" s="2596"/>
      <c r="H29" s="2596"/>
      <c r="I29" s="259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7" t="s">
        <v>1728</v>
      </c>
      <c r="D37" s="2598"/>
      <c r="E37" s="2598"/>
      <c r="F37" s="2599"/>
      <c r="G37" s="2597" t="s">
        <v>1575</v>
      </c>
      <c r="H37" s="2598"/>
      <c r="I37" s="2599"/>
    </row>
    <row r="38" spans="2:9" ht="16.5" customHeight="1" x14ac:dyDescent="0.2">
      <c r="B38" s="1200"/>
      <c r="C38" s="2585"/>
      <c r="D38" s="2586"/>
      <c r="E38" s="2586"/>
      <c r="F38" s="2587"/>
      <c r="G38" s="2600"/>
      <c r="H38" s="2601"/>
      <c r="I38" s="2602"/>
    </row>
    <row r="39" spans="2:9" ht="16.5" customHeight="1" x14ac:dyDescent="0.2">
      <c r="B39" s="1200"/>
      <c r="C39" s="2585"/>
      <c r="D39" s="2586"/>
      <c r="E39" s="2586"/>
      <c r="F39" s="2587"/>
      <c r="G39" s="2588"/>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0</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0</v>
      </c>
      <c r="E45" s="260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9"/>
      <c r="F49" s="2609"/>
      <c r="G49" s="260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Shiloh CUSD 1</v>
      </c>
      <c r="C1" s="2589"/>
      <c r="D1" s="2589"/>
      <c r="E1" s="2589"/>
      <c r="F1" s="2589"/>
      <c r="G1" s="2589"/>
      <c r="H1" s="2589"/>
      <c r="I1" s="2589"/>
      <c r="J1" s="2589"/>
      <c r="K1" s="2589"/>
      <c r="L1" s="1144"/>
      <c r="M1" s="1144"/>
    </row>
    <row r="2" spans="1:13" ht="12" customHeight="1" x14ac:dyDescent="0.2">
      <c r="B2" s="2591">
        <f>'Single Audit Cover'!E7</f>
        <v>11023001026</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Shiloh CUSD 1</v>
      </c>
      <c r="C1" s="2616"/>
      <c r="D1" s="2616"/>
      <c r="E1" s="2616"/>
      <c r="F1" s="2616"/>
      <c r="G1" s="2616"/>
      <c r="H1" s="2616"/>
      <c r="I1" s="2616"/>
      <c r="J1" s="2616"/>
      <c r="K1" s="2616"/>
      <c r="L1" s="1221"/>
    </row>
    <row r="2" spans="1:12" ht="12.75" customHeight="1" x14ac:dyDescent="0.2">
      <c r="B2" s="2617">
        <f>'Single Audit Cover'!E7</f>
        <v>11023001026</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Shiloh CUSD 1</v>
      </c>
      <c r="C1" s="2589"/>
      <c r="D1" s="2589"/>
      <c r="E1" s="1240"/>
    </row>
    <row r="2" spans="2:5" s="1058" customFormat="1" ht="12.75" customHeight="1" x14ac:dyDescent="0.2">
      <c r="B2" s="2591">
        <f>'Single Audit Cover'!E7</f>
        <v>11023001026</v>
      </c>
      <c r="C2" s="2591"/>
      <c r="D2" s="2591"/>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107311480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2.4890200000000001E-2</v>
      </c>
      <c r="E10" s="333" t="s">
        <v>998</v>
      </c>
      <c r="F10" s="332">
        <v>4.9668000000000004E-3</v>
      </c>
      <c r="G10" s="333" t="s">
        <v>998</v>
      </c>
      <c r="H10" s="332">
        <v>1.9848999999999999E-3</v>
      </c>
      <c r="I10" s="333" t="s">
        <v>999</v>
      </c>
      <c r="J10" s="1424">
        <f>ROUND(D10+F10+H10,5)</f>
        <v>3.184E-2</v>
      </c>
      <c r="K10" s="217"/>
      <c r="L10" s="332">
        <v>4.9759999999999995E-4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5422782</v>
      </c>
      <c r="E16" s="1547"/>
      <c r="F16" s="1546">
        <f>SUM('Acct Summary 7-8'!C17,'Acct Summary 7-8'!D17,'Acct Summary 7-8'!F17)</f>
        <v>4326799</v>
      </c>
      <c r="G16" s="1547"/>
      <c r="H16" s="1546">
        <f>SUM(D16-F16)</f>
        <v>1095983</v>
      </c>
      <c r="I16" s="1548"/>
      <c r="J16" s="1546">
        <f>SUM('Acct Summary 7-8'!C81,'Acct Summary 7-8'!D81,'Acct Summary 7-8'!F81,'Acct Summary 7-8'!I81)</f>
        <v>7866911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14808984.240000002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Shiloh CUSD 1</v>
      </c>
      <c r="E7" s="368"/>
      <c r="G7" s="247"/>
      <c r="H7" s="364"/>
      <c r="I7" s="364"/>
      <c r="J7" s="364"/>
      <c r="K7" s="364"/>
      <c r="L7" s="307"/>
      <c r="M7" s="307"/>
      <c r="N7" s="307"/>
      <c r="O7" s="307"/>
      <c r="P7" s="307"/>
    </row>
    <row r="8" spans="1:18" ht="12.75" x14ac:dyDescent="0.2">
      <c r="A8" s="307"/>
      <c r="B8" s="307"/>
      <c r="C8" s="366" t="s">
        <v>1115</v>
      </c>
      <c r="D8" s="369">
        <f>COVER!A13</f>
        <v>11023001026</v>
      </c>
      <c r="E8" s="370"/>
      <c r="G8" s="307"/>
      <c r="H8" s="307"/>
      <c r="I8" s="307"/>
      <c r="J8" s="307"/>
      <c r="K8" s="307"/>
      <c r="L8" s="307"/>
      <c r="M8" s="307"/>
      <c r="N8" s="307"/>
      <c r="O8" s="307"/>
      <c r="P8" s="307"/>
    </row>
    <row r="9" spans="1:18" ht="12.75" x14ac:dyDescent="0.2">
      <c r="A9" s="307"/>
      <c r="B9" s="307"/>
      <c r="C9" s="366" t="s">
        <v>708</v>
      </c>
      <c r="D9" s="371" t="str">
        <f>COVER!A15</f>
        <v>EDGAR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7866911</v>
      </c>
      <c r="I12" s="380"/>
      <c r="J12" s="380"/>
      <c r="K12" s="1559">
        <f>TRUNC((H12/H13*100000),5)/100000</f>
        <v>1.4507149651</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5422782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4326799</v>
      </c>
      <c r="I17" s="380"/>
      <c r="J17" s="389"/>
      <c r="K17" s="1559">
        <f>TRUNC((H17/H18*100000),5)/100000</f>
        <v>0.79789285269999988</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5422782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7848248</v>
      </c>
      <c r="I24" s="394"/>
      <c r="J24" s="394"/>
      <c r="K24" s="1555">
        <f>TRUNC(((H24/H25*100000)/100000),2)</f>
        <v>652.99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12018.886109999999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2904277.8947200002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14808984.240000002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221073</v>
      </c>
      <c r="D4" s="1573">
        <v>288848</v>
      </c>
      <c r="E4" s="1573"/>
      <c r="F4" s="1573">
        <v>127795</v>
      </c>
      <c r="G4" s="1573">
        <v>18325</v>
      </c>
      <c r="H4" s="1573">
        <v>20190</v>
      </c>
      <c r="I4" s="1573">
        <v>532</v>
      </c>
      <c r="J4" s="1574">
        <v>50014</v>
      </c>
      <c r="K4" s="1573">
        <v>19167</v>
      </c>
      <c r="L4" s="1573">
        <v>77281</v>
      </c>
      <c r="M4" s="1575"/>
      <c r="N4" s="1576"/>
    </row>
    <row r="5" spans="1:14" x14ac:dyDescent="0.2">
      <c r="A5" s="427" t="s">
        <v>985</v>
      </c>
      <c r="B5" s="429">
        <v>120</v>
      </c>
      <c r="C5" s="1572">
        <v>4750000</v>
      </c>
      <c r="D5" s="1573">
        <v>460000</v>
      </c>
      <c r="E5" s="1573"/>
      <c r="F5" s="1573">
        <v>525000</v>
      </c>
      <c r="G5" s="1573">
        <v>150000</v>
      </c>
      <c r="H5" s="1573">
        <v>100000</v>
      </c>
      <c r="I5" s="1573">
        <v>1475000</v>
      </c>
      <c r="J5" s="1574">
        <v>450000</v>
      </c>
      <c r="K5" s="1577">
        <v>225000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20316</v>
      </c>
      <c r="D11" s="1574"/>
      <c r="E11" s="1574"/>
      <c r="F11" s="1574"/>
      <c r="G11" s="1574"/>
      <c r="H11" s="1574"/>
      <c r="I11" s="1583"/>
      <c r="J11" s="1583">
        <v>1154</v>
      </c>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4991389</v>
      </c>
      <c r="D13" s="1587">
        <f t="shared" ref="D13:L13" si="0">SUM(D4:D12)</f>
        <v>748848</v>
      </c>
      <c r="E13" s="1587">
        <f t="shared" si="0"/>
        <v>0</v>
      </c>
      <c r="F13" s="1587">
        <f t="shared" si="0"/>
        <v>652795</v>
      </c>
      <c r="G13" s="1587">
        <f t="shared" si="0"/>
        <v>168325</v>
      </c>
      <c r="H13" s="1587">
        <f t="shared" si="0"/>
        <v>120190</v>
      </c>
      <c r="I13" s="1587">
        <f t="shared" si="0"/>
        <v>1475532</v>
      </c>
      <c r="J13" s="1587">
        <f t="shared" si="0"/>
        <v>501168</v>
      </c>
      <c r="K13" s="1587">
        <f t="shared" si="0"/>
        <v>244167</v>
      </c>
      <c r="L13" s="1587">
        <f t="shared" si="0"/>
        <v>77281</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78704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4341571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1032296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3090583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8543154</v>
      </c>
      <c r="N23" s="1594">
        <f>SUM(N21:N22)</f>
        <v>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1653</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77281</v>
      </c>
      <c r="M33" s="1575"/>
      <c r="N33" s="1576"/>
    </row>
    <row r="34" spans="1:14" ht="13.5" customHeight="1" thickBot="1" x14ac:dyDescent="0.25">
      <c r="A34" s="1427" t="s">
        <v>649</v>
      </c>
      <c r="B34" s="1428"/>
      <c r="C34" s="1600">
        <f>SUM(C25:C33)</f>
        <v>1653</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77281</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v>50000</v>
      </c>
      <c r="E38" s="1573"/>
      <c r="F38" s="1573"/>
      <c r="G38" s="1573">
        <v>168325</v>
      </c>
      <c r="H38" s="1573">
        <v>5767</v>
      </c>
      <c r="I38" s="1573"/>
      <c r="J38" s="1574"/>
      <c r="K38" s="1573"/>
      <c r="L38" s="1586"/>
      <c r="M38" s="1604"/>
      <c r="N38" s="1604"/>
    </row>
    <row r="39" spans="1:14" s="307" customFormat="1" ht="13.5" customHeight="1" x14ac:dyDescent="0.2">
      <c r="A39" s="438" t="s">
        <v>339</v>
      </c>
      <c r="B39" s="432">
        <v>730</v>
      </c>
      <c r="C39" s="1573">
        <v>4989736</v>
      </c>
      <c r="D39" s="1573">
        <v>698848</v>
      </c>
      <c r="E39" s="1573"/>
      <c r="F39" s="1573">
        <v>652795</v>
      </c>
      <c r="G39" s="1573"/>
      <c r="H39" s="1573">
        <v>114423</v>
      </c>
      <c r="I39" s="1573">
        <v>1475532</v>
      </c>
      <c r="J39" s="1574">
        <v>501168</v>
      </c>
      <c r="K39" s="1573">
        <v>244167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8543154</v>
      </c>
      <c r="N40" s="1604"/>
    </row>
    <row r="41" spans="1:14" ht="13.5" customHeight="1" thickBot="1" x14ac:dyDescent="0.25">
      <c r="A41" s="1426" t="s">
        <v>650</v>
      </c>
      <c r="B41" s="1405"/>
      <c r="C41" s="1594">
        <f>(SUM(C34,C37,C38,C39))</f>
        <v>4991389</v>
      </c>
      <c r="D41" s="1594">
        <f t="shared" ref="D41:L41" si="2">SUM(D34,D37,D38:D39)</f>
        <v>748848</v>
      </c>
      <c r="E41" s="1594">
        <f t="shared" si="2"/>
        <v>0</v>
      </c>
      <c r="F41" s="1594">
        <f t="shared" si="2"/>
        <v>652795</v>
      </c>
      <c r="G41" s="1594">
        <f t="shared" si="2"/>
        <v>168325</v>
      </c>
      <c r="H41" s="1594">
        <f t="shared" si="2"/>
        <v>120190</v>
      </c>
      <c r="I41" s="1594">
        <f t="shared" si="2"/>
        <v>1475532</v>
      </c>
      <c r="J41" s="1594">
        <f t="shared" si="2"/>
        <v>501168</v>
      </c>
      <c r="K41" s="1594">
        <f t="shared" si="2"/>
        <v>244167</v>
      </c>
      <c r="L41" s="1594">
        <f t="shared" si="2"/>
        <v>77281</v>
      </c>
      <c r="M41" s="1594">
        <f>SUM(M40)</f>
        <v>8543154</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3012988</v>
      </c>
      <c r="D4" s="1606">
        <f>'Revenues 9-14'!D109</f>
        <v>526501</v>
      </c>
      <c r="E4" s="1606">
        <f>'Revenues 9-14'!E109</f>
        <v>78</v>
      </c>
      <c r="F4" s="1606">
        <f>'Revenues 9-14'!F109</f>
        <v>217803</v>
      </c>
      <c r="G4" s="1606">
        <f>'Revenues 9-14'!G109</f>
        <v>126265</v>
      </c>
      <c r="H4" s="1606">
        <f>'Revenues 9-14'!H109</f>
        <v>179689</v>
      </c>
      <c r="I4" s="1606">
        <f>'Revenues 9-14'!I109</f>
        <v>86381</v>
      </c>
      <c r="J4" s="1606">
        <f>'Revenues 9-14'!J109</f>
        <v>241909</v>
      </c>
      <c r="K4" s="1606">
        <f>'Revenues 9-14'!K109</f>
        <v>55498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1051303</v>
      </c>
      <c r="D6" s="1607">
        <f>'Revenues 9-14'!D170</f>
        <v>50000</v>
      </c>
      <c r="E6" s="1607">
        <f>'Revenues 9-14'!E170</f>
        <v>0</v>
      </c>
      <c r="F6" s="1607">
        <f>'Revenues 9-14'!F170</f>
        <v>154740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323066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4387357</v>
      </c>
      <c r="D8" s="1594">
        <f t="shared" ref="D8:K8" si="0">SUM(D4:D7)</f>
        <v>576501</v>
      </c>
      <c r="E8" s="1594">
        <f t="shared" si="0"/>
        <v>78</v>
      </c>
      <c r="F8" s="1594">
        <f t="shared" si="0"/>
        <v>372543</v>
      </c>
      <c r="G8" s="1594">
        <f t="shared" si="0"/>
        <v>126265</v>
      </c>
      <c r="H8" s="1594">
        <f t="shared" si="0"/>
        <v>179689</v>
      </c>
      <c r="I8" s="1594">
        <f t="shared" si="0"/>
        <v>86381</v>
      </c>
      <c r="J8" s="1594">
        <f t="shared" si="0"/>
        <v>241909</v>
      </c>
      <c r="K8" s="1594">
        <f t="shared" si="0"/>
        <v>55498</v>
      </c>
      <c r="L8" s="325"/>
    </row>
    <row r="9" spans="1:13" ht="15.75" thickTop="1" x14ac:dyDescent="0.2">
      <c r="A9" s="449" t="s">
        <v>1634</v>
      </c>
      <c r="B9" s="450">
        <v>3998</v>
      </c>
      <c r="C9" s="1586">
        <v>1581149</v>
      </c>
      <c r="D9" s="1613"/>
      <c r="E9" s="1586"/>
      <c r="F9" s="1586"/>
      <c r="G9" s="1614"/>
      <c r="H9" s="1586"/>
      <c r="I9" s="1609" t="s">
        <v>1159</v>
      </c>
      <c r="J9" s="1583"/>
      <c r="K9" s="1586"/>
      <c r="L9" s="325"/>
    </row>
    <row r="10" spans="1:13" s="452" customFormat="1" ht="13.5" thickBot="1" x14ac:dyDescent="0.25">
      <c r="A10" s="1426" t="s">
        <v>1163</v>
      </c>
      <c r="B10" s="1407"/>
      <c r="C10" s="1594">
        <f>SUM(C8:C9)</f>
        <v>5968506</v>
      </c>
      <c r="D10" s="1594">
        <f t="shared" ref="D10:K10" si="1">SUM(D8:D9)</f>
        <v>576501</v>
      </c>
      <c r="E10" s="1594">
        <f t="shared" si="1"/>
        <v>78</v>
      </c>
      <c r="F10" s="1594">
        <f t="shared" si="1"/>
        <v>372543</v>
      </c>
      <c r="G10" s="1594">
        <f t="shared" si="1"/>
        <v>126265</v>
      </c>
      <c r="H10" s="1594">
        <f t="shared" si="1"/>
        <v>179689</v>
      </c>
      <c r="I10" s="1594">
        <f t="shared" si="1"/>
        <v>86381</v>
      </c>
      <c r="J10" s="1594">
        <f t="shared" si="1"/>
        <v>241909</v>
      </c>
      <c r="K10" s="1594">
        <f t="shared" si="1"/>
        <v>55498</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2105769</v>
      </c>
      <c r="D12" s="1616" t="s">
        <v>1159</v>
      </c>
      <c r="E12" s="1575" t="s">
        <v>1159</v>
      </c>
      <c r="F12" s="1575" t="s">
        <v>1159</v>
      </c>
      <c r="G12" s="1606">
        <f>'Expenditures 15-22'!K229</f>
        <v>40849</v>
      </c>
      <c r="H12" s="1617"/>
      <c r="I12" s="1575" t="s">
        <v>1159</v>
      </c>
      <c r="J12" s="1575" t="s">
        <v>1159</v>
      </c>
      <c r="K12" s="1617" t="s">
        <v>1159</v>
      </c>
      <c r="L12" s="325"/>
    </row>
    <row r="13" spans="1:13" ht="15.75" customHeight="1" x14ac:dyDescent="0.2">
      <c r="A13" s="1314" t="s">
        <v>454</v>
      </c>
      <c r="B13" s="1316">
        <v>2000</v>
      </c>
      <c r="C13" s="1607">
        <f>'Expenditures 15-22'!K74</f>
        <v>909090</v>
      </c>
      <c r="D13" s="1607">
        <f>'Expenditures 15-22'!K129</f>
        <v>543884</v>
      </c>
      <c r="E13" s="1576" t="s">
        <v>1159</v>
      </c>
      <c r="F13" s="1607">
        <f>'Expenditures 15-22'!K184</f>
        <v>436395</v>
      </c>
      <c r="G13" s="1607">
        <f>'Expenditures 15-22'!K279</f>
        <v>94263</v>
      </c>
      <c r="H13" s="1607">
        <f>'Expenditures 15-22'!K303</f>
        <v>227162</v>
      </c>
      <c r="I13" s="1575" t="s">
        <v>1159</v>
      </c>
      <c r="J13" s="1607">
        <f>'Expenditures 15-22'!K330</f>
        <v>332073</v>
      </c>
      <c r="K13" s="1618">
        <f>'Expenditures 15-22'!K352</f>
        <v>40751</v>
      </c>
      <c r="L13" s="325"/>
    </row>
    <row r="14" spans="1:13" ht="15.75" customHeight="1" x14ac:dyDescent="0.2">
      <c r="A14" s="1314" t="s">
        <v>446</v>
      </c>
      <c r="B14" s="1316">
        <v>3000</v>
      </c>
      <c r="C14" s="1607">
        <f>'Expenditures 15-22'!K75</f>
        <v>189309</v>
      </c>
      <c r="D14" s="1607">
        <f>'Expenditures 15-22'!K130</f>
        <v>0</v>
      </c>
      <c r="E14" s="1616" t="s">
        <v>1159</v>
      </c>
      <c r="F14" s="1607">
        <f>'Expenditures 15-22'!K185</f>
        <v>0</v>
      </c>
      <c r="G14" s="1607">
        <f>'Expenditures 15-22'!K280</f>
        <v>20586</v>
      </c>
      <c r="H14" s="1612"/>
      <c r="I14" s="1575" t="s">
        <v>1159</v>
      </c>
      <c r="J14" s="1575" t="s">
        <v>1159</v>
      </c>
      <c r="K14" s="1612" t="s">
        <v>1159</v>
      </c>
      <c r="L14" s="325"/>
    </row>
    <row r="15" spans="1:13" ht="15.75" customHeight="1" x14ac:dyDescent="0.2">
      <c r="A15" s="1314" t="s">
        <v>107</v>
      </c>
      <c r="B15" s="1316">
        <v>4000</v>
      </c>
      <c r="C15" s="1607">
        <f>'Expenditures 15-22'!K102</f>
        <v>142352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3346520</v>
      </c>
      <c r="D17" s="1594">
        <f t="shared" si="2"/>
        <v>543884</v>
      </c>
      <c r="E17" s="1594">
        <f t="shared" si="2"/>
        <v>0</v>
      </c>
      <c r="F17" s="1594">
        <f t="shared" si="2"/>
        <v>436395</v>
      </c>
      <c r="G17" s="1594">
        <f t="shared" si="2"/>
        <v>155698</v>
      </c>
      <c r="H17" s="1594">
        <f t="shared" si="2"/>
        <v>227162</v>
      </c>
      <c r="I17" s="1575"/>
      <c r="J17" s="1594">
        <f>SUM(J12:J16)</f>
        <v>332073</v>
      </c>
      <c r="K17" s="1594">
        <f>SUM(K12:K16)</f>
        <v>40751</v>
      </c>
      <c r="L17" s="325"/>
    </row>
    <row r="18" spans="1:12" ht="15" customHeight="1" thickTop="1" x14ac:dyDescent="0.2">
      <c r="A18" s="1430" t="s">
        <v>1635</v>
      </c>
      <c r="B18" s="1431">
        <v>4180</v>
      </c>
      <c r="C18" s="1606">
        <f t="shared" ref="C18:H18" si="3">C9</f>
        <v>1581149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4927669</v>
      </c>
      <c r="D19" s="1594">
        <f t="shared" si="4"/>
        <v>543884</v>
      </c>
      <c r="E19" s="1594">
        <f t="shared" si="4"/>
        <v>0</v>
      </c>
      <c r="F19" s="1594">
        <f t="shared" si="4"/>
        <v>436395</v>
      </c>
      <c r="G19" s="1594">
        <f t="shared" si="4"/>
        <v>155698</v>
      </c>
      <c r="H19" s="1594">
        <f t="shared" si="4"/>
        <v>227162</v>
      </c>
      <c r="I19" s="1575"/>
      <c r="J19" s="1594">
        <f>SUM(J17:J18)</f>
        <v>332073</v>
      </c>
      <c r="K19" s="1594">
        <f>SUM(K17:K18)</f>
        <v>40751</v>
      </c>
      <c r="L19" s="325"/>
    </row>
    <row r="20" spans="1:12" ht="16.5" thickTop="1" thickBot="1" x14ac:dyDescent="0.25">
      <c r="A20" s="2234" t="s">
        <v>1636</v>
      </c>
      <c r="B20" s="2235"/>
      <c r="C20" s="1622">
        <f>C8-C17</f>
        <v>1040837</v>
      </c>
      <c r="D20" s="1622">
        <f t="shared" ref="D20:K20" si="5">D8-D17</f>
        <v>32617</v>
      </c>
      <c r="E20" s="1622">
        <f t="shared" si="5"/>
        <v>78</v>
      </c>
      <c r="F20" s="1622">
        <f t="shared" si="5"/>
        <v>-63852</v>
      </c>
      <c r="G20" s="1622">
        <f t="shared" si="5"/>
        <v>-29433</v>
      </c>
      <c r="H20" s="1622">
        <f t="shared" si="5"/>
        <v>-47473</v>
      </c>
      <c r="I20" s="1622">
        <f t="shared" si="5"/>
        <v>86381</v>
      </c>
      <c r="J20" s="1622">
        <f t="shared" si="5"/>
        <v>-90164</v>
      </c>
      <c r="K20" s="1622">
        <f t="shared" si="5"/>
        <v>14747</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v>35467</v>
      </c>
      <c r="E26" s="1574"/>
      <c r="F26" s="1574"/>
      <c r="G26" s="1574"/>
      <c r="H26" s="1574"/>
      <c r="I26" s="1582"/>
      <c r="J26" s="1574"/>
      <c r="K26" s="1574"/>
      <c r="L26" s="453"/>
    </row>
    <row r="27" spans="1:12" s="433" customFormat="1" ht="13.5" customHeight="1" x14ac:dyDescent="0.2">
      <c r="A27" s="1260" t="s">
        <v>184</v>
      </c>
      <c r="B27" s="432">
        <v>7130</v>
      </c>
      <c r="C27" s="1574"/>
      <c r="D27" s="1574">
        <v>150000</v>
      </c>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78</v>
      </c>
      <c r="D43" s="1574"/>
      <c r="E43" s="1574"/>
      <c r="F43" s="1574"/>
      <c r="G43" s="1574"/>
      <c r="H43" s="1574"/>
      <c r="I43" s="1574"/>
      <c r="J43" s="1574"/>
      <c r="K43" s="1574"/>
      <c r="L43" s="453"/>
    </row>
    <row r="44" spans="1:12" s="433" customFormat="1" ht="13.5" customHeight="1" thickBot="1" x14ac:dyDescent="0.25">
      <c r="A44" s="2248" t="s">
        <v>371</v>
      </c>
      <c r="B44" s="2249"/>
      <c r="C44" s="1624">
        <f>SUM(C24:C43)</f>
        <v>78</v>
      </c>
      <c r="D44" s="1624">
        <f t="shared" ref="D44:K44" si="6">SUM(D24:D43)</f>
        <v>185467</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35467</v>
      </c>
      <c r="J48" s="1582"/>
      <c r="K48" s="1582"/>
      <c r="L48" s="456"/>
    </row>
    <row r="49" spans="1:12" s="433" customFormat="1" x14ac:dyDescent="0.2">
      <c r="A49" s="1261" t="s">
        <v>184</v>
      </c>
      <c r="B49" s="432">
        <v>8130</v>
      </c>
      <c r="C49" s="1574">
        <v>150000</v>
      </c>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78</v>
      </c>
      <c r="F75" s="1628"/>
      <c r="G75" s="1628"/>
      <c r="H75" s="1628"/>
      <c r="I75" s="1626"/>
      <c r="J75" s="1626"/>
      <c r="K75" s="1628"/>
      <c r="L75" s="453"/>
    </row>
    <row r="76" spans="1:12" s="433" customFormat="1" ht="14.25" thickTop="1" thickBot="1" x14ac:dyDescent="0.25">
      <c r="A76" s="2224" t="s">
        <v>437</v>
      </c>
      <c r="B76" s="2225"/>
      <c r="C76" s="1624">
        <f t="shared" ref="C76:K76" si="7">SUM(C47:C75)</f>
        <v>150000</v>
      </c>
      <c r="D76" s="1624">
        <f t="shared" si="7"/>
        <v>0</v>
      </c>
      <c r="E76" s="1624">
        <f t="shared" si="7"/>
        <v>78</v>
      </c>
      <c r="F76" s="1624">
        <f t="shared" si="7"/>
        <v>0</v>
      </c>
      <c r="G76" s="1624">
        <f t="shared" si="7"/>
        <v>0</v>
      </c>
      <c r="H76" s="1624">
        <f t="shared" si="7"/>
        <v>0</v>
      </c>
      <c r="I76" s="1624">
        <f t="shared" si="7"/>
        <v>35467</v>
      </c>
      <c r="J76" s="1624">
        <f t="shared" si="7"/>
        <v>0</v>
      </c>
      <c r="K76" s="1624">
        <f t="shared" si="7"/>
        <v>0</v>
      </c>
      <c r="L76" s="453"/>
    </row>
    <row r="77" spans="1:12" ht="14.25" thickTop="1" thickBot="1" x14ac:dyDescent="0.25">
      <c r="A77" s="2226" t="s">
        <v>1167</v>
      </c>
      <c r="B77" s="2227"/>
      <c r="C77" s="1624">
        <f t="shared" ref="C77:K77" si="8">C44-C76</f>
        <v>-149922</v>
      </c>
      <c r="D77" s="1624">
        <f t="shared" si="8"/>
        <v>185467</v>
      </c>
      <c r="E77" s="1624">
        <f t="shared" si="8"/>
        <v>-78</v>
      </c>
      <c r="F77" s="1624">
        <f t="shared" si="8"/>
        <v>0</v>
      </c>
      <c r="G77" s="1624">
        <f t="shared" si="8"/>
        <v>0</v>
      </c>
      <c r="H77" s="1624">
        <f t="shared" si="8"/>
        <v>0</v>
      </c>
      <c r="I77" s="1624">
        <f t="shared" si="8"/>
        <v>-35467</v>
      </c>
      <c r="J77" s="1624">
        <f t="shared" si="8"/>
        <v>0</v>
      </c>
      <c r="K77" s="1624">
        <f t="shared" si="8"/>
        <v>0</v>
      </c>
      <c r="L77" s="325"/>
    </row>
    <row r="78" spans="1:12" ht="21.75" customHeight="1" thickTop="1" thickBot="1" x14ac:dyDescent="0.25">
      <c r="A78" s="2230" t="s">
        <v>593</v>
      </c>
      <c r="B78" s="2231"/>
      <c r="C78" s="1629">
        <f t="shared" ref="C78:K78" si="9">C20+C77</f>
        <v>890915</v>
      </c>
      <c r="D78" s="1629">
        <f t="shared" si="9"/>
        <v>218084</v>
      </c>
      <c r="E78" s="1629">
        <f t="shared" si="9"/>
        <v>0</v>
      </c>
      <c r="F78" s="1629">
        <f t="shared" si="9"/>
        <v>-63852</v>
      </c>
      <c r="G78" s="1629">
        <f t="shared" si="9"/>
        <v>-29433</v>
      </c>
      <c r="H78" s="1629">
        <f t="shared" si="9"/>
        <v>-47473</v>
      </c>
      <c r="I78" s="1629">
        <f t="shared" si="9"/>
        <v>50914</v>
      </c>
      <c r="J78" s="1629">
        <f t="shared" si="9"/>
        <v>-90164</v>
      </c>
      <c r="K78" s="1629">
        <f t="shared" si="9"/>
        <v>14747</v>
      </c>
      <c r="L78" s="457"/>
    </row>
    <row r="79" spans="1:12" ht="13.5" thickTop="1" x14ac:dyDescent="0.2">
      <c r="A79" s="1844" t="str">
        <f>"Fund Balances - July 1, "&amp;'AFR20'!E2-1</f>
        <v>Fund Balances - July 1, 2019</v>
      </c>
      <c r="B79" s="458"/>
      <c r="C79" s="1583">
        <v>4098821</v>
      </c>
      <c r="D79" s="1630">
        <v>530764</v>
      </c>
      <c r="E79" s="1630">
        <v>0</v>
      </c>
      <c r="F79" s="1630">
        <v>716647</v>
      </c>
      <c r="G79" s="1630">
        <v>197758</v>
      </c>
      <c r="H79" s="1630">
        <v>167663</v>
      </c>
      <c r="I79" s="1630">
        <v>1424618</v>
      </c>
      <c r="J79" s="1630">
        <v>591332</v>
      </c>
      <c r="K79" s="1630">
        <v>229420</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4989736</v>
      </c>
      <c r="D81" s="1594">
        <f>SUM(D78:D80)</f>
        <v>748848</v>
      </c>
      <c r="E81" s="1594">
        <f t="shared" ref="E81:K81" si="10">SUM(E78:E80)</f>
        <v>0</v>
      </c>
      <c r="F81" s="1594">
        <f t="shared" si="10"/>
        <v>652795</v>
      </c>
      <c r="G81" s="1594">
        <f t="shared" si="10"/>
        <v>168325</v>
      </c>
      <c r="H81" s="1594">
        <f t="shared" si="10"/>
        <v>120190</v>
      </c>
      <c r="I81" s="1594">
        <f t="shared" si="10"/>
        <v>1475532</v>
      </c>
      <c r="J81" s="1594">
        <f t="shared" si="10"/>
        <v>501168</v>
      </c>
      <c r="K81" s="1594">
        <f t="shared" si="10"/>
        <v>244167</v>
      </c>
      <c r="L81" s="325"/>
    </row>
    <row r="82" spans="1:12" ht="0.75" customHeight="1" thickTop="1" thickBot="1" x14ac:dyDescent="0.25">
      <c r="A82" s="459" t="s">
        <v>340</v>
      </c>
      <c r="B82" s="460"/>
      <c r="C82" s="461">
        <f>(C81-C79)</f>
        <v>890915</v>
      </c>
      <c r="D82" s="461">
        <f t="shared" ref="D82:K82" si="11">(D81-D79)</f>
        <v>218084</v>
      </c>
      <c r="E82" s="461">
        <f t="shared" si="11"/>
        <v>0</v>
      </c>
      <c r="F82" s="461">
        <f t="shared" si="11"/>
        <v>-63852</v>
      </c>
      <c r="G82" s="461">
        <f t="shared" si="11"/>
        <v>-29433</v>
      </c>
      <c r="H82" s="461">
        <f t="shared" si="11"/>
        <v>-47473</v>
      </c>
      <c r="I82" s="461">
        <f t="shared" si="11"/>
        <v>50914</v>
      </c>
      <c r="J82" s="461">
        <f t="shared" si="11"/>
        <v>-90164</v>
      </c>
      <c r="K82" s="461">
        <f t="shared" si="11"/>
        <v>14747</v>
      </c>
    </row>
    <row r="83" spans="1:12" ht="14.25" hidden="1" thickTop="1" thickBot="1" x14ac:dyDescent="0.25">
      <c r="A83" s="462" t="s">
        <v>341</v>
      </c>
      <c r="B83" s="428"/>
      <c r="C83" s="463">
        <f>C82/C81</f>
        <v>0.17854952646793337</v>
      </c>
      <c r="D83" s="463">
        <f t="shared" ref="D83:K83" si="12">D82/D81</f>
        <v>0.29122598978697944</v>
      </c>
      <c r="E83" s="463" t="e">
        <f t="shared" si="12"/>
        <v>#DIV/0!</v>
      </c>
      <c r="F83" s="463">
        <f t="shared" si="12"/>
        <v>-9.7813249182361992E-2</v>
      </c>
      <c r="G83" s="463">
        <f t="shared" si="12"/>
        <v>-0.17485816129511361</v>
      </c>
      <c r="H83" s="463">
        <f t="shared" si="12"/>
        <v>-0.39498294367251852</v>
      </c>
      <c r="I83" s="463">
        <f t="shared" si="12"/>
        <v>3.4505520720662104E-2</v>
      </c>
      <c r="J83" s="463">
        <f t="shared" si="12"/>
        <v>-0.17990773552980238</v>
      </c>
      <c r="K83" s="463">
        <f t="shared" si="12"/>
        <v>6.0397187171075534E-2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2545674</v>
      </c>
      <c r="D5" s="1586">
        <v>509134</v>
      </c>
      <c r="E5" s="1573">
        <v>78</v>
      </c>
      <c r="F5" s="1631">
        <v>203654</v>
      </c>
      <c r="G5" s="1573">
        <v>55481</v>
      </c>
      <c r="H5" s="1573"/>
      <c r="I5" s="1573">
        <v>50914</v>
      </c>
      <c r="J5" s="1574">
        <v>224858</v>
      </c>
      <c r="K5" s="1573">
        <v>50914</v>
      </c>
    </row>
    <row r="6" spans="1:12" ht="15" x14ac:dyDescent="0.2">
      <c r="A6" s="427" t="s">
        <v>1643</v>
      </c>
      <c r="B6" s="429">
        <v>1130</v>
      </c>
      <c r="C6" s="1573">
        <v>50914</v>
      </c>
      <c r="D6" s="1573"/>
      <c r="E6" s="1580"/>
      <c r="F6" s="1580"/>
      <c r="G6" s="1575"/>
      <c r="H6" s="1575"/>
      <c r="I6" s="1575"/>
      <c r="J6" s="1575"/>
      <c r="K6" s="1575"/>
    </row>
    <row r="7" spans="1:12" x14ac:dyDescent="0.2">
      <c r="A7" s="427" t="s">
        <v>110</v>
      </c>
      <c r="B7" s="471">
        <v>1140</v>
      </c>
      <c r="C7" s="1573">
        <v>40731</v>
      </c>
      <c r="D7" s="1573"/>
      <c r="E7" s="1575"/>
      <c r="F7" s="1574"/>
      <c r="G7" s="1574"/>
      <c r="H7" s="1574"/>
      <c r="I7" s="1575"/>
      <c r="J7" s="1575"/>
      <c r="K7" s="1575"/>
    </row>
    <row r="8" spans="1:12" x14ac:dyDescent="0.2">
      <c r="A8" s="427" t="s">
        <v>410</v>
      </c>
      <c r="B8" s="429">
        <v>1150</v>
      </c>
      <c r="C8" s="1580"/>
      <c r="D8" s="1580"/>
      <c r="E8" s="1582"/>
      <c r="F8" s="1582"/>
      <c r="G8" s="1586">
        <v>55481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2637319</v>
      </c>
      <c r="D12" s="1633">
        <f t="shared" si="0"/>
        <v>509134</v>
      </c>
      <c r="E12" s="1633">
        <f t="shared" si="0"/>
        <v>78</v>
      </c>
      <c r="F12" s="1633">
        <f t="shared" si="0"/>
        <v>203654</v>
      </c>
      <c r="G12" s="1633">
        <f t="shared" si="0"/>
        <v>110962</v>
      </c>
      <c r="H12" s="1633">
        <f t="shared" si="0"/>
        <v>0</v>
      </c>
      <c r="I12" s="1633">
        <f t="shared" si="0"/>
        <v>50914</v>
      </c>
      <c r="J12" s="1633">
        <f t="shared" si="0"/>
        <v>224858</v>
      </c>
      <c r="K12" s="1594">
        <f t="shared" si="0"/>
        <v>50914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206807</v>
      </c>
      <c r="D16" s="1573"/>
      <c r="E16" s="1573"/>
      <c r="F16" s="1573"/>
      <c r="G16" s="1573">
        <v>10885</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206807</v>
      </c>
      <c r="D18" s="1635">
        <f t="shared" ref="D18:K18" si="1">SUM(D14:D17)</f>
        <v>0</v>
      </c>
      <c r="E18" s="1635">
        <f t="shared" si="1"/>
        <v>0</v>
      </c>
      <c r="F18" s="1635">
        <f t="shared" si="1"/>
        <v>0</v>
      </c>
      <c r="G18" s="1635">
        <f t="shared" si="1"/>
        <v>10885</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119752</v>
      </c>
      <c r="D65" s="1573">
        <v>14082</v>
      </c>
      <c r="E65" s="1573"/>
      <c r="F65" s="1574">
        <v>14149</v>
      </c>
      <c r="G65" s="1573">
        <v>4418</v>
      </c>
      <c r="H65" s="1573">
        <v>1706</v>
      </c>
      <c r="I65" s="1573">
        <v>35467</v>
      </c>
      <c r="J65" s="1574">
        <v>17051</v>
      </c>
      <c r="K65" s="1573">
        <v>4534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119752</v>
      </c>
      <c r="D67" s="1594">
        <f t="shared" ref="D67:K67" si="2">SUM(D65:D66)</f>
        <v>14082</v>
      </c>
      <c r="E67" s="1594">
        <f t="shared" si="2"/>
        <v>0</v>
      </c>
      <c r="F67" s="1594">
        <f t="shared" si="2"/>
        <v>14149</v>
      </c>
      <c r="G67" s="1594">
        <f t="shared" si="2"/>
        <v>4418</v>
      </c>
      <c r="H67" s="1594">
        <f t="shared" si="2"/>
        <v>1706</v>
      </c>
      <c r="I67" s="1594">
        <f t="shared" si="2"/>
        <v>35467</v>
      </c>
      <c r="J67" s="1594">
        <f t="shared" si="2"/>
        <v>17051</v>
      </c>
      <c r="K67" s="1594">
        <f t="shared" si="2"/>
        <v>4534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716</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716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10204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1538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11742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12305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12305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30</v>
      </c>
      <c r="E95" s="1617"/>
      <c r="F95" s="1617"/>
      <c r="G95" s="1617"/>
      <c r="H95" s="1617"/>
      <c r="I95" s="1617"/>
      <c r="J95" s="1617"/>
      <c r="K95" s="1617"/>
    </row>
    <row r="96" spans="1:11" ht="12.75" customHeight="1" x14ac:dyDescent="0.2">
      <c r="A96" s="427" t="s">
        <v>388</v>
      </c>
      <c r="B96" s="429">
        <v>1920</v>
      </c>
      <c r="C96" s="1632">
        <v>563</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71</v>
      </c>
      <c r="D99" s="1573">
        <v>25</v>
      </c>
      <c r="E99" s="1573"/>
      <c r="F99" s="1573"/>
      <c r="G99" s="1573"/>
      <c r="H99" s="1573"/>
      <c r="I99" s="1575"/>
      <c r="J99" s="1574"/>
      <c r="K99" s="1573">
        <v>50</v>
      </c>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177983</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23313</v>
      </c>
      <c r="D107" s="1573">
        <v>3230</v>
      </c>
      <c r="E107" s="1573"/>
      <c r="F107" s="1573"/>
      <c r="G107" s="1573"/>
      <c r="H107" s="1573"/>
      <c r="I107" s="1573"/>
      <c r="J107" s="1574"/>
      <c r="K107" s="1573"/>
    </row>
    <row r="108" spans="1:12" ht="12.75" customHeight="1" thickBot="1" x14ac:dyDescent="0.25">
      <c r="A108" s="1406" t="s">
        <v>484</v>
      </c>
      <c r="B108" s="1408"/>
      <c r="C108" s="1633">
        <f>SUM(C95:C107)</f>
        <v>24347</v>
      </c>
      <c r="D108" s="1633">
        <f t="shared" ref="D108:K108" si="3">SUM(D95:D107)</f>
        <v>3285</v>
      </c>
      <c r="E108" s="1633">
        <f t="shared" si="3"/>
        <v>0</v>
      </c>
      <c r="F108" s="1633">
        <f t="shared" si="3"/>
        <v>0</v>
      </c>
      <c r="G108" s="1633">
        <f t="shared" si="3"/>
        <v>0</v>
      </c>
      <c r="H108" s="1633">
        <f t="shared" si="3"/>
        <v>177983</v>
      </c>
      <c r="I108" s="1633">
        <f t="shared" si="3"/>
        <v>0</v>
      </c>
      <c r="J108" s="1633">
        <f t="shared" si="3"/>
        <v>0</v>
      </c>
      <c r="K108" s="1594">
        <f t="shared" si="3"/>
        <v>50</v>
      </c>
    </row>
    <row r="109" spans="1:12" ht="14.25" thickTop="1" thickBot="1" x14ac:dyDescent="0.25">
      <c r="A109" s="1409" t="s">
        <v>246</v>
      </c>
      <c r="B109" s="1410" t="s">
        <v>566</v>
      </c>
      <c r="C109" s="1641">
        <f t="shared" ref="C109:K109" si="4">SUM(C12,C18,C40,C63,C67,C75,C82,C93,C108,)</f>
        <v>3012988</v>
      </c>
      <c r="D109" s="1641">
        <f t="shared" si="4"/>
        <v>526501</v>
      </c>
      <c r="E109" s="1641">
        <f t="shared" si="4"/>
        <v>78</v>
      </c>
      <c r="F109" s="1641">
        <f t="shared" si="4"/>
        <v>217803</v>
      </c>
      <c r="G109" s="1641">
        <f t="shared" si="4"/>
        <v>126265</v>
      </c>
      <c r="H109" s="1641">
        <f t="shared" si="4"/>
        <v>179689</v>
      </c>
      <c r="I109" s="1641">
        <f t="shared" si="4"/>
        <v>86381</v>
      </c>
      <c r="J109" s="1641">
        <f t="shared" si="4"/>
        <v>241909</v>
      </c>
      <c r="K109" s="1629">
        <f t="shared" si="4"/>
        <v>55498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608098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608098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6529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3791</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10320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1906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3088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60833</v>
      </c>
      <c r="G152" s="1574"/>
      <c r="H152" s="1575"/>
      <c r="I152" s="1575"/>
      <c r="J152" s="1575"/>
      <c r="K152" s="1575"/>
    </row>
    <row r="153" spans="1:11" ht="12.75" customHeight="1" x14ac:dyDescent="0.2">
      <c r="A153" s="427" t="s">
        <v>1048</v>
      </c>
      <c r="B153" s="478">
        <v>3510</v>
      </c>
      <c r="C153" s="1632"/>
      <c r="D153" s="1573"/>
      <c r="E153" s="1640"/>
      <c r="F153" s="1573">
        <v>93907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154740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426391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1500</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443205</v>
      </c>
      <c r="D169" s="1658">
        <f t="shared" si="6"/>
        <v>50000</v>
      </c>
      <c r="E169" s="1658">
        <f t="shared" si="6"/>
        <v>0</v>
      </c>
      <c r="F169" s="1658">
        <f t="shared" si="6"/>
        <v>154740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1051303</v>
      </c>
      <c r="D170" s="1641">
        <f t="shared" si="7"/>
        <v>50000</v>
      </c>
      <c r="E170" s="1641">
        <f t="shared" si="7"/>
        <v>0</v>
      </c>
      <c r="F170" s="1641">
        <f t="shared" si="7"/>
        <v>154740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87992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31804</v>
      </c>
      <c r="D193" s="1575"/>
      <c r="E193" s="1640"/>
      <c r="F193" s="1575"/>
      <c r="G193" s="1664"/>
      <c r="H193" s="1575"/>
      <c r="I193" s="1575"/>
      <c r="J193" s="1575"/>
      <c r="K193" s="1575"/>
    </row>
    <row r="194" spans="1:11" ht="12.75" customHeight="1" x14ac:dyDescent="0.2">
      <c r="A194" s="427" t="s">
        <v>1434</v>
      </c>
      <c r="B194" s="429">
        <v>4225</v>
      </c>
      <c r="C194" s="1632">
        <v>21671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141467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106782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106782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21000</v>
      </c>
      <c r="D213" s="1573"/>
      <c r="E213" s="1575"/>
      <c r="F213" s="1573"/>
      <c r="G213" s="1573"/>
      <c r="H213" s="1575"/>
      <c r="I213" s="1575"/>
      <c r="J213" s="1575"/>
      <c r="K213" s="1575"/>
    </row>
    <row r="214" spans="1:11" ht="12.75" customHeight="1" x14ac:dyDescent="0.2">
      <c r="A214" s="427" t="s">
        <v>1045</v>
      </c>
      <c r="B214" s="429">
        <v>4625</v>
      </c>
      <c r="C214" s="1632">
        <v>4201</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25201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9301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17475</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22840</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323066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323066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4387357</v>
      </c>
      <c r="D268" s="1641">
        <f t="shared" si="12"/>
        <v>576501</v>
      </c>
      <c r="E268" s="1641">
        <f t="shared" si="12"/>
        <v>78</v>
      </c>
      <c r="F268" s="1641">
        <f t="shared" si="12"/>
        <v>372543</v>
      </c>
      <c r="G268" s="1641">
        <f t="shared" si="12"/>
        <v>126265</v>
      </c>
      <c r="H268" s="1641">
        <f t="shared" si="12"/>
        <v>179689</v>
      </c>
      <c r="I268" s="1641">
        <f t="shared" si="12"/>
        <v>86381</v>
      </c>
      <c r="J268" s="1641">
        <f t="shared" si="12"/>
        <v>241909</v>
      </c>
      <c r="K268" s="1629">
        <f t="shared" si="12"/>
        <v>55498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948312</v>
      </c>
      <c r="D5" s="1573">
        <v>156366</v>
      </c>
      <c r="E5" s="1573">
        <v>4097</v>
      </c>
      <c r="F5" s="1573">
        <v>63156</v>
      </c>
      <c r="G5" s="1573">
        <v>1800</v>
      </c>
      <c r="H5" s="1573">
        <v>1860</v>
      </c>
      <c r="I5" s="1574"/>
      <c r="J5" s="1574"/>
      <c r="K5" s="1672">
        <f>SUM(C5:J5)</f>
        <v>1175591</v>
      </c>
      <c r="L5" s="1573">
        <v>1376177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139940</v>
      </c>
      <c r="D7" s="1574">
        <v>21887</v>
      </c>
      <c r="E7" s="1574">
        <v>1987</v>
      </c>
      <c r="F7" s="1574">
        <v>2759</v>
      </c>
      <c r="G7" s="1574"/>
      <c r="H7" s="1574"/>
      <c r="I7" s="1574"/>
      <c r="J7" s="1574"/>
      <c r="K7" s="1672">
        <f t="shared" ref="K7:K32" si="0">SUM(C7:J7)</f>
        <v>166573</v>
      </c>
      <c r="L7" s="1573">
        <v>173359</v>
      </c>
    </row>
    <row r="8" spans="1:14" x14ac:dyDescent="0.2">
      <c r="A8" s="1274" t="s">
        <v>163</v>
      </c>
      <c r="B8" s="503">
        <v>1200</v>
      </c>
      <c r="C8" s="1573">
        <v>170112</v>
      </c>
      <c r="D8" s="1573">
        <v>29552</v>
      </c>
      <c r="E8" s="1573">
        <v>31886</v>
      </c>
      <c r="F8" s="1573">
        <v>827</v>
      </c>
      <c r="G8" s="1573"/>
      <c r="H8" s="1573">
        <v>133</v>
      </c>
      <c r="I8" s="1574"/>
      <c r="J8" s="1574"/>
      <c r="K8" s="1672">
        <f t="shared" si="0"/>
        <v>232510</v>
      </c>
      <c r="L8" s="1573">
        <v>236500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74976</v>
      </c>
      <c r="D10" s="1573">
        <v>11678</v>
      </c>
      <c r="E10" s="1573">
        <v>1605</v>
      </c>
      <c r="F10" s="1573">
        <v>127</v>
      </c>
      <c r="G10" s="1573"/>
      <c r="H10" s="1573"/>
      <c r="I10" s="1574"/>
      <c r="J10" s="1574"/>
      <c r="K10" s="1672">
        <f t="shared" si="0"/>
        <v>88386</v>
      </c>
      <c r="L10" s="1573">
        <v>123005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164532</v>
      </c>
      <c r="D13" s="1573">
        <v>21286</v>
      </c>
      <c r="E13" s="1573">
        <v>231</v>
      </c>
      <c r="F13" s="1573">
        <v>13473</v>
      </c>
      <c r="G13" s="1573">
        <v>7943</v>
      </c>
      <c r="H13" s="1573"/>
      <c r="I13" s="1574"/>
      <c r="J13" s="1574"/>
      <c r="K13" s="1672">
        <f t="shared" si="0"/>
        <v>207465</v>
      </c>
      <c r="L13" s="1573">
        <v>199961</v>
      </c>
    </row>
    <row r="14" spans="1:14" x14ac:dyDescent="0.2">
      <c r="A14" s="1274" t="s">
        <v>957</v>
      </c>
      <c r="B14" s="503">
        <v>1500</v>
      </c>
      <c r="C14" s="1573">
        <v>164208</v>
      </c>
      <c r="D14" s="1573">
        <v>11052</v>
      </c>
      <c r="E14" s="1573">
        <v>17390</v>
      </c>
      <c r="F14" s="1573">
        <v>11513</v>
      </c>
      <c r="G14" s="1573">
        <v>5366</v>
      </c>
      <c r="H14" s="1573">
        <v>9614</v>
      </c>
      <c r="I14" s="1574"/>
      <c r="J14" s="1574"/>
      <c r="K14" s="1672">
        <f t="shared" si="0"/>
        <v>219143</v>
      </c>
      <c r="L14" s="1573">
        <v>282100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v>16101</v>
      </c>
      <c r="H17" s="1574"/>
      <c r="I17" s="1574"/>
      <c r="J17" s="1574"/>
      <c r="K17" s="1672">
        <f t="shared" si="0"/>
        <v>16101</v>
      </c>
      <c r="L17" s="1573">
        <v>16500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1662080</v>
      </c>
      <c r="D33" s="1674">
        <f t="shared" ref="D33:L33" si="1">SUM(D5:D32)</f>
        <v>251821</v>
      </c>
      <c r="E33" s="1674">
        <f t="shared" si="1"/>
        <v>57196</v>
      </c>
      <c r="F33" s="1674">
        <f t="shared" si="1"/>
        <v>91855</v>
      </c>
      <c r="G33" s="1674">
        <f t="shared" si="1"/>
        <v>31210</v>
      </c>
      <c r="H33" s="1674">
        <f t="shared" si="1"/>
        <v>11607</v>
      </c>
      <c r="I33" s="1674">
        <f t="shared" si="1"/>
        <v>0</v>
      </c>
      <c r="J33" s="1674">
        <f t="shared" si="1"/>
        <v>0</v>
      </c>
      <c r="K33" s="1674">
        <f t="shared" si="1"/>
        <v>2105769</v>
      </c>
      <c r="L33" s="1674">
        <f t="shared" si="1"/>
        <v>2407602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45928</v>
      </c>
      <c r="D37" s="1573">
        <v>10245</v>
      </c>
      <c r="E37" s="1573">
        <v>2577</v>
      </c>
      <c r="F37" s="1573">
        <v>6573</v>
      </c>
      <c r="G37" s="1573"/>
      <c r="H37" s="1573">
        <v>564</v>
      </c>
      <c r="I37" s="1574"/>
      <c r="J37" s="1574"/>
      <c r="K37" s="1672">
        <f t="shared" si="2"/>
        <v>65887</v>
      </c>
      <c r="L37" s="1573">
        <v>68800</v>
      </c>
    </row>
    <row r="38" spans="1:14" x14ac:dyDescent="0.2">
      <c r="A38" s="1274" t="s">
        <v>196</v>
      </c>
      <c r="B38" s="503">
        <v>2130</v>
      </c>
      <c r="C38" s="1573">
        <v>16297</v>
      </c>
      <c r="D38" s="1573"/>
      <c r="E38" s="1573"/>
      <c r="F38" s="1573">
        <v>1188</v>
      </c>
      <c r="G38" s="1573"/>
      <c r="H38" s="1573"/>
      <c r="I38" s="1574"/>
      <c r="J38" s="1574"/>
      <c r="K38" s="1672">
        <f t="shared" si="2"/>
        <v>17485</v>
      </c>
      <c r="L38" s="1573">
        <v>24600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53780</v>
      </c>
      <c r="D40" s="1573">
        <v>11316</v>
      </c>
      <c r="E40" s="1573">
        <v>11</v>
      </c>
      <c r="F40" s="1573"/>
      <c r="G40" s="1573"/>
      <c r="H40" s="1573"/>
      <c r="I40" s="1574"/>
      <c r="J40" s="1574"/>
      <c r="K40" s="1672">
        <f t="shared" si="2"/>
        <v>65107</v>
      </c>
      <c r="L40" s="1573">
        <v>68100</v>
      </c>
    </row>
    <row r="41" spans="1:14" x14ac:dyDescent="0.2">
      <c r="A41" s="1274" t="s">
        <v>1650</v>
      </c>
      <c r="B41" s="503">
        <v>2190</v>
      </c>
      <c r="C41" s="1573"/>
      <c r="D41" s="1573"/>
      <c r="E41" s="1573"/>
      <c r="F41" s="1573">
        <v>283</v>
      </c>
      <c r="G41" s="1573"/>
      <c r="H41" s="1573"/>
      <c r="I41" s="1574"/>
      <c r="J41" s="1574"/>
      <c r="K41" s="1672">
        <f t="shared" si="2"/>
        <v>283</v>
      </c>
      <c r="L41" s="1573">
        <v>2700</v>
      </c>
    </row>
    <row r="42" spans="1:14" ht="12.75" customHeight="1" thickBot="1" x14ac:dyDescent="0.25">
      <c r="A42" s="1380" t="s">
        <v>556</v>
      </c>
      <c r="B42" s="1381" t="s">
        <v>711</v>
      </c>
      <c r="C42" s="1674">
        <f>SUM(C36:C41)</f>
        <v>116005</v>
      </c>
      <c r="D42" s="1674">
        <f t="shared" ref="D42:L42" si="3">SUM(D36:D41)</f>
        <v>21561</v>
      </c>
      <c r="E42" s="1674">
        <f t="shared" si="3"/>
        <v>2588</v>
      </c>
      <c r="F42" s="1674">
        <f t="shared" si="3"/>
        <v>8044</v>
      </c>
      <c r="G42" s="1674">
        <f t="shared" si="3"/>
        <v>0</v>
      </c>
      <c r="H42" s="1674">
        <f t="shared" si="3"/>
        <v>564</v>
      </c>
      <c r="I42" s="1674">
        <f t="shared" si="3"/>
        <v>0</v>
      </c>
      <c r="J42" s="1674">
        <f t="shared" si="3"/>
        <v>0</v>
      </c>
      <c r="K42" s="1674">
        <f t="shared" si="3"/>
        <v>148762</v>
      </c>
      <c r="L42" s="1674">
        <f t="shared" si="3"/>
        <v>164200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440</v>
      </c>
      <c r="D44" s="1586"/>
      <c r="E44" s="1586">
        <v>29471</v>
      </c>
      <c r="F44" s="1586">
        <v>53</v>
      </c>
      <c r="G44" s="1586">
        <v>5992</v>
      </c>
      <c r="H44" s="1586"/>
      <c r="I44" s="1574"/>
      <c r="J44" s="1574"/>
      <c r="K44" s="1678">
        <f>SUM(C44:J44)</f>
        <v>35956</v>
      </c>
      <c r="L44" s="1586">
        <v>76257</v>
      </c>
    </row>
    <row r="45" spans="1:14" x14ac:dyDescent="0.2">
      <c r="A45" s="1274" t="s">
        <v>810</v>
      </c>
      <c r="B45" s="503">
        <v>2220</v>
      </c>
      <c r="C45" s="1573">
        <v>27545</v>
      </c>
      <c r="D45" s="1573">
        <v>5466</v>
      </c>
      <c r="E45" s="1573">
        <v>1760</v>
      </c>
      <c r="F45" s="1573">
        <v>1622</v>
      </c>
      <c r="G45" s="1573"/>
      <c r="H45" s="1573"/>
      <c r="I45" s="1574"/>
      <c r="J45" s="1574"/>
      <c r="K45" s="1678">
        <f>SUM(C45:J45)</f>
        <v>36393</v>
      </c>
      <c r="L45" s="1573">
        <v>41200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27985</v>
      </c>
      <c r="D47" s="1674">
        <f t="shared" ref="D47:K47" si="4">SUM(D44:D46)</f>
        <v>5466</v>
      </c>
      <c r="E47" s="1674">
        <f t="shared" si="4"/>
        <v>31231</v>
      </c>
      <c r="F47" s="1674">
        <f t="shared" si="4"/>
        <v>1675</v>
      </c>
      <c r="G47" s="1674">
        <f t="shared" si="4"/>
        <v>5992</v>
      </c>
      <c r="H47" s="1674">
        <f t="shared" si="4"/>
        <v>0</v>
      </c>
      <c r="I47" s="1674">
        <f t="shared" si="4"/>
        <v>0</v>
      </c>
      <c r="J47" s="1674">
        <f t="shared" si="4"/>
        <v>0</v>
      </c>
      <c r="K47" s="1674">
        <f t="shared" si="4"/>
        <v>72349</v>
      </c>
      <c r="L47" s="1674">
        <f>SUM(L44:L46)</f>
        <v>117457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8689</v>
      </c>
      <c r="D49" s="1586"/>
      <c r="E49" s="1586">
        <v>20186</v>
      </c>
      <c r="F49" s="1586">
        <v>5467</v>
      </c>
      <c r="G49" s="1586">
        <v>1112</v>
      </c>
      <c r="H49" s="1586">
        <v>4964</v>
      </c>
      <c r="I49" s="1574"/>
      <c r="J49" s="1574"/>
      <c r="K49" s="1678">
        <f>SUM(C49:J49)</f>
        <v>40418</v>
      </c>
      <c r="L49" s="1586">
        <v>50825</v>
      </c>
    </row>
    <row r="50" spans="1:14" x14ac:dyDescent="0.2">
      <c r="A50" s="1274" t="s">
        <v>813</v>
      </c>
      <c r="B50" s="503">
        <v>2320</v>
      </c>
      <c r="C50" s="1573">
        <v>82756</v>
      </c>
      <c r="D50" s="1573">
        <v>7408</v>
      </c>
      <c r="E50" s="1573">
        <v>1201</v>
      </c>
      <c r="F50" s="1573">
        <v>626</v>
      </c>
      <c r="G50" s="1573"/>
      <c r="H50" s="1573">
        <v>100</v>
      </c>
      <c r="I50" s="1574"/>
      <c r="J50" s="1574"/>
      <c r="K50" s="1678">
        <f>SUM(C50:J50)</f>
        <v>92091</v>
      </c>
      <c r="L50" s="1573">
        <v>92170</v>
      </c>
    </row>
    <row r="51" spans="1:14" x14ac:dyDescent="0.2">
      <c r="A51" s="1274" t="s">
        <v>42</v>
      </c>
      <c r="B51" s="503">
        <v>2330</v>
      </c>
      <c r="C51" s="1573">
        <v>5543</v>
      </c>
      <c r="D51" s="1573"/>
      <c r="E51" s="1573">
        <v>2832</v>
      </c>
      <c r="F51" s="1573"/>
      <c r="G51" s="1573"/>
      <c r="H51" s="1573"/>
      <c r="I51" s="1574"/>
      <c r="J51" s="1574"/>
      <c r="K51" s="1678">
        <f>SUM(C51:J51)</f>
        <v>8375</v>
      </c>
      <c r="L51" s="1573">
        <v>8382</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96988</v>
      </c>
      <c r="D53" s="1674">
        <f t="shared" ref="D53:L53" si="5">SUM(D49:D52)</f>
        <v>7408</v>
      </c>
      <c r="E53" s="1674">
        <f t="shared" si="5"/>
        <v>24219</v>
      </c>
      <c r="F53" s="1674">
        <f t="shared" si="5"/>
        <v>6093</v>
      </c>
      <c r="G53" s="1674">
        <f t="shared" si="5"/>
        <v>1112</v>
      </c>
      <c r="H53" s="1674">
        <f t="shared" si="5"/>
        <v>5064</v>
      </c>
      <c r="I53" s="1674">
        <f t="shared" si="5"/>
        <v>0</v>
      </c>
      <c r="J53" s="1674">
        <f t="shared" si="5"/>
        <v>0</v>
      </c>
      <c r="K53" s="1674">
        <f t="shared" si="5"/>
        <v>140884</v>
      </c>
      <c r="L53" s="1674">
        <f t="shared" si="5"/>
        <v>151377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121890</v>
      </c>
      <c r="D55" s="1586">
        <v>13572</v>
      </c>
      <c r="E55" s="1586">
        <v>26141</v>
      </c>
      <c r="F55" s="1586">
        <v>2122</v>
      </c>
      <c r="G55" s="1586"/>
      <c r="H55" s="1586">
        <v>8264</v>
      </c>
      <c r="I55" s="1574"/>
      <c r="J55" s="1574"/>
      <c r="K55" s="1678">
        <f>SUM(C55:J55)</f>
        <v>171989</v>
      </c>
      <c r="L55" s="1586">
        <v>196600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121890</v>
      </c>
      <c r="D57" s="1679">
        <f t="shared" ref="D57:K57" si="6">SUM(D55:D56)</f>
        <v>13572</v>
      </c>
      <c r="E57" s="1679">
        <f t="shared" si="6"/>
        <v>26141</v>
      </c>
      <c r="F57" s="1679">
        <f t="shared" si="6"/>
        <v>2122</v>
      </c>
      <c r="G57" s="1679">
        <f t="shared" si="6"/>
        <v>0</v>
      </c>
      <c r="H57" s="1679">
        <f t="shared" si="6"/>
        <v>8264</v>
      </c>
      <c r="I57" s="1679">
        <f t="shared" si="6"/>
        <v>0</v>
      </c>
      <c r="J57" s="1679">
        <f t="shared" si="6"/>
        <v>0</v>
      </c>
      <c r="K57" s="1679">
        <f t="shared" si="6"/>
        <v>171989</v>
      </c>
      <c r="L57" s="1674">
        <f>SUM(L55:L56)</f>
        <v>196600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46636</v>
      </c>
      <c r="D60" s="1573">
        <v>4627</v>
      </c>
      <c r="E60" s="1573">
        <v>2904</v>
      </c>
      <c r="F60" s="1573">
        <v>477</v>
      </c>
      <c r="G60" s="1573"/>
      <c r="H60" s="1573">
        <v>1121</v>
      </c>
      <c r="I60" s="1574"/>
      <c r="J60" s="1574"/>
      <c r="K60" s="1678">
        <f t="shared" si="7"/>
        <v>55765</v>
      </c>
      <c r="L60" s="1573">
        <v>66500</v>
      </c>
      <c r="M60" s="501"/>
      <c r="N60" s="501"/>
    </row>
    <row r="61" spans="1:14" s="321" customFormat="1" x14ac:dyDescent="0.2">
      <c r="A61" s="1274" t="s">
        <v>195</v>
      </c>
      <c r="B61" s="503">
        <v>2540</v>
      </c>
      <c r="C61" s="1573"/>
      <c r="D61" s="1573"/>
      <c r="E61" s="1573">
        <v>14400</v>
      </c>
      <c r="F61" s="1573">
        <v>630</v>
      </c>
      <c r="G61" s="1573"/>
      <c r="H61" s="1573"/>
      <c r="I61" s="1574"/>
      <c r="J61" s="1574"/>
      <c r="K61" s="1678">
        <f t="shared" si="7"/>
        <v>15030</v>
      </c>
      <c r="L61" s="1573">
        <v>14400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153782</v>
      </c>
      <c r="F63" s="1573"/>
      <c r="G63" s="1573"/>
      <c r="H63" s="1573"/>
      <c r="I63" s="1574"/>
      <c r="J63" s="1574"/>
      <c r="K63" s="1678">
        <f t="shared" si="7"/>
        <v>153782</v>
      </c>
      <c r="L63" s="1573">
        <v>230000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46636</v>
      </c>
      <c r="D65" s="1674">
        <f t="shared" ref="D65:L65" si="8">SUM(D59:D64)</f>
        <v>4627</v>
      </c>
      <c r="E65" s="1674">
        <f t="shared" si="8"/>
        <v>171086</v>
      </c>
      <c r="F65" s="1674">
        <f t="shared" si="8"/>
        <v>1107</v>
      </c>
      <c r="G65" s="1674">
        <f t="shared" si="8"/>
        <v>0</v>
      </c>
      <c r="H65" s="1674">
        <f t="shared" si="8"/>
        <v>1121</v>
      </c>
      <c r="I65" s="1674">
        <f t="shared" si="8"/>
        <v>0</v>
      </c>
      <c r="J65" s="1674">
        <f t="shared" si="8"/>
        <v>0</v>
      </c>
      <c r="K65" s="1674">
        <f t="shared" si="8"/>
        <v>224577</v>
      </c>
      <c r="L65" s="1674">
        <f t="shared" si="8"/>
        <v>310900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80948</v>
      </c>
      <c r="D71" s="1573">
        <v>15039</v>
      </c>
      <c r="E71" s="1573">
        <v>22626</v>
      </c>
      <c r="F71" s="1573">
        <v>9851</v>
      </c>
      <c r="G71" s="1573">
        <v>22065</v>
      </c>
      <c r="H71" s="1573"/>
      <c r="I71" s="1574"/>
      <c r="J71" s="1574"/>
      <c r="K71" s="1678">
        <f>SUM(C71:J71)</f>
        <v>150529</v>
      </c>
      <c r="L71" s="1573">
        <v>182000</v>
      </c>
      <c r="M71" s="501"/>
      <c r="N71" s="501"/>
    </row>
    <row r="72" spans="1:14" s="321" customFormat="1" ht="12.75" customHeight="1" thickBot="1" x14ac:dyDescent="0.25">
      <c r="A72" s="1380" t="s">
        <v>37</v>
      </c>
      <c r="B72" s="1383" t="s">
        <v>36</v>
      </c>
      <c r="C72" s="1674">
        <f>SUM(C67:C71)</f>
        <v>80948</v>
      </c>
      <c r="D72" s="1674">
        <f t="shared" ref="D72:K72" si="9">SUM(D67:D71)</f>
        <v>15039</v>
      </c>
      <c r="E72" s="1674">
        <f t="shared" si="9"/>
        <v>22626</v>
      </c>
      <c r="F72" s="1674">
        <f t="shared" si="9"/>
        <v>9851</v>
      </c>
      <c r="G72" s="1674">
        <f t="shared" si="9"/>
        <v>22065</v>
      </c>
      <c r="H72" s="1674">
        <f t="shared" si="9"/>
        <v>0</v>
      </c>
      <c r="I72" s="1674">
        <f t="shared" si="9"/>
        <v>0</v>
      </c>
      <c r="J72" s="1674">
        <f t="shared" si="9"/>
        <v>0</v>
      </c>
      <c r="K72" s="1674">
        <f t="shared" si="9"/>
        <v>150529</v>
      </c>
      <c r="L72" s="1674">
        <f>SUM(L67:L71)</f>
        <v>182000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100</v>
      </c>
      <c r="M73" s="501"/>
      <c r="N73" s="501"/>
    </row>
    <row r="74" spans="1:14" ht="12.75" customHeight="1" thickTop="1" thickBot="1" x14ac:dyDescent="0.25">
      <c r="A74" s="1380" t="s">
        <v>806</v>
      </c>
      <c r="B74" s="1384">
        <v>2000</v>
      </c>
      <c r="C74" s="1681">
        <f>SUM(C42,C47,C53,C57,C65,C72,C73)</f>
        <v>490452</v>
      </c>
      <c r="D74" s="1681">
        <f t="shared" ref="D74:K74" si="10">SUM(D42,D47,D53,D57,D65,D72,D73)</f>
        <v>67673</v>
      </c>
      <c r="E74" s="1681">
        <f t="shared" si="10"/>
        <v>277891</v>
      </c>
      <c r="F74" s="1681">
        <f t="shared" si="10"/>
        <v>28892</v>
      </c>
      <c r="G74" s="1681">
        <f t="shared" si="10"/>
        <v>29169</v>
      </c>
      <c r="H74" s="1681">
        <f t="shared" si="10"/>
        <v>15013</v>
      </c>
      <c r="I74" s="1681">
        <f t="shared" si="10"/>
        <v>0</v>
      </c>
      <c r="J74" s="1681">
        <f t="shared" si="10"/>
        <v>0</v>
      </c>
      <c r="K74" s="1681">
        <f t="shared" si="10"/>
        <v>909090</v>
      </c>
      <c r="L74" s="1681">
        <f>SUM(L42,L47,L53,L57,L65,L72,L73)</f>
        <v>1122634</v>
      </c>
    </row>
    <row r="75" spans="1:14" s="254" customFormat="1" ht="15.75" customHeight="1" thickTop="1" thickBot="1" x14ac:dyDescent="0.25">
      <c r="A75" s="1348" t="s">
        <v>47</v>
      </c>
      <c r="B75" s="1349" t="s">
        <v>571</v>
      </c>
      <c r="C75" s="1649">
        <v>144412</v>
      </c>
      <c r="D75" s="1649">
        <v>5337</v>
      </c>
      <c r="E75" s="1649">
        <v>10484</v>
      </c>
      <c r="F75" s="1649">
        <v>18673</v>
      </c>
      <c r="G75" s="1649">
        <v>10403</v>
      </c>
      <c r="H75" s="1649"/>
      <c r="I75" s="1627"/>
      <c r="J75" s="1627"/>
      <c r="K75" s="1674">
        <f>SUM(C75:J75)</f>
        <v>189309</v>
      </c>
      <c r="L75" s="1651">
        <v>243598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142352</v>
      </c>
      <c r="I79" s="1582"/>
      <c r="J79" s="1582"/>
      <c r="K79" s="1672">
        <f t="shared" si="11"/>
        <v>142352</v>
      </c>
      <c r="L79" s="1573">
        <v>238000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142352</v>
      </c>
      <c r="I84" s="1582"/>
      <c r="J84" s="1582"/>
      <c r="K84" s="1674">
        <f>SUM(K78:K83)</f>
        <v>142352</v>
      </c>
      <c r="L84" s="1674">
        <f>SUM(L78:L83)</f>
        <v>238000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142352</v>
      </c>
      <c r="I102" s="1582"/>
      <c r="J102" s="1582"/>
      <c r="K102" s="1681">
        <f>SUM(K84,K92,K100,K101)</f>
        <v>142352</v>
      </c>
      <c r="L102" s="1681">
        <f>SUM(L84,L92,L100,L101)</f>
        <v>238000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v>
      </c>
      <c r="M113" s="502"/>
      <c r="N113" s="502"/>
    </row>
    <row r="114" spans="1:14" ht="12.75" customHeight="1" thickTop="1" thickBot="1" x14ac:dyDescent="0.25">
      <c r="A114" s="1380" t="s">
        <v>48</v>
      </c>
      <c r="B114" s="1388"/>
      <c r="C114" s="1674">
        <f>SUM(C33,C74,C75,C102,C112,C113)</f>
        <v>2296944</v>
      </c>
      <c r="D114" s="1674">
        <f t="shared" ref="D114:K114" si="13">SUM(D33,D74,D75,D102,D112,D113)</f>
        <v>324831</v>
      </c>
      <c r="E114" s="1674">
        <f t="shared" si="13"/>
        <v>345571</v>
      </c>
      <c r="F114" s="1674">
        <f t="shared" si="13"/>
        <v>139420</v>
      </c>
      <c r="G114" s="1674">
        <f t="shared" si="13"/>
        <v>70782</v>
      </c>
      <c r="H114" s="1674">
        <f>SUM(H33,H74,H75,H102,H112,H113)</f>
        <v>168972</v>
      </c>
      <c r="I114" s="1674">
        <f t="shared" si="13"/>
        <v>0</v>
      </c>
      <c r="J114" s="1674">
        <f t="shared" si="13"/>
        <v>0</v>
      </c>
      <c r="K114" s="1674">
        <f t="shared" si="13"/>
        <v>3346520</v>
      </c>
      <c r="L114" s="1674">
        <f>SUM(L33,L74,L75,L102,L112,L113)</f>
        <v>4016834</v>
      </c>
    </row>
    <row r="115" spans="1:14" ht="13.5" thickTop="1" x14ac:dyDescent="0.2">
      <c r="A115" s="2264" t="s">
        <v>989</v>
      </c>
      <c r="B115" s="2265"/>
      <c r="C115" s="1675"/>
      <c r="D115" s="1675"/>
      <c r="E115" s="1675"/>
      <c r="F115" s="1675"/>
      <c r="G115" s="1675"/>
      <c r="H115" s="1675"/>
      <c r="I115" s="1675"/>
      <c r="J115" s="1675"/>
      <c r="K115" s="1689">
        <f>'Revenues 9-14'!C268-'Expenditures 15-22'!K114</f>
        <v>1040837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183028</v>
      </c>
      <c r="D124" s="1573">
        <v>20899</v>
      </c>
      <c r="E124" s="1573">
        <v>111887</v>
      </c>
      <c r="F124" s="1573">
        <v>131698</v>
      </c>
      <c r="G124" s="1573">
        <v>96372</v>
      </c>
      <c r="H124" s="1573"/>
      <c r="I124" s="1574"/>
      <c r="J124" s="1574"/>
      <c r="K124" s="1674">
        <f>SUM(C124:J124)</f>
        <v>543884</v>
      </c>
      <c r="L124" s="1573">
        <v>621200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183028</v>
      </c>
      <c r="D127" s="1674">
        <f t="shared" ref="D127:L127" si="14">SUM(D122:D126)</f>
        <v>20899</v>
      </c>
      <c r="E127" s="1674">
        <f t="shared" si="14"/>
        <v>111887</v>
      </c>
      <c r="F127" s="1674">
        <f t="shared" si="14"/>
        <v>131698</v>
      </c>
      <c r="G127" s="1674">
        <f t="shared" si="14"/>
        <v>96372</v>
      </c>
      <c r="H127" s="1674">
        <f t="shared" si="14"/>
        <v>0</v>
      </c>
      <c r="I127" s="1674">
        <f t="shared" si="14"/>
        <v>0</v>
      </c>
      <c r="J127" s="1674">
        <f t="shared" si="14"/>
        <v>0</v>
      </c>
      <c r="K127" s="1674">
        <f t="shared" si="14"/>
        <v>543884</v>
      </c>
      <c r="L127" s="1674">
        <f t="shared" si="14"/>
        <v>621200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183028</v>
      </c>
      <c r="D129" s="1681">
        <f t="shared" ref="D129:L129" si="15">SUM(D120,D127,D128)</f>
        <v>20899</v>
      </c>
      <c r="E129" s="1681">
        <f t="shared" si="15"/>
        <v>111887</v>
      </c>
      <c r="F129" s="1681">
        <f t="shared" si="15"/>
        <v>131698</v>
      </c>
      <c r="G129" s="1681">
        <f t="shared" si="15"/>
        <v>96372</v>
      </c>
      <c r="H129" s="1681">
        <f t="shared" si="15"/>
        <v>0</v>
      </c>
      <c r="I129" s="1681">
        <f t="shared" si="15"/>
        <v>0</v>
      </c>
      <c r="J129" s="1681">
        <f t="shared" si="15"/>
        <v>0</v>
      </c>
      <c r="K129" s="1681">
        <f t="shared" si="15"/>
        <v>543884</v>
      </c>
      <c r="L129" s="1681">
        <f t="shared" si="15"/>
        <v>621200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3000</v>
      </c>
    </row>
    <row r="151" spans="1:14" ht="12.75" customHeight="1" thickTop="1" thickBot="1" x14ac:dyDescent="0.25">
      <c r="A151" s="2281" t="s">
        <v>616</v>
      </c>
      <c r="B151" s="2261"/>
      <c r="C151" s="1674">
        <f>SUM(C129,C130,C139,C149,C150)</f>
        <v>183028</v>
      </c>
      <c r="D151" s="1674">
        <f t="shared" ref="D151:K151" si="16">SUM(D129,D130,D139,D149,D150)</f>
        <v>20899</v>
      </c>
      <c r="E151" s="1674">
        <f t="shared" si="16"/>
        <v>111887</v>
      </c>
      <c r="F151" s="1674">
        <f t="shared" si="16"/>
        <v>131698</v>
      </c>
      <c r="G151" s="1674">
        <f t="shared" si="16"/>
        <v>96372</v>
      </c>
      <c r="H151" s="1674">
        <f t="shared" si="16"/>
        <v>0</v>
      </c>
      <c r="I151" s="1674">
        <f t="shared" si="16"/>
        <v>0</v>
      </c>
      <c r="J151" s="1674">
        <f t="shared" si="16"/>
        <v>0</v>
      </c>
      <c r="K151" s="1674">
        <f t="shared" si="16"/>
        <v>543884</v>
      </c>
      <c r="L151" s="1674">
        <f>SUM(L129,L130,L139,L149,L150)</f>
        <v>624200</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32617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4" t="s">
        <v>989</v>
      </c>
      <c r="B175" s="2265"/>
      <c r="C175" s="1673"/>
      <c r="D175" s="1673"/>
      <c r="E175" s="1673"/>
      <c r="F175" s="1673"/>
      <c r="G175" s="1673"/>
      <c r="H175" s="1675"/>
      <c r="I175" s="1673"/>
      <c r="J175" s="1673"/>
      <c r="K175" s="1689">
        <f>'Revenues 9-14'!E268-'Expenditures 15-22'!K174</f>
        <v>78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145015</v>
      </c>
      <c r="D182" s="1573">
        <v>10933</v>
      </c>
      <c r="E182" s="1573">
        <v>21838</v>
      </c>
      <c r="F182" s="1573">
        <v>59764</v>
      </c>
      <c r="G182" s="1573">
        <v>198154</v>
      </c>
      <c r="H182" s="1573">
        <v>691</v>
      </c>
      <c r="I182" s="1574"/>
      <c r="J182" s="1574"/>
      <c r="K182" s="1672">
        <f>SUM(C182:J182)</f>
        <v>436395</v>
      </c>
      <c r="L182" s="1573">
        <v>501200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145015</v>
      </c>
      <c r="D184" s="1681">
        <f t="shared" ref="D184:J184" si="17">SUM(D180,D182,D183)</f>
        <v>10933</v>
      </c>
      <c r="E184" s="1681">
        <f t="shared" si="17"/>
        <v>21838</v>
      </c>
      <c r="F184" s="1681">
        <f t="shared" si="17"/>
        <v>59764</v>
      </c>
      <c r="G184" s="1681">
        <f t="shared" si="17"/>
        <v>198154</v>
      </c>
      <c r="H184" s="1681">
        <f t="shared" si="17"/>
        <v>691</v>
      </c>
      <c r="I184" s="1681">
        <f t="shared" si="17"/>
        <v>0</v>
      </c>
      <c r="J184" s="1681">
        <f t="shared" si="17"/>
        <v>0</v>
      </c>
      <c r="K184" s="1681">
        <f>SUM(K180,K182,K183)</f>
        <v>436395</v>
      </c>
      <c r="L184" s="1681">
        <f>SUM(L180, L182:L183)</f>
        <v>501200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5000</v>
      </c>
    </row>
    <row r="210" spans="1:14" ht="12.75" customHeight="1" thickTop="1" thickBot="1" x14ac:dyDescent="0.25">
      <c r="A210" s="1394" t="s">
        <v>275</v>
      </c>
      <c r="B210" s="1395"/>
      <c r="C210" s="1674">
        <f>SUM(C184,C185)</f>
        <v>145015</v>
      </c>
      <c r="D210" s="1674">
        <f>SUM(D184,D185)</f>
        <v>10933</v>
      </c>
      <c r="E210" s="1674">
        <f>SUM(E184,E185,E196)</f>
        <v>21838</v>
      </c>
      <c r="F210" s="1674">
        <f>SUM(F184,F185)</f>
        <v>59764</v>
      </c>
      <c r="G210" s="1674">
        <f>SUM(G184,G185)</f>
        <v>198154</v>
      </c>
      <c r="H210" s="1674">
        <f>SUM(H184,H185,H196,H208,H209)</f>
        <v>691</v>
      </c>
      <c r="I210" s="1674">
        <f>SUM(I184,I185)</f>
        <v>0</v>
      </c>
      <c r="J210" s="1674">
        <f>SUM(J184,J185)</f>
        <v>0</v>
      </c>
      <c r="K210" s="1672">
        <f>SUM(K184,K185,K196,K208,K209)</f>
        <v>436395</v>
      </c>
      <c r="L210" s="1674">
        <f>SUM(L184,L185,L196,L208,L209)</f>
        <v>506200</v>
      </c>
    </row>
    <row r="211" spans="1:14" ht="13.5" thickTop="1" x14ac:dyDescent="0.2">
      <c r="A211" s="2264" t="s">
        <v>989</v>
      </c>
      <c r="B211" s="2265"/>
      <c r="C211" s="1675"/>
      <c r="D211" s="1675"/>
      <c r="E211" s="1675"/>
      <c r="F211" s="1675"/>
      <c r="G211" s="1675"/>
      <c r="H211" s="1675"/>
      <c r="I211" s="1673"/>
      <c r="J211" s="1673"/>
      <c r="K211" s="1689">
        <f>'Revenues 9-14'!F268-'Expenditures 15-22'!K210</f>
        <v>-63852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14466</v>
      </c>
      <c r="E215" s="1673"/>
      <c r="F215" s="1673"/>
      <c r="G215" s="1673"/>
      <c r="H215" s="1673"/>
      <c r="I215" s="1673"/>
      <c r="J215" s="1673"/>
      <c r="K215" s="1672">
        <f>D215</f>
        <v>14466</v>
      </c>
      <c r="L215" s="1573">
        <v>20430</v>
      </c>
    </row>
    <row r="216" spans="1:14" x14ac:dyDescent="0.2">
      <c r="A216" s="1274" t="s">
        <v>162</v>
      </c>
      <c r="B216" s="503" t="s">
        <v>961</v>
      </c>
      <c r="C216" s="1673"/>
      <c r="D216" s="1574">
        <v>6893</v>
      </c>
      <c r="E216" s="1673"/>
      <c r="F216" s="1673"/>
      <c r="G216" s="1673"/>
      <c r="H216" s="1673"/>
      <c r="I216" s="1673"/>
      <c r="J216" s="1673"/>
      <c r="K216" s="1672">
        <f t="shared" ref="K216:K228" si="19">D216</f>
        <v>6893</v>
      </c>
      <c r="L216" s="1573">
        <v>7580</v>
      </c>
    </row>
    <row r="217" spans="1:14" x14ac:dyDescent="0.2">
      <c r="A217" s="1274" t="s">
        <v>163</v>
      </c>
      <c r="B217" s="503">
        <v>1200</v>
      </c>
      <c r="C217" s="1673"/>
      <c r="D217" s="1573">
        <v>8683</v>
      </c>
      <c r="E217" s="1673"/>
      <c r="F217" s="1673"/>
      <c r="G217" s="1673"/>
      <c r="H217" s="1673"/>
      <c r="I217" s="1673"/>
      <c r="J217" s="1673"/>
      <c r="K217" s="1672">
        <f t="shared" si="19"/>
        <v>8683</v>
      </c>
      <c r="L217" s="1573">
        <v>8200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4041</v>
      </c>
      <c r="E219" s="1673"/>
      <c r="F219" s="1673"/>
      <c r="G219" s="1673"/>
      <c r="H219" s="1673"/>
      <c r="I219" s="1673"/>
      <c r="J219" s="1673"/>
      <c r="K219" s="1672">
        <f t="shared" si="19"/>
        <v>4041</v>
      </c>
      <c r="L219" s="1573">
        <v>4152</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2386</v>
      </c>
      <c r="E222" s="1673"/>
      <c r="F222" s="1673"/>
      <c r="G222" s="1673"/>
      <c r="H222" s="1673"/>
      <c r="I222" s="1673"/>
      <c r="J222" s="1673"/>
      <c r="K222" s="1672">
        <f t="shared" si="19"/>
        <v>2386</v>
      </c>
      <c r="L222" s="1573">
        <v>2125</v>
      </c>
    </row>
    <row r="223" spans="1:14" x14ac:dyDescent="0.2">
      <c r="A223" s="1274" t="s">
        <v>957</v>
      </c>
      <c r="B223" s="503">
        <v>1500</v>
      </c>
      <c r="C223" s="1673"/>
      <c r="D223" s="1573">
        <v>4380</v>
      </c>
      <c r="E223" s="1673"/>
      <c r="F223" s="1673"/>
      <c r="G223" s="1673"/>
      <c r="H223" s="1673"/>
      <c r="I223" s="1673"/>
      <c r="J223" s="1673"/>
      <c r="K223" s="1672">
        <f t="shared" si="19"/>
        <v>4380</v>
      </c>
      <c r="L223" s="1573">
        <v>6250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40849</v>
      </c>
      <c r="E229" s="1673"/>
      <c r="F229" s="1673"/>
      <c r="G229" s="1673"/>
      <c r="H229" s="1673"/>
      <c r="I229" s="1673"/>
      <c r="J229" s="1673"/>
      <c r="K229" s="1674">
        <f>SUM(K215:K228)</f>
        <v>40849</v>
      </c>
      <c r="L229" s="1674">
        <f>SUM(L215:L228)</f>
        <v>48737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666</v>
      </c>
      <c r="E233" s="1673"/>
      <c r="F233" s="1673"/>
      <c r="G233" s="1673"/>
      <c r="H233" s="1673"/>
      <c r="I233" s="1673"/>
      <c r="J233" s="1673"/>
      <c r="K233" s="1672">
        <f t="shared" si="20"/>
        <v>666</v>
      </c>
      <c r="L233" s="1573">
        <v>700</v>
      </c>
    </row>
    <row r="234" spans="1:12" x14ac:dyDescent="0.2">
      <c r="A234" s="1274" t="s">
        <v>196</v>
      </c>
      <c r="B234" s="503">
        <v>2130</v>
      </c>
      <c r="C234" s="1673"/>
      <c r="D234" s="1573">
        <v>2284</v>
      </c>
      <c r="E234" s="1673"/>
      <c r="F234" s="1673"/>
      <c r="G234" s="1673"/>
      <c r="H234" s="1673"/>
      <c r="I234" s="1673"/>
      <c r="J234" s="1673"/>
      <c r="K234" s="1672">
        <f t="shared" si="20"/>
        <v>2284</v>
      </c>
      <c r="L234" s="1573">
        <v>2850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780</v>
      </c>
      <c r="E236" s="1673"/>
      <c r="F236" s="1673"/>
      <c r="G236" s="1673"/>
      <c r="H236" s="1673"/>
      <c r="I236" s="1673"/>
      <c r="J236" s="1673"/>
      <c r="K236" s="1672">
        <f t="shared" si="20"/>
        <v>780</v>
      </c>
      <c r="L236" s="1573">
        <v>800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3730</v>
      </c>
      <c r="E238" s="1673"/>
      <c r="F238" s="1673"/>
      <c r="G238" s="1673"/>
      <c r="H238" s="1673"/>
      <c r="I238" s="1673"/>
      <c r="J238" s="1673"/>
      <c r="K238" s="1674">
        <f>SUM(K232:K237)</f>
        <v>3730</v>
      </c>
      <c r="L238" s="1674">
        <f>SUM(L232:L237)</f>
        <v>4350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3940</v>
      </c>
      <c r="E241" s="1673"/>
      <c r="F241" s="1673"/>
      <c r="G241" s="1673"/>
      <c r="H241" s="1673"/>
      <c r="I241" s="1673"/>
      <c r="J241" s="1673"/>
      <c r="K241" s="1678">
        <f>D241</f>
        <v>3940</v>
      </c>
      <c r="L241" s="1573">
        <v>4700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3940</v>
      </c>
      <c r="E243" s="1673"/>
      <c r="F243" s="1673"/>
      <c r="G243" s="1673"/>
      <c r="H243" s="1673"/>
      <c r="I243" s="1673"/>
      <c r="J243" s="1673"/>
      <c r="K243" s="1674">
        <f>SUM(K240:K242)</f>
        <v>3940</v>
      </c>
      <c r="L243" s="1674">
        <f>SUM(L240:L242)</f>
        <v>4700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1111</v>
      </c>
      <c r="E245" s="1673"/>
      <c r="F245" s="1673"/>
      <c r="G245" s="1673"/>
      <c r="H245" s="1673"/>
      <c r="I245" s="1673"/>
      <c r="J245" s="1673"/>
      <c r="K245" s="1678">
        <f>D245</f>
        <v>1111</v>
      </c>
      <c r="L245" s="1586">
        <v>1170</v>
      </c>
    </row>
    <row r="246" spans="1:12" x14ac:dyDescent="0.2">
      <c r="A246" s="1274" t="s">
        <v>813</v>
      </c>
      <c r="B246" s="503">
        <v>2320</v>
      </c>
      <c r="C246" s="1673"/>
      <c r="D246" s="1573">
        <v>5661</v>
      </c>
      <c r="E246" s="1673"/>
      <c r="F246" s="1673"/>
      <c r="G246" s="1673"/>
      <c r="H246" s="1673"/>
      <c r="I246" s="1673"/>
      <c r="J246" s="1673"/>
      <c r="K246" s="1678">
        <f t="shared" ref="K246:K256" si="21">D246</f>
        <v>5661</v>
      </c>
      <c r="L246" s="1573">
        <v>7000</v>
      </c>
    </row>
    <row r="247" spans="1:12" x14ac:dyDescent="0.2">
      <c r="A247" s="1274" t="s">
        <v>814</v>
      </c>
      <c r="B247" s="503">
        <v>2330</v>
      </c>
      <c r="C247" s="1673"/>
      <c r="D247" s="1573">
        <v>758</v>
      </c>
      <c r="E247" s="1673"/>
      <c r="F247" s="1673"/>
      <c r="G247" s="1673"/>
      <c r="H247" s="1673"/>
      <c r="I247" s="1673"/>
      <c r="J247" s="1673"/>
      <c r="K247" s="1678">
        <f t="shared" si="21"/>
        <v>758</v>
      </c>
      <c r="L247" s="1573">
        <v>1073</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19010</v>
      </c>
      <c r="E254" s="1673"/>
      <c r="F254" s="1673"/>
      <c r="G254" s="1673"/>
      <c r="H254" s="1673"/>
      <c r="I254" s="1673"/>
      <c r="J254" s="1673"/>
      <c r="K254" s="1678">
        <f t="shared" si="21"/>
        <v>19010</v>
      </c>
      <c r="L254" s="1573">
        <v>17000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26540</v>
      </c>
      <c r="E257" s="1673"/>
      <c r="F257" s="1673"/>
      <c r="G257" s="1673"/>
      <c r="H257" s="1673"/>
      <c r="I257" s="1673"/>
      <c r="J257" s="1673"/>
      <c r="K257" s="1674">
        <f>SUM(K245:K256)</f>
        <v>26540</v>
      </c>
      <c r="L257" s="1674">
        <f>SUM(L245:L256)</f>
        <v>26243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7393</v>
      </c>
      <c r="E259" s="1673"/>
      <c r="F259" s="1673"/>
      <c r="G259" s="1673"/>
      <c r="H259" s="1673"/>
      <c r="I259" s="1673"/>
      <c r="J259" s="1673"/>
      <c r="K259" s="1678">
        <f>D259</f>
        <v>7393</v>
      </c>
      <c r="L259" s="1586">
        <v>9100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7393</v>
      </c>
      <c r="E261" s="1673"/>
      <c r="F261" s="1673"/>
      <c r="G261" s="1673"/>
      <c r="H261" s="1673"/>
      <c r="I261" s="1673"/>
      <c r="J261" s="1673"/>
      <c r="K261" s="1674">
        <f>SUM(K259:K260)</f>
        <v>7393</v>
      </c>
      <c r="L261" s="1674">
        <f>SUM(L259:L260)</f>
        <v>9100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6742</v>
      </c>
      <c r="E264" s="1673"/>
      <c r="F264" s="1673"/>
      <c r="G264" s="1673"/>
      <c r="H264" s="1673"/>
      <c r="I264" s="1673"/>
      <c r="J264" s="1673"/>
      <c r="K264" s="1678">
        <f t="shared" ref="K264:K269" si="22">D264</f>
        <v>6742</v>
      </c>
      <c r="L264" s="1573">
        <v>8500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23728</v>
      </c>
      <c r="E266" s="1673"/>
      <c r="F266" s="1673"/>
      <c r="G266" s="1673"/>
      <c r="H266" s="1673"/>
      <c r="I266" s="1673"/>
      <c r="J266" s="1673"/>
      <c r="K266" s="1678">
        <f t="shared" si="22"/>
        <v>23728</v>
      </c>
      <c r="L266" s="1573">
        <v>26800</v>
      </c>
    </row>
    <row r="267" spans="1:14" x14ac:dyDescent="0.2">
      <c r="A267" s="1274" t="s">
        <v>947</v>
      </c>
      <c r="B267" s="503">
        <v>2550</v>
      </c>
      <c r="C267" s="1673"/>
      <c r="D267" s="1573">
        <v>20986</v>
      </c>
      <c r="E267" s="1673"/>
      <c r="F267" s="1673"/>
      <c r="G267" s="1673"/>
      <c r="H267" s="1673"/>
      <c r="I267" s="1673"/>
      <c r="J267" s="1673"/>
      <c r="K267" s="1678">
        <f t="shared" si="22"/>
        <v>20986</v>
      </c>
      <c r="L267" s="1573">
        <v>25000</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51456</v>
      </c>
      <c r="E270" s="1673"/>
      <c r="F270" s="1673"/>
      <c r="G270" s="1673"/>
      <c r="H270" s="1673"/>
      <c r="I270" s="1673"/>
      <c r="J270" s="1673"/>
      <c r="K270" s="1674">
        <f>SUM(K263:K269)</f>
        <v>51456</v>
      </c>
      <c r="L270" s="1674">
        <f>SUM(L263:L269)</f>
        <v>60300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1204</v>
      </c>
      <c r="E276" s="1673"/>
      <c r="F276" s="1673"/>
      <c r="G276" s="1673"/>
      <c r="H276" s="1673"/>
      <c r="I276" s="1673"/>
      <c r="J276" s="1673"/>
      <c r="K276" s="1678">
        <f>D276</f>
        <v>1204</v>
      </c>
      <c r="L276" s="1573">
        <v>1300</v>
      </c>
    </row>
    <row r="277" spans="1:12" ht="12.75" customHeight="1" thickBot="1" x14ac:dyDescent="0.25">
      <c r="A277" s="1393" t="s">
        <v>37</v>
      </c>
      <c r="B277" s="1381" t="s">
        <v>36</v>
      </c>
      <c r="C277" s="1673"/>
      <c r="D277" s="1674">
        <f>SUM(D272:D276)</f>
        <v>1204</v>
      </c>
      <c r="E277" s="1673"/>
      <c r="F277" s="1673"/>
      <c r="G277" s="1673"/>
      <c r="H277" s="1673"/>
      <c r="I277" s="1673"/>
      <c r="J277" s="1673"/>
      <c r="K277" s="1674">
        <f>SUM(K272:K276)</f>
        <v>1204</v>
      </c>
      <c r="L277" s="1674">
        <f>SUM(L272:L276)</f>
        <v>1300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94263</v>
      </c>
      <c r="E279" s="1673"/>
      <c r="F279" s="1673"/>
      <c r="G279" s="1673"/>
      <c r="H279" s="1673"/>
      <c r="I279" s="1673"/>
      <c r="J279" s="1673"/>
      <c r="K279" s="1681">
        <f>SUM(K238,K243,K257,K261,K270,K277,K278)</f>
        <v>94263</v>
      </c>
      <c r="L279" s="1681">
        <f>SUM(L238,L243,L257,L261,L270,L277,L278)</f>
        <v>105993</v>
      </c>
    </row>
    <row r="280" spans="1:12" ht="15.75" customHeight="1" thickTop="1" thickBot="1" x14ac:dyDescent="0.25">
      <c r="A280" s="1362" t="s">
        <v>870</v>
      </c>
      <c r="B280" s="1351">
        <v>3000</v>
      </c>
      <c r="C280" s="1673"/>
      <c r="D280" s="1651">
        <v>20586</v>
      </c>
      <c r="E280" s="1673"/>
      <c r="F280" s="1673"/>
      <c r="G280" s="1673"/>
      <c r="H280" s="1673"/>
      <c r="I280" s="1673"/>
      <c r="J280" s="1673"/>
      <c r="K280" s="1687">
        <f>D280</f>
        <v>20586</v>
      </c>
      <c r="L280" s="1651">
        <v>26391</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155698</v>
      </c>
      <c r="E295" s="1673"/>
      <c r="F295" s="1673"/>
      <c r="G295" s="1673"/>
      <c r="H295" s="1674">
        <f>H293</f>
        <v>0</v>
      </c>
      <c r="I295" s="1673"/>
      <c r="J295" s="1673"/>
      <c r="K295" s="1674">
        <f>SUM(K229,K279,K280,K285,K293,K294)</f>
        <v>155698</v>
      </c>
      <c r="L295" s="1674">
        <f>SUM(L229,L279,L280,L285,L293,L294)</f>
        <v>181121</v>
      </c>
    </row>
    <row r="296" spans="1:14" ht="13.5" thickTop="1" x14ac:dyDescent="0.2">
      <c r="A296" s="2264" t="s">
        <v>989</v>
      </c>
      <c r="B296" s="2265"/>
      <c r="C296" s="1673"/>
      <c r="D296" s="1675"/>
      <c r="E296" s="1673"/>
      <c r="F296" s="1673"/>
      <c r="G296" s="1673"/>
      <c r="H296" s="1707"/>
      <c r="I296" s="1673"/>
      <c r="J296" s="1673"/>
      <c r="K296" s="1689">
        <f>'Revenues 9-14'!G268-'Expenditures 15-22'!K295</f>
        <v>-29433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v>32824</v>
      </c>
      <c r="G301" s="1573">
        <v>194338</v>
      </c>
      <c r="H301" s="1573"/>
      <c r="I301" s="1574"/>
      <c r="J301" s="1574"/>
      <c r="K301" s="1672">
        <f>SUM(C301:J301)</f>
        <v>227162</v>
      </c>
      <c r="L301" s="1574">
        <v>290000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32824</v>
      </c>
      <c r="G303" s="1681">
        <f t="shared" si="23"/>
        <v>194338</v>
      </c>
      <c r="H303" s="1681">
        <f t="shared" si="23"/>
        <v>0</v>
      </c>
      <c r="I303" s="1681">
        <f t="shared" si="23"/>
        <v>0</v>
      </c>
      <c r="J303" s="1681">
        <f t="shared" si="23"/>
        <v>0</v>
      </c>
      <c r="K303" s="1681">
        <f t="shared" si="23"/>
        <v>227162</v>
      </c>
      <c r="L303" s="1681">
        <f t="shared" si="23"/>
        <v>290000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0</v>
      </c>
      <c r="F312" s="1674">
        <f>SUM(F303)</f>
        <v>32824</v>
      </c>
      <c r="G312" s="1674">
        <f>SUM(G303)</f>
        <v>194338</v>
      </c>
      <c r="H312" s="1674">
        <f>SUM(H303,H310)</f>
        <v>0</v>
      </c>
      <c r="I312" s="1674">
        <f>SUM(I303)</f>
        <v>0</v>
      </c>
      <c r="J312" s="1674">
        <f>SUM(J303)</f>
        <v>0</v>
      </c>
      <c r="K312" s="1674">
        <f>SUM(K303,K310,K311)</f>
        <v>227162</v>
      </c>
      <c r="L312" s="1674">
        <f>SUM(L303,L310,L311)</f>
        <v>290000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-47473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18232</v>
      </c>
      <c r="F320" s="1574"/>
      <c r="G320" s="1574"/>
      <c r="H320" s="1574"/>
      <c r="I320" s="1574"/>
      <c r="J320" s="1574"/>
      <c r="K320" s="1672">
        <f t="shared" ref="K320:K327" si="24">SUM(C320:J320)</f>
        <v>18232</v>
      </c>
      <c r="L320" s="1574">
        <v>25000</v>
      </c>
      <c r="M320" s="539"/>
      <c r="N320" s="539"/>
    </row>
    <row r="321" spans="1:14" s="548" customFormat="1" x14ac:dyDescent="0.2">
      <c r="A321" s="1289" t="s">
        <v>297</v>
      </c>
      <c r="B321" s="567" t="s">
        <v>281</v>
      </c>
      <c r="C321" s="1574"/>
      <c r="D321" s="1574"/>
      <c r="E321" s="1574">
        <v>1320</v>
      </c>
      <c r="F321" s="1574"/>
      <c r="G321" s="1574"/>
      <c r="H321" s="1574"/>
      <c r="I321" s="1574"/>
      <c r="J321" s="1574"/>
      <c r="K321" s="1672">
        <f t="shared" si="24"/>
        <v>1320</v>
      </c>
      <c r="L321" s="1574">
        <v>4000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100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233057</v>
      </c>
      <c r="D325" s="1574">
        <v>26448</v>
      </c>
      <c r="E325" s="1574"/>
      <c r="F325" s="1574"/>
      <c r="G325" s="1574"/>
      <c r="H325" s="1574"/>
      <c r="I325" s="1574"/>
      <c r="J325" s="1574"/>
      <c r="K325" s="1672">
        <f t="shared" si="24"/>
        <v>259505</v>
      </c>
      <c r="L325" s="1574">
        <v>312900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6940</v>
      </c>
      <c r="F327" s="1574"/>
      <c r="G327" s="1574"/>
      <c r="H327" s="1574"/>
      <c r="I327" s="1574"/>
      <c r="J327" s="1574"/>
      <c r="K327" s="1672">
        <f t="shared" si="24"/>
        <v>6940</v>
      </c>
      <c r="L327" s="1574">
        <v>8000</v>
      </c>
      <c r="M327" s="539"/>
      <c r="N327" s="539"/>
    </row>
    <row r="328" spans="1:14" s="548" customFormat="1" x14ac:dyDescent="0.2">
      <c r="A328" s="1290" t="s">
        <v>469</v>
      </c>
      <c r="B328" s="562" t="s">
        <v>1122</v>
      </c>
      <c r="C328" s="1579"/>
      <c r="D328" s="1579"/>
      <c r="E328" s="1579">
        <v>46076</v>
      </c>
      <c r="F328" s="1579"/>
      <c r="G328" s="1579"/>
      <c r="H328" s="1579"/>
      <c r="I328" s="1579"/>
      <c r="J328" s="1579"/>
      <c r="K328" s="1713">
        <f>SUM(C328:J328)</f>
        <v>46076</v>
      </c>
      <c r="L328" s="1579">
        <v>50000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233057</v>
      </c>
      <c r="D330" s="1674">
        <f t="shared" ref="D330:J330" si="25">SUM(D319:D329)</f>
        <v>26448</v>
      </c>
      <c r="E330" s="1674">
        <f t="shared" si="25"/>
        <v>72568</v>
      </c>
      <c r="F330" s="1674">
        <f t="shared" si="25"/>
        <v>0</v>
      </c>
      <c r="G330" s="1674">
        <f t="shared" si="25"/>
        <v>0</v>
      </c>
      <c r="H330" s="1674">
        <f t="shared" si="25"/>
        <v>0</v>
      </c>
      <c r="I330" s="1674">
        <f t="shared" si="25"/>
        <v>0</v>
      </c>
      <c r="J330" s="1674">
        <f t="shared" si="25"/>
        <v>0</v>
      </c>
      <c r="K330" s="1674">
        <f>SUM(K319:K329)</f>
        <v>332073</v>
      </c>
      <c r="L330" s="1674">
        <f>SUM(L319:L329)</f>
        <v>400000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233057</v>
      </c>
      <c r="D342" s="1674">
        <f>SUM(D330)</f>
        <v>26448</v>
      </c>
      <c r="E342" s="1674">
        <f>SUM(E330)</f>
        <v>72568</v>
      </c>
      <c r="F342" s="1674">
        <f>SUM(F330)</f>
        <v>0</v>
      </c>
      <c r="G342" s="1674">
        <f>SUM(G330)</f>
        <v>0</v>
      </c>
      <c r="H342" s="1674">
        <f>SUM(H330,H334,H340)</f>
        <v>0</v>
      </c>
      <c r="I342" s="1674">
        <f>SUM(I330)</f>
        <v>0</v>
      </c>
      <c r="J342" s="1674">
        <f>SUM(J330)</f>
        <v>0</v>
      </c>
      <c r="K342" s="1674">
        <f>SUM(K330,K334,K340)</f>
        <v>332073</v>
      </c>
      <c r="L342" s="1681">
        <f>SUM(L330,L334,L340,L341)</f>
        <v>400000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-90164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40544</v>
      </c>
      <c r="F349" s="1573">
        <v>207</v>
      </c>
      <c r="G349" s="1573"/>
      <c r="H349" s="1573"/>
      <c r="I349" s="1574"/>
      <c r="J349" s="1574"/>
      <c r="K349" s="1672">
        <f>SUM(C349:J349)</f>
        <v>40751</v>
      </c>
      <c r="L349" s="1573">
        <v>140000</v>
      </c>
    </row>
    <row r="350" spans="1:14" ht="12.75" customHeight="1" thickBot="1" x14ac:dyDescent="0.25">
      <c r="A350" s="1380" t="s">
        <v>714</v>
      </c>
      <c r="B350" s="1381" t="s">
        <v>35</v>
      </c>
      <c r="C350" s="1674">
        <f>SUM(C348:C349)</f>
        <v>0</v>
      </c>
      <c r="D350" s="1674">
        <f t="shared" ref="D350:L350" si="26">SUM(D348:D349)</f>
        <v>0</v>
      </c>
      <c r="E350" s="1674">
        <f t="shared" si="26"/>
        <v>40544</v>
      </c>
      <c r="F350" s="1674">
        <f t="shared" si="26"/>
        <v>207</v>
      </c>
      <c r="G350" s="1674">
        <f t="shared" si="26"/>
        <v>0</v>
      </c>
      <c r="H350" s="1674">
        <f t="shared" si="26"/>
        <v>0</v>
      </c>
      <c r="I350" s="1674">
        <f t="shared" si="26"/>
        <v>0</v>
      </c>
      <c r="J350" s="1674">
        <f t="shared" si="26"/>
        <v>0</v>
      </c>
      <c r="K350" s="1674">
        <f t="shared" si="26"/>
        <v>40751</v>
      </c>
      <c r="L350" s="1674">
        <f t="shared" si="26"/>
        <v>140000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40544</v>
      </c>
      <c r="F352" s="1674">
        <f t="shared" si="27"/>
        <v>207</v>
      </c>
      <c r="G352" s="1674">
        <f t="shared" si="27"/>
        <v>0</v>
      </c>
      <c r="H352" s="1674">
        <f t="shared" si="27"/>
        <v>0</v>
      </c>
      <c r="I352" s="1674">
        <f t="shared" si="27"/>
        <v>0</v>
      </c>
      <c r="J352" s="1674">
        <f t="shared" si="27"/>
        <v>0</v>
      </c>
      <c r="K352" s="1674">
        <f t="shared" si="27"/>
        <v>40751</v>
      </c>
      <c r="L352" s="1674">
        <f t="shared" si="27"/>
        <v>140000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40544</v>
      </c>
      <c r="F367" s="1674">
        <f t="shared" si="28"/>
        <v>207</v>
      </c>
      <c r="G367" s="1674">
        <f t="shared" si="28"/>
        <v>0</v>
      </c>
      <c r="H367" s="1674">
        <f t="shared" si="28"/>
        <v>0</v>
      </c>
      <c r="I367" s="1674">
        <f t="shared" si="28"/>
        <v>0</v>
      </c>
      <c r="J367" s="1674">
        <f t="shared" si="28"/>
        <v>0</v>
      </c>
      <c r="K367" s="1674">
        <f t="shared" si="28"/>
        <v>40751</v>
      </c>
      <c r="L367" s="1674">
        <f t="shared" si="28"/>
        <v>140000</v>
      </c>
    </row>
    <row r="368" spans="1:14" ht="13.5" thickTop="1" x14ac:dyDescent="0.2">
      <c r="A368" s="2264" t="s">
        <v>989</v>
      </c>
      <c r="B368" s="2265"/>
      <c r="C368" s="1694"/>
      <c r="D368" s="1694"/>
      <c r="E368" s="1677"/>
      <c r="F368" s="1677"/>
      <c r="G368" s="1677"/>
      <c r="H368" s="1677"/>
      <c r="I368" s="1677"/>
      <c r="J368" s="1676"/>
      <c r="K368" s="1672">
        <f>'Revenues 9-14'!K268-'Expenditures 15-22'!K367</f>
        <v>14747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www.w3.org/XML/1998/namespace"/>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2020-10-22T12:11:32Z</cp:lastPrinted>
  <dcterms:created xsi:type="dcterms:W3CDTF">2003-10-29T19:06:34Z</dcterms:created>
  <dcterms:modified xsi:type="dcterms:W3CDTF">2020-11-17T22:27:11Z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