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9F039B4-95C2-4E84-8FAC-B887E6D4146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4" i="127"/>
  <c r="B7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J210" i="29" l="1"/>
  <c r="B7072" i="106" s="1"/>
  <c r="D7072" i="106" s="1"/>
  <c r="H342" i="29"/>
  <c r="G30" i="10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5770" i="106" l="1"/>
  <c r="D5770" i="106" s="1"/>
  <c r="L16" i="11"/>
  <c r="B2061" i="106" s="1"/>
  <c r="D2061" i="106" s="1"/>
  <c r="B2031" i="106"/>
  <c r="D2031" i="106" s="1"/>
  <c r="N23" i="3"/>
  <c r="B284" i="106" s="1"/>
  <c r="D284" i="106" s="1"/>
  <c r="K342" i="29"/>
  <c r="F13" i="34" s="1"/>
  <c r="B1381" i="106"/>
  <c r="D1381" i="106" s="1"/>
  <c r="F41" i="108"/>
  <c r="G43" i="108" s="1"/>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6227" i="106"/>
  <c r="D6227" i="106" s="1"/>
  <c r="B6223" i="106"/>
  <c r="D6223"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<sst xmlns="http://schemas.openxmlformats.org/spreadsheetml/2006/main" count="5177" uniqueCount="2110">
  <si>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</si>
  <si>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</si>
  <si>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</si>
  <si>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</si>
  <si>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</si>
  <si>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</si>
  <si>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</si>
  <si>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</si>
  <si>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</si>
  <si>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</si>
  <si>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</si>
  <si>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</si>
  <si>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</si>
  <si>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</si>
  <si>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</si>
  <si>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</si>
  <si>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</si>
  <si>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</si>
  <si>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</si>
  <si>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</si>
  <si>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</si>
  <si>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</si>
  <si>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</si>
  <si>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</si>
  <si>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</si>
  <si>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</si>
  <si>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</si>
  <si>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</si>
  <si>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</si>
  <si>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</si>
  <si>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</si>
  <si>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</si>
  <si>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</si>
  <si>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</si>
  <si>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</si>
  <si>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</si>
  <si>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</si>
  <si>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</si>
  <si>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</si>
  <si>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</si>
  <si>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</si>
  <si>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</si>
  <si>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</si>
  <si>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</si>
  <si>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</si>
  <si>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</si>
  <si>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</si>
  <si>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</si>
  <si>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</si>
  <si>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</si>
  <si>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</si>
  <si>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</si>
  <si>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</si>
  <si>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</si>
  <si>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</si>
  <si>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</si>
  <si>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</si>
  <si>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</si>
  <si>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</si>
  <si>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</si>
  <si>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</si>
  <si>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</si>
  <si>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</si>
  <si>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</si>
  <si>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</si>
  <si>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</si>
  <si>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</si>
  <si>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</si>
  <si>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</si>
  <si>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</si>
  <si>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</si>
  <si>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</si>
  <si>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</si>
  <si>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</si>
  <si>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</si>
  <si>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</si>
  <si>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</si>
  <si>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</si>
  <si>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</si>
  <si>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</si>
  <si>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</si>
  <si>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</si>
  <si>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</si>
  <si>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</si>
  <si>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</si>
  <si>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</si>
  <si>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</si>
  <si>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</si>
  <si>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</si>
  <si>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</si>
  <si>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</si>
  <si>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</si>
  <si>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</si>
  <si>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</si>
  <si>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</si>
  <si>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</si>
  <si>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</si>
  <si>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</si>
  <si>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</si>
  <si>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</si>
  <si>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</si>
  <si>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</si>
  <si>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</si>
  <si>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</si>
  <si>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</si>
  <si>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</si>
  <si>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</si>
  <si>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</si>
  <si>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</si>
  <si>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</si>
  <si>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</si>
  <si>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</si>
  <si>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</si>
  <si>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</si>
  <si>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</si>
  <si>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</si>
  <si>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</si>
  <si>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</si>
  <si>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</si>
  <si>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</si>
  <si>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</si>
  <si>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</si>
  <si>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</si>
  <si>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</si>
  <si>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</si>
  <si>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</si>
  <si>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</si>
  <si>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</si>
  <si>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</si>
  <si>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</si>
  <si>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</si>
  <si>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</si>
  <si>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</si>
  <si>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</si>
  <si>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</si>
  <si>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</si>
  <si>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</si>
  <si>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</si>
  <si>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</si>
  <si>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</si>
  <si>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</si>
  <si>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</si>
  <si>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</si>
  <si>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</si>
  <si>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</si>
  <si>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</si>
  <si>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</si>
  <si>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</si>
  <si>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</si>
  <si>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</si>
  <si>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</si>
  <si>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</si>
  <si>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</si>
  <si>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</si>
  <si>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</si>
  <si>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</si>
  <si>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</si>
  <si>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</si>
  <si>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</si>
  <si>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</si>
  <si>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</si>
  <si>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</si>
  <si>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</si>
  <si>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</si>
  <si>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</si>
  <si>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</si>
  <si>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</si>
  <si>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</si>
  <si>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</si>
  <si>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</si>
  <si>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</si>
  <si>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</si>
  <si>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</si>
  <si>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</si>
  <si>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</si>
  <si>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</si>
  <si>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</si>
  <si>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</si>
  <si>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</si>
  <si>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</si>
  <si>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</si>
  <si>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</si>
  <si>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</si>
  <si>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</si>
  <si>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</si>
  <si>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</si>
  <si>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</si>
  <si>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</si>
  <si>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</si>
  <si>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</si>
  <si>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</si>
  <si>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</si>
  <si>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</si>
  <si>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</si>
  <si>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</si>
  <si>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</si>
  <si>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</si>
  <si>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</si>
  <si>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</si>
  <si>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</si>
  <si>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</si>
  <si>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</si>
  <si>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</si>
  <si>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</si>
  <si>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</si>
  <si>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</si>
  <si>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</si>
  <si>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</si>
  <si>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</si>
  <si>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</si>
  <si>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</si>
  <si>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</si>
  <si>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</si>
  <si>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</si>
  <si>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</si>
  <si>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</si>
  <si>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</si>
  <si>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</si>
  <si>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</si>
  <si>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</si>
  <si>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</si>
  <si>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</si>
  <si>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</si>
  <si>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</si>
  <si>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</si>
  <si>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</si>
  <si>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</si>
  <si>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</si>
  <si>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</si>
  <si>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</si>
  <si>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</si>
  <si>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</si>
  <si>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</si>
  <si>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</si>
  <si>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</si>
  <si>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</si>
  <si>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</si>
  <si>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</si>
  <si>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</si>
  <si>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</si>
  <si>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</si>
  <si>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</si>
  <si>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</si>
  <si>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</si>
  <si>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</si>
  <si>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</si>
  <si>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</si>
  <si>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</si>
  <si>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</si>
  <si>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</si>
  <si>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</si>
  <si>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</si>
  <si>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</si>
  <si>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</si>
  <si>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</si>
  <si>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</si>
  <si>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</si>
  <si>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</si>
  <si>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</si>
  <si>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</si>
  <si>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</si>
  <si>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</si>
  <si>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</si>
  <si>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</si>
  <si>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</si>
  <si>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</si>
  <si>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</si>
  <si>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</si>
  <si>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</si>
  <si>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</si>
  <si>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</si>
  <si>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</si>
  <si>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</si>
  <si>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</si>
  <si>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</si>
  <si>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</si>
  <si>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</si>
  <si>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</si>
  <si>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</si>
  <si>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</si>
  <si>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</si>
  <si>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</si>
  <si>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</si>
  <si>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</si>
  <si>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</si>
  <si>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</si>
  <si>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</si>
  <si>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</si>
  <si>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</si>
  <si>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</si>
  <si>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</si>
  <si>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</si>
  <si>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</si>
  <si>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</si>
  <si>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</si>
  <si>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</si>
  <si>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</si>
  <si>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</si>
  <si>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</si>
  <si>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</si>
  <si>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</si>
  <si>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</si>
  <si>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</si>
  <si>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</si>
  <si>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</si>
  <si>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</si>
  <si>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</si>
  <si>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</si>
  <si>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</si>
  <si>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</si>
  <si>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</si>
  <si>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</si>
  <si>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</si>
  <si>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</si>
  <si>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</si>
  <si>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</si>
  <si>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</si>
  <si>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</si>
  <si>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</si>
  <si>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</si>
  <si>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</si>
  <si>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</si>
  <si>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</si>
  <si>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</si>
  <si>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</si>
  <si>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</si>
  <si>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</si>
  <si>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</si>
  <si>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</si>
  <si>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</si>
  <si>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</si>
  <si>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</si>
  <si>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</si>
  <si>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</si>
  <si>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</si>
  <si>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</si>
  <si>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</si>
  <si>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</si>
  <si>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</si>
  <si>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</si>
  <si>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</si>
  <si>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</si>
  <si>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</si>
  <si>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</si>
  <si>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</si>
  <si>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</si>
  <si>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</si>
  <si>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</si>
  <si>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</si>
  <si>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</si>
  <si>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</si>
  <si>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</si>
  <si>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</si>
  <si>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</si>
  <si>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</si>
  <si>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</si>
  <si>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</si>
  <si>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</si>
  <si>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</si>
  <si>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</si>
  <si>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</si>
  <si>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</si>
  <si>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</si>
  <si>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</si>
  <si>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</si>
  <si>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</si>
  <si>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</si>
  <si>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</si>
  <si>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</si>
  <si>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</si>
  <si>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</si>
  <si>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</si>
  <si>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</si>
  <si>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</si>
  <si>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</si>
  <si>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</si>
  <si>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</si>
  <si>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</si>
  <si>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</si>
  <si>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</si>
  <si>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</si>
  <si>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</si>
  <si>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</si>
  <si>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</si>
  <si>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</si>
  <si>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</si>
  <si>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</si>
  <si>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</si>
  <si>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</si>
  <si>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</si>
  <si>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</si>
  <si>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</si>
  <si>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</si>
  <si>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</si>
  <si>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</si>
  <si>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</si>
  <si>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</si>
  <si>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</si>
  <si>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</si>
  <si>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</si>
  <si>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</si>
  <si>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</si>
  <si>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</si>
  <si>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</si>
  <si>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</si>
  <si>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</si>
  <si>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</si>
  <si>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</si>
  <si>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</si>
  <si>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</si>
  <si>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</si>
  <si>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</si>
  <si>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</si>
  <si>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</si>
  <si>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</si>
  <si>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</si>
  <si>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</si>
  <si>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</si>
  <si>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</si>
  <si>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</si>
  <si>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</si>
  <si>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</si>
  <si>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</si>
  <si>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</si>
  <si>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</si>
  <si>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</si>
  <si>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</si>
  <si>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</si>
  <si>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</si>
  <si>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</si>
  <si>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</si>
  <si>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</si>
  <si>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</si>
  <si>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</si>
  <si>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</si>
  <si>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</si>
  <si>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</si>
  <si>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</si>
  <si>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</si>
  <si>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</si>
  <si>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</si>
  <si>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</si>
  <si>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</si>
  <si>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</si>
  <si>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</si>
  <si>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</si>
  <si>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</si>
  <si>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</si>
  <si>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</si>
  <si>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</si>
  <si>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</si>
  <si>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</si>
  <si>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</si>
  <si>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</si>
  <si>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</si>
  <si>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</si>
  <si>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</si>
  <si>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</si>
  <si>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</si>
  <si>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</si>
  <si>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</si>
  <si>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</si>
  <si>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</si>
  <si>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</si>
  <si>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</si>
  <si>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</si>
  <si>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</si>
  <si>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</si>
  <si>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</si>
  <si>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</si>
  <si>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</si>
  <si>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</si>
  <si>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</si>
  <si>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</si>
  <si>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</si>
  <si>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</si>
  <si>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</si>
  <si>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</si>
  <si>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</si>
  <si>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</si>
  <si>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</si>
  <si>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</si>
  <si>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</si>
  <si>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</si>
  <si>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</si>
  <si>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</si>
  <si>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</si>
  <si>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</si>
  <si>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</si>
  <si>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</si>
  <si>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</si>
  <si>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</si>
  <si>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</si>
  <si>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</si>
  <si>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</si>
  <si>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</si>
  <si>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</si>
  <si>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</si>
  <si>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</si>
  <si>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</si>
  <si>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</si>
  <si>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</si>
  <si>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</si>
  <si>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</si>
  <si>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</si>
  <si>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</si>
  <si>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</si>
  <si>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</si>
  <si>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</si>
  <si>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</si>
  <si>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</si>
  <si>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</si>
  <si>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</si>
  <si>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</si>
  <si>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</si>
  <si>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</si>
  <si>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</si>
  <si>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</si>
  <si>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</si>
  <si>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</si>
  <si>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</si>
  <si>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</si>
  <si>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</si>
  <si>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</si>
  <si>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</si>
  <si>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</si>
  <si>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</si>
  <si>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</si>
  <si>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</si>
  <si>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</si>
  <si>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</si>
  <si>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</si>
  <si>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</si>
  <si>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</si>
  <si>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</si>
  <si>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</si>
  <si>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</si>
  <si>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</si>
  <si>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</si>
  <si>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</si>
  <si>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</si>
  <si>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</si>
  <si>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</si>
  <si>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</si>
  <si>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</si>
  <si>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</si>
  <si>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</si>
  <si>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</si>
  <si>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</si>
  <si>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</si>
  <si>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</si>
  <si>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</si>
  <si>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</si>
  <si>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</si>
  <si>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</si>
  <si>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</si>
  <si>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</si>
  <si>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</si>
  <si>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</si>
  <si>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</si>
  <si>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</si>
  <si>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</si>
  <si>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</si>
  <si>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</si>
  <si>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</si>
  <si>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</si>
  <si>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</si>
  <si>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</si>
  <si>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</si>
  <si>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</si>
  <si>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</si>
  <si>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</si>
  <si>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</si>
  <si>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</si>
  <si>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</si>
  <si>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</si>
  <si>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</si>
  <si>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</si>
  <si>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</si>
  <si>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</si>
  <si>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</si>
  <si>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</si>
  <si>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</si>
  <si>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</si>
  <si>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</si>
  <si>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</si>
  <si>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</si>
  <si>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</si>
  <si>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</si>
  <si>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</si>
  <si>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</si>
  <si>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</si>
  <si>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</si>
  <si>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</si>
  <si>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</si>
  <si>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</si>
  <si>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</si>
  <si>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</si>
  <si>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</si>
  <si>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</si>
  <si>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</si>
  <si>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</si>
  <si>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</si>
  <si>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</si>
  <si>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</si>
  <si>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</si>
  <si>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</si>
  <si>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</si>
  <si>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</si>
  <si>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</si>
  <si>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</si>
  <si>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</si>
  <si>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</si>
  <si>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</si>
  <si>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</si>
  <si>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</si>
  <si>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</si>
  <si>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</si>
  <si>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</si>
  <si>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</si>
  <si>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</si>
  <si>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</si>
  <si>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</si>
  <si>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</si>
  <si>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</si>
  <si>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</si>
  <si>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</si>
  <si>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</si>
  <si>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</si>
  <si>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</si>
  <si>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</si>
  <si>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</si>
  <si>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</si>
  <si>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</si>
  <si>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</si>
  <si>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</si>
  <si>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</si>
  <si>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</si>
  <si>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</si>
  <si>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</si>
  <si>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</si>
  <si>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</si>
  <si>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</si>
  <si>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</si>
  <si>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</si>
  <si>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</si>
  <si>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</si>
  <si>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</si>
  <si>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</si>
  <si>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</si>
  <si>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</si>
  <si>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</si>
  <si>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</si>
  <si>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</si>
  <si>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</si>
  <si>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</si>
  <si>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</si>
  <si>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</si>
  <si>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</si>
  <si>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</si>
  <si>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</si>
  <si>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</si>
  <si>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</si>
  <si>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</si>
  <si>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</si>
  <si>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</si>
  <si>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</si>
  <si>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</si>
  <si>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</si>
  <si>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</si>
  <si>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</si>
  <si>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</si>
  <si>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</si>
  <si>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</si>
  <si>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</si>
  <si>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</si>
  <si>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</si>
  <si>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</si>
  <si>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</si>
  <si>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</si>
  <si>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</si>
  <si>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</si>
  <si>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</si>
  <si>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</si>
  <si>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</si>
  <si>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</si>
  <si>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</si>
  <si>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</si>
  <si>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</si>
  <si>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</si>
  <si>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</si>
  <si>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</si>
  <si>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</si>
  <si>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</si>
  <si>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</si>
  <si>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</si>
  <si>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</si>
  <si>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</si>
  <si>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</si>
  <si>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</si>
  <si>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</si>
  <si>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</si>
  <si>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</si>
  <si>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</si>
  <si>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</si>
  <si>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</si>
  <si>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</si>
  <si>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</si>
  <si>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</si>
  <si>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</si>
  <si>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</si>
  <si>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</si>
  <si>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</si>
  <si>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</si>
  <si>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</si>
  <si>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</si>
  <si>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</si>
  <si>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</si>
  <si>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</si>
  <si>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</si>
  <si>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</si>
  <si>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</si>
  <si>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</si>
  <si>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</si>
  <si>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</si>
  <si>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</si>
  <si>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</si>
  <si>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</si>
  <si>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</si>
  <si>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</si>
  <si>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</si>
  <si>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</si>
  <si>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</si>
  <si>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</si>
  <si>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</si>
  <si>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</si>
  <si>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</si>
  <si>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</si>
  <si>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</si>
  <si>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</si>
  <si>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</si>
  <si>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</si>
  <si>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</si>
  <si>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</si>
  <si>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</si>
  <si>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</si>
  <si>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</si>
  <si>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</si>
  <si>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</si>
  <si>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</si>
  <si>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</si>
  <si>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</si>
  <si>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</si>
  <si>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</si>
  <si>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</si>
  <si>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</si>
  <si>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</si>
  <si>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</si>
  <si>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</si>
  <si>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</si>
  <si>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</si>
  <si>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</si>
  <si>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</si>
  <si>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</si>
  <si>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</si>
  <si>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</si>
  <si>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</si>
  <si>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</si>
  <si>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</si>
  <si>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</si>
  <si>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</si>
  <si>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</si>
  <si>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</si>
  <si>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</si>
  <si>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</si>
  <si>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</si>
  <si>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</si>
  <si>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</si>
  <si>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</si>
  <si>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</si>
  <si>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</si>
  <si>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</si>
  <si>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</si>
  <si>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</si>
  <si>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</si>
  <si>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</si>
  <si>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</si>
  <si>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</si>
  <si>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</si>
  <si>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</si>
  <si>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</si>
  <si>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</si>
  <si>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</si>
  <si>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</si>
  <si>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</si>
  <si>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</si>
  <si>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</si>
  <si>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</si>
  <si>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</si>
  <si>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</si>
  <si>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</si>
  <si>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</si>
  <si>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</si>
  <si>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</si>
  <si>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</si>
  <si>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</si>
  <si>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</si>
  <si>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</si>
  <si>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</si>
  <si>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</si>
  <si>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</si>
  <si>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</si>
  <si>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</si>
  <si>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</si>
  <si>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</si>
  <si>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</si>
  <si>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</si>
  <si>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</si>
  <si>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</si>
  <si>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</si>
  <si>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</si>
  <si>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</si>
  <si>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</si>
  <si>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</si>
  <si>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</si>
  <si>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</si>
  <si>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</si>
  <si>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</si>
  <si>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</si>
  <si>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</si>
  <si>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</si>
  <si>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</si>
  <si>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</si>
  <si>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</si>
  <si>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</si>
  <si>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</si>
  <si>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</si>
  <si>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</si>
  <si>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</si>
  <si>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</si>
  <si>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</si>
  <si>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</si>
  <si>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</si>
  <si>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</si>
  <si>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</si>
  <si>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</si>
  <si>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</si>
  <si>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</si>
  <si>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</si>
  <si>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</si>
  <si>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</si>
  <si>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</si>
  <si>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</si>
  <si>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</si>
  <si>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</si>
  <si>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</si>
  <si>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</si>
  <si>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</si>
  <si>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</si>
  <si>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</si>
  <si>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</si>
  <si>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</si>
  <si>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</si>
  <si>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</si>
  <si>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</si>
  <si>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</si>
  <si>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</si>
  <si>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</si>
  <si>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</si>
  <si>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</si>
  <si>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</si>
  <si>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</si>
  <si>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</si>
  <si>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</si>
  <si>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</si>
  <si>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</si>
  <si>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</si>
  <si>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</si>
  <si>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</si>
  <si>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</si>
  <si>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</si>
  <si>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</si>
  <si>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</si>
  <si>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</si>
  <si>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</si>
  <si>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</si>
  <si>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</si>
  <si>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</si>
  <si>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</si>
  <si>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</si>
  <si>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</si>
  <si>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</si>
  <si>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</si>
  <si>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</si>
  <si>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</si>
  <si>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</si>
  <si>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</si>
  <si>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</si>
  <si>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</si>
  <si>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</si>
  <si>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</si>
  <si>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</si>
  <si>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</si>
  <si>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</si>
  <si>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</si>
  <si>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</si>
  <si>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</si>
  <si>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</si>
  <si>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</si>
  <si>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</si>
  <si>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</si>
  <si>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</si>
  <si>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</si>
  <si>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</si>
  <si>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</si>
  <si>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</si>
  <si>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</si>
  <si>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</si>
  <si>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</si>
  <si>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</si>
  <si>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</si>
  <si>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</si>
  <si>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</si>
  <si>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</si>
  <si>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</si>
  <si>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</si>
  <si>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</si>
  <si>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</si>
  <si>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</si>
  <si>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</si>
  <si>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</si>
  <si>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</si>
  <si>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</si>
  <si>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</si>
  <si>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</si>
  <si>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</si>
  <si>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</si>
  <si>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</si>
  <si>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</si>
  <si>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</si>
  <si>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</si>
  <si>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</si>
  <si>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</si>
  <si>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</si>
  <si>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</si>
  <si>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</si>
  <si>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</si>
  <si>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</si>
  <si>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</si>
  <si>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</si>
  <si>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</si>
  <si>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</si>
  <si>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</si>
  <si>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</si>
  <si>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</si>
  <si>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</si>
  <si>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</si>
  <si>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</si>
  <si>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</si>
  <si>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</si>
  <si>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</si>
  <si>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</si>
  <si>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</si>
  <si>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</si>
  <si>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</si>
  <si>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</si>
  <si>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</si>
  <si>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</si>
  <si>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</si>
  <si>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</si>
  <si>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</si>
  <si>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</si>
  <si>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</si>
  <si>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</si>
  <si>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</si>
  <si>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</si>
  <si>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</si>
  <si>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</si>
  <si>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</si>
  <si>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</si>
  <si>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</si>
  <si>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</si>
  <si>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</si>
  <si>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</si>
  <si>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</si>
  <si>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</si>
  <si>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</si>
  <si>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</si>
  <si>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</si>
  <si>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</si>
  <si>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</si>
  <si>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</si>
  <si>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</si>
  <si>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</si>
  <si>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</si>
  <si>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</si>
  <si>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</si>
  <si>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</si>
  <si>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</si>
  <si>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</si>
  <si>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</si>
  <si>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</si>
  <si>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</si>
  <si>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</si>
  <si>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</si>
  <si>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</si>
  <si>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</si>
  <si>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</si>
  <si>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</si>
  <si>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</si>
  <si>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</si>
  <si>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</si>
  <si>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</si>
  <si>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</si>
  <si>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</si>
  <si>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</si>
  <si>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</si>
  <si>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</si>
  <si>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</si>
  <si>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</si>
  <si>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</si>
  <si>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</si>
  <si>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</si>
  <si>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</si>
  <si>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</si>
  <si>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</si>
  <si>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</si>
  <si>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</si>
  <si>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</si>
  <si>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</si>
  <si>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</si>
  <si>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</si>
  <si>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</si>
  <si>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</si>
  <si>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</si>
  <si>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</si>
  <si>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</si>
  <si>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</si>
  <si>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</si>
  <si>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</si>
  <si>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</si>
  <si>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</si>
  <si>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</si>
  <si>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</si>
  <si>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</si>
  <si>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</si>
  <si>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</si>
  <si>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</si>
  <si>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</si>
  <si>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</si>
  <si>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</si>
  <si>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</si>
  <si>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</si>
  <si>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</si>
  <si>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</si>
  <si>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</si>
  <si>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</si>
  <si>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</si>
  <si>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</si>
  <si>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</si>
  <si>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</si>
  <si>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</si>
  <si>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</si>
  <si>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</si>
  <si>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</si>
  <si>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</si>
  <si>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</si>
  <si>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</si>
  <si>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</si>
  <si>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</si>
  <si>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</si>
  <si>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</si>
  <si>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</si>
  <si>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</si>
  <si>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</si>
  <si>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</si>
  <si>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</si>
  <si>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</si>
  <si>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</si>
  <si>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</si>
  <si>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</si>
  <si>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</si>
  <si>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</si>
  <si>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</si>
  <si>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</si>
  <si>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</si>
  <si>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</si>
  <si>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</si>
  <si>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</si>
  <si>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</si>
  <si>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</si>
  <si>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</si>
  <si>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</si>
  <si>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</si>
  <si>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</si>
  <si>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</si>
  <si>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</si>
  <si>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</si>
  <si>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</si>
  <si>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</si>
  <si>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</si>
  <si>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</si>
  <si>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</si>
  <si>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</si>
  <si>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</si>
  <si>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</si>
  <si>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</si>
  <si>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</si>
  <si>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</si>
  <si>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</si>
  <si>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</si>
  <si>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</si>
  <si>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</si>
  <si>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</si>
  <si>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</si>
  <si>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</si>
  <si>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</si>
  <si>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</si>
  <si>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</si>
  <si>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</si>
  <si>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</si>
  <si>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</si>
  <si>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</si>
  <si>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</si>
  <si>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</si>
  <si>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</si>
  <si>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</si>
  <si>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</si>
  <si>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</si>
  <si>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</si>
  <si>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</si>
  <si>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</si>
  <si>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</si>
  <si>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</si>
  <si>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</si>
  <si>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</si>
  <si>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</si>
  <si>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</si>
  <si>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</si>
  <si>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</si>
  <si>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</si>
  <si>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</si>
  <si>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</si>
  <si>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</si>
  <si>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</si>
  <si>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</si>
  <si>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</si>
  <si>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</si>
  <si>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</si>
  <si>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</si>
  <si>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</si>
  <si>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</si>
  <si>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</si>
  <si>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</si>
  <si>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</si>
  <si>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</si>
  <si>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</si>
  <si>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</si>
  <si>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</si>
  <si>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</si>
  <si>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</si>
  <si>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</si>
  <si>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</si>
  <si>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</si>
  <si>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</si>
  <si>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</si>
  <si>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</si>
  <si>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</si>
  <si>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</si>
  <si>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</si>
  <si>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</si>
  <si>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</si>
  <si>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</si>
  <si>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</si>
  <si>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</si>
  <si>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</si>
  <si>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</si>
  <si>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</si>
  <si>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</si>
  <si>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</si>
  <si>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</si>
  <si>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</si>
  <si>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</si>
  <si>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</si>
  <si>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</si>
  <si>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</si>
  <si>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</si>
  <si>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</si>
  <si>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</si>
  <si>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</si>
  <si>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</si>
  <si>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</si>
  <si>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</si>
  <si>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</si>
  <si>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</si>
  <si>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</si>
  <si>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</si>
  <si>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</si>
  <si>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</si>
  <si>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</si>
  <si>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</si>
  <si>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</si>
  <si>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</si>
  <si>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</si>
  <si>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</si>
  <si>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</si>
  <si>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</si>
  <si>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</si>
  <si>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</si>
  <si>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</si>
  <si>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</si>
  <si>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</si>
  <si>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</si>
  <si>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</si>
  <si>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</si>
  <si>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</si>
  <si>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</si>
  <si>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</si>
  <si>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</si>
  <si>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</si>
  <si>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</si>
  <si>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</si>
  <si>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</si>
  <si>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</si>
  <si>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</si>
  <si>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</si>
  <si>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</si>
  <si>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</si>
  <si>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</si>
  <si>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</si>
  <si>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</si>
  <si>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</si>
  <si>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</si>
  <si>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</si>
  <si>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</si>
  <si>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</si>
  <si>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</si>
  <si>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</si>
  <si>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</si>
  <si>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</si>
  <si>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</si>
  <si>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</si>
  <si>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</si>
  <si>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</si>
  <si>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</si>
  <si>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</si>
  <si>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</si>
  <si>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</si>
  <si>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</si>
  <si>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</si>
  <si>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</si>
  <si>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</si>
  <si>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</si>
  <si>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</si>
  <si>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</si>
  <si>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</si>
  <si>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</si>
  <si>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</si>
  <si>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</si>
  <si>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</si>
  <si>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</si>
  <si>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</si>
  <si>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</si>
  <si>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</si>
  <si>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</si>
  <si>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</si>
  <si>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</si>
  <si>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</si>
  <si>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</si>
  <si>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</si>
  <si>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</si>
  <si>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</si>
  <si>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</si>
  <si>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</si>
  <si>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</si>
  <si>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</si>
  <si>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</si>
  <si>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</si>
  <si>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</si>
  <si>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</si>
  <si>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</si>
  <si>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</si>
  <si>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</si>
  <si>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</si>
  <si>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</si>
  <si>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</si>
  <si>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</si>
  <si>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</si>
  <si>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</si>
  <si>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</si>
  <si>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</si>
  <si>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</si>
  <si>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</si>
  <si>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</si>
  <si>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</si>
  <si>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</si>
  <si>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</si>
  <si>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</si>
  <si>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</si>
  <si>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</si>
  <si>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</si>
  <si>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</si>
  <si>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</si>
  <si>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</si>
  <si>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</si>
  <si>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</si>
  <si>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</si>
  <si>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</si>
  <si>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</si>
  <si>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</si>
  <si>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</si>
  <si>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</si>
  <si>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</si>
  <si>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</si>
  <si>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</si>
  <si>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</si>
  <si>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</si>
  <si>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</si>
  <si>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</si>
  <si>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</si>
  <si>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</si>
  <si>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</si>
  <si>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</si>
  <si>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</si>
  <si>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</si>
  <si>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</si>
  <si>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</si>
  <si>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</si>
  <si>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</si>
  <si>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</si>
  <si>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</si>
  <si>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</si>
  <si>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</si>
  <si>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</si>
  <si>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</si>
  <si>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</si>
  <si>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</si>
  <si>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</si>
  <si>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</si>
  <si>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</si>
  <si>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</si>
  <si>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</si>
  <si>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</si>
  <si>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</si>
  <si>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</si>
  <si>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</si>
  <si>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</si>
  <si>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</si>
  <si>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</si>
  <si>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</si>
  <si>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</si>
  <si>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</si>
  <si>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</si>
  <si>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</si>
  <si>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</si>
  <si>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</si>
  <si>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</si>
  <si>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</si>
  <si>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</si>
  <si>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</si>
  <si>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</si>
  <si>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</si>
  <si>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</si>
  <si>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</si>
  <si>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</si>
  <si>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</si>
  <si>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</si>
  <si>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</si>
  <si>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</si>
  <si>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</si>
  <si>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</si>
  <si>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</si>
  <si>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</si>
  <si>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</si>
  <si>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</si>
  <si>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</si>
  <si>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</si>
  <si>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</si>
  <si>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</si>
  <si>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</si>
  <si>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</si>
  <si>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</si>
  <si>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</si>
  <si>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</si>
  <si>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</si>
  <si>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</si>
  <si>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</si>
  <si>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</si>
  <si>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</si>
  <si>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</si>
  <si>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</si>
  <si>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</si>
  <si>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</si>
  <si>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</si>
  <si>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</si>
  <si>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</si>
  <si>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</si>
  <si>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</si>
  <si>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</si>
  <si>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</si>
  <si>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</si>
  <si>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</si>
  <si>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</si>
  <si>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</si>
  <si>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</si>
  <si>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</si>
  <si>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</si>
  <si>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</si>
  <si>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</si>
  <si>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</si>
  <si>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</si>
  <si>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</si>
  <si>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</si>
  <si>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</si>
  <si>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</si>
  <si>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</si>
  <si>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</si>
  <si>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</si>
  <si>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</si>
  <si>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</si>
  <si>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</si>
  <si>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</si>
  <si>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</si>
  <si>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</si>
  <si>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</si>
  <si>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</si>
  <si>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</si>
  <si>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</si>
  <si>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</si>
  <si>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</si>
  <si>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</si>
  <si>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</si>
  <si>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</si>
  <si>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</si>
  <si>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</si>
  <si>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</si>
  <si>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</si>
  <si>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</si>
  <si>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</si>
  <si>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</si>
  <si>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</si>
  <si>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</si>
  <si>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</si>
  <si>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</si>
  <si>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</si>
  <si>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</si>
  <si>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</si>
  <si>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</si>
  <si>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</si>
  <si>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</si>
  <si>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</si>
  <si>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</si>
  <si>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</si>
  <si>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</si>
  <si>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</si>
  <si>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</si>
  <si>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</si>
  <si>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</si>
  <si>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</si>
  <si>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</si>
  <si>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</si>
  <si>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</si>
  <si>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</si>
  <si>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</si>
  <si>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</si>
  <si>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</si>
  <si>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</si>
  <si>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</si>
  <si>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</si>
  <si>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</si>
  <si>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</si>
  <si>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</si>
  <si>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</si>
  <si>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</si>
  <si>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</si>
  <si>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</si>
  <si>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</si>
  <si>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</si>
  <si>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</si>
  <si>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</si>
  <si>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</si>
  <si>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</si>
  <si>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</si>
  <si>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</si>
  <si>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</si>
  <si>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</si>
  <si>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</si>
  <si>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</si>
  <si>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</si>
  <si>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</si>
  <si>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</si>
  <si>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</si>
  <si>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</si>
  <si>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</si>
  <si>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</si>
  <si>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</si>
  <si>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</si>
  <si>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</si>
  <si>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</si>
  <si>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</si>
  <si>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</si>
  <si>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</si>
  <si>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</si>
  <si>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</si>
  <si>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</si>
  <si>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</si>
  <si>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</si>
  <si>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</si>
  <si>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</si>
  <si>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</si>
  <si>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</si>
  <si>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</si>
  <si>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</si>
  <si>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</si>
  <si>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</si>
  <si>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</si>
  <si>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</si>
  <si>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</si>
  <si>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</si>
  <si>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</si>
  <si>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</si>
  <si>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</si>
  <si>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</si>
  <si>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</si>
  <si>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</si>
  <si>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</si>
  <si>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</si>
  <si>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</si>
  <si>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</si>
  <si>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</si>
  <si>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</si>
  <si>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</si>
  <si>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</si>
  <si>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</si>
  <si>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</si>
  <si>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</si>
  <si>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</si>
  <si>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</si>
  <si>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</si>
  <si>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</si>
  <si>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</si>
  <si>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</si>
  <si>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</si>
  <si>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</si>
  <si>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</si>
  <si>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</si>
  <si>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</si>
  <si>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</si>
  <si>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</si>
  <si>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</si>
  <si>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</si>
  <si>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</si>
  <si>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</si>
  <si>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</si>
  <si>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</si>
  <si>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</si>
  <si>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</si>
  <si>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</si>
  <si>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</si>
  <si>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</si>
  <si>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</si>
  <si>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</si>
  <si>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</si>
  <si>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</si>
  <si>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</si>
  <si>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</si>
  <si>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</si>
  <si>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</si>
  <si>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</si>
  <si>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</si>
  <si>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</si>
  <si>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</si>
  <si>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</si>
  <si>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</si>
  <si>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</si>
  <si>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</si>
  <si>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</si>
  <si>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</si>
  <si>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</si>
  <si>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</si>
  <si>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</si>
  <si>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</si>
  <si>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</si>
  <si>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</si>
  <si>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</si>
  <si>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</si>
  <si>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</si>
  <si>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</si>
  <si>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</si>
  <si>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</si>
  <si>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</si>
  <si>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</si>
  <si>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</si>
  <si>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</si>
  <si>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</si>
  <si>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</si>
  <si>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</si>
  <si>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</si>
  <si>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</si>
  <si>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</si>
  <si>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</si>
  <si>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</si>
  <si>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</si>
  <si>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</si>
  <si>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</si>
  <si>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</si>
  <si>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</si>
  <si>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</si>
  <si>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</si>
  <si>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</si>
  <si>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</si>
  <si>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</si>
  <si>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</si>
  <si>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</si>
  <si>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</si>
  <si>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</si>
  <si>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</si>
  <si>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</si>
  <si>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</si>
  <si>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</si>
  <si>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</si>
  <si>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</si>
  <si>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</si>
  <si>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</si>
  <si>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</si>
  <si>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</si>
  <si>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</si>
  <si>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</si>
  <si>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</si>
  <si>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</si>
  <si>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</si>
  <si>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</si>
  <si>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</si>
  <si>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</si>
  <si>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</si>
  <si>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</si>
  <si>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</si>
  <si>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</si>
  <si>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</si>
  <si>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</si>
  <si>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</si>
  <si>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</si>
  <si>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</si>
  <si>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</si>
  <si>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</si>
  <si>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</si>
  <si>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</si>
  <si>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</si>
  <si>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</si>
  <si>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</si>
  <si>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</si>
  <si>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</si>
  <si>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</si>
  <si>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</si>
  <si>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</si>
  <si>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</si>
  <si>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</si>
  <si>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</si>
  <si>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</si>
  <si>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</si>
  <si>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</si>
  <si>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</si>
  <si>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</si>
  <si>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</si>
  <si>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</si>
  <si>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</si>
  <si>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</si>
  <si>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</si>
  <si>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</si>
  <si>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</si>
  <si>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</si>
  <si>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</si>
  <si>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</si>
  <si>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</si>
  <si>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</si>
  <si>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</si>
  <si>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</si>
  <si>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</si>
  <si>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</si>
  <si>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</si>
  <si>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</si>
  <si>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</si>
  <si>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</si>
  <si>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</si>
  <si>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</si>
  <si>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</si>
  <si>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</si>
  <si>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</si>
  <si>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</si>
  <si>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</si>
  <si>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</si>
  <si>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</si>
  <si>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</si>
  <si>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</si>
  <si>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</si>
  <si>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</si>
  <si>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</si>
  <si>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</si>
  <si>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</si>
  <si>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</si>
  <si>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</si>
  <si>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</si>
  <si>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</si>
  <si>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</si>
  <si>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</si>
  <si>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</si>
  <si>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</si>
  <si>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</si>
  <si>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</si>
  <si>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</si>
  <si>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</si>
  <si>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</si>
  <si>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</si>
  <si>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</si>
  <si>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</si>
  <si>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</si>
  <si>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</si>
  <si>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</si>
  <si>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</si>
  <si>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</si>
  <si>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</si>
  <si>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</si>
  <si>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</si>
  <si>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</si>
  <si>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</si>
  <si>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</si>
  <si>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</si>
  <si>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</si>
  <si>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</si>
  <si>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</si>
  <si>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</si>
  <si>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</si>
  <si>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</si>
  <si>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</si>
  <si>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</si>
  <si>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</si>
  <si>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</si>
  <si>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</si>
  <si>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</si>
  <si>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</si>
  <si>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</si>
  <si>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</si>
  <si>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</si>
  <si>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</si>
  <si>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</si>
  <si>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</si>
  <si>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</si>
  <si>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</si>
  <si>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</si>
  <si>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</si>
  <si>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</si>
  <si>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</si>
  <si>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</si>
  <si>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</si>
  <si>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</si>
  <si>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</si>
  <si>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</si>
  <si>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</si>
  <si>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</si>
  <si>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</si>
  <si>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</si>
  <si>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</si>
  <si>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</si>
  <si>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</si>
  <si>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</si>
  <si>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</si>
  <si>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</si>
  <si>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</si>
  <si>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</si>
  <si>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</si>
  <si>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</si>
  <si>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</si>
  <si>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</si>
  <si>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</si>
  <si>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</si>
  <si>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</si>
  <si>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</si>
  <si>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</si>
  <si>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</si>
  <si>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</si>
  <si>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</si>
  <si>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</si>
  <si>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</si>
  <si>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</si>
  <si>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</si>
  <si>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</si>
  <si>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</si>
  <si>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</si>
  <si>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</si>
  <si>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</si>
  <si>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</si>
  <si>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</si>
  <si>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</si>
  <si>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</si>
  <si>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</si>
  <si>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</si>
  <si>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</si>
  <si>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</si>
  <si>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</si>
  <si>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</si>
  <si>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</si>
  <si>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</si>
  <si>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</si>
  <si>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</si>
  <si>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</si>
  <si>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</si>
  <si>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</si>
  <si>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</si>
  <si>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</si>
  <si>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</si>
  <si>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</si>
  <si>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</si>
  <si>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</si>
  <si>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</si>
  <si>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</si>
  <si>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</si>
  <si>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</si>
  <si>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</si>
  <si>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</si>
  <si>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</si>
  <si>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</si>
  <si>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</si>
  <si>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</si>
  <si>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</si>
  <si>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</si>
  <si>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</si>
  <si>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</si>
  <si>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</si>
  <si>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</si>
  <si>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</si>
  <si>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</si>
  <si>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</si>
  <si>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</si>
  <si>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</si>
  <si>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</si>
  <si>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</si>
  <si>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</si>
  <si>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</si>
  <si>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</si>
  <si>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</si>
  <si>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</si>
  <si>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</si>
  <si>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</si>
  <si>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</si>
  <si>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</si>
  <si>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</si>
  <si>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</si>
  <si>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</si>
  <si>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</si>
  <si>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</si>
  <si>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</si>
  <si>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</si>
  <si>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</si>
  <si>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</si>
  <si>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</si>
  <si>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</si>
  <si>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</si>
  <si>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</si>
  <si>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</si>
  <si>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</si>
  <si>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</si>
  <si>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</si>
  <si>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</si>
  <si>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</si>
  <si>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</si>
  <si>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</si>
  <si>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</si>
  <si>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</si>
  <si>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</si>
  <si>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</si>
  <si>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</si>
  <si>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</si>
  <si>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</si>
  <si>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</si>
  <si>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</si>
  <si>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</si>
  <si>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</si>
  <si>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</si>
  <si>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</si>
  <si>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</si>
  <si>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</si>
  <si>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</si>
  <si>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</si>
  <si>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</si>
  <si>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</si>
  <si>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</si>
  <si>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</si>
  <si>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</si>
  <si>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</si>
  <si>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</si>
  <si>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</si>
  <si>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</si>
  <si>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</si>
  <si>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</si>
  <si>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</si>
  <si>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</si>
  <si>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</si>
  <si>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</si>
  <si>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</si>
  <si>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</si>
  <si>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</si>
  <si>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</si>
  <si>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</si>
  <si>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</si>
  <si>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</si>
  <si>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</si>
  <si>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</si>
  <si>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</si>
  <si>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</si>
  <si>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</si>
  <si>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</si>
  <si>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</si>
  <si>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</si>
  <si>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</si>
  <si>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</si>
  <si>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</si>
  <si>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</si>
  <si>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</si>
  <si>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</si>
  <si>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</si>
  <si>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</si>
  <si>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</si>
  <si>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</si>
  <si>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</si>
  <si>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</si>
  <si>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</si>
  <si>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</si>
  <si>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</si>
  <si>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</si>
  <si>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</si>
  <si>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</si>
  <si>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</si>
  <si>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</si>
  <si>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</si>
  <si>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</si>
  <si>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</si>
  <si>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</si>
  <si>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</si>
  <si>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</si>
  <si>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</si>
  <si>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</si>
  <si>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</si>
  <si>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</si>
  <si>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</si>
  <si>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</si>
  <si>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</si>
  <si>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</si>
  <si>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</si>
  <si>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</si>
  <si>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</si>
  <si>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</si>
  <si>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</si>
  <si>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</si>
  <si>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</si>
  <si>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</si>
  <si>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</si>
  <si>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</si>
  <si>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</si>
  <si>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</si>
  <si>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</si>
  <si>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</si>
  <si>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</si>
  <si>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</si>
  <si>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</si>
  <si>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</si>
  <si>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</si>
  <si>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</si>
  <si>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</si>
  <si>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</si>
  <si>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</si>
  <si>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</si>
  <si>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</si>
  <si>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</si>
  <si>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</si>
  <si>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</si>
  <si>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</si>
  <si>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</si>
  <si>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</si>
  <si>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</si>
  <si>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</si>
  <si>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</si>
  <si>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</si>
  <si>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</si>
  <si>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</si>
  <si>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</si>
  <si>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</si>
  <si>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</si>
  <si>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</si>
  <si>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</si>
  <si>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</si>
  <si>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</si>
  <si>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</si>
  <si>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</si>
  <si>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</si>
  <si>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</si>
  <si>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</si>
  <si>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</si>
  <si>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</si>
  <si>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</si>
  <si>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</si>
  <si>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</si>
  <si>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</si>
  <si>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</si>
  <si>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</si>
  <si>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</si>
  <si>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</si>
  <si>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</si>
  <si>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</si>
  <si>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</si>
  <si>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</si>
  <si>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</si>
  <si>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</si>
  <si>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</si>
  <si>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</si>
  <si>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</si>
  <si>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</si>
  <si>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</si>
  <si>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</si>
  <si>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</si>
  <si>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</si>
  <si>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</si>
  <si>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</si>
  <si>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</si>
  <si>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</si>
  <si>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</si>
  <si>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</si>
  <si>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</si>
  <si>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</si>
  <si>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</si>
  <si>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</si>
  <si>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</si>
  <si>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</si>
  <si>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</si>
  <si>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</si>
  <si>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</si>
  <si>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</si>
  <si>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</si>
  <si>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</si>
  <si>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</si>
  <si>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</si>
  <si>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</si>
  <si>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</si>
  <si>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</si>
  <si>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</si>
  <si>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</si>
  <si>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</si>
  <si>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</si>
  <si>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</si>
  <si>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</si>
  <si>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</si>
  <si>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</si>
  <si>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</si>
  <si>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</si>
  <si>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</si>
  <si>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</si>
  <si>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</si>
  <si>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</si>
  <si>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</si>
  <si>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</si>
  <si>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</si>
  <si>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</si>
  <si>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DOUGLAS</t>
  </si>
  <si>
    <t>400 N SYCAMORE</t>
  </si>
  <si>
    <t>VILLA GROVE</t>
  </si>
  <si>
    <t>Norm Tracy</t>
  </si>
  <si>
    <t>ntracy@vg302.org</t>
  </si>
  <si>
    <t>217-832-2261</t>
  </si>
  <si>
    <t>217-832-8615</t>
  </si>
  <si>
    <t>2014 General Obligation QZAB Bonds</t>
  </si>
  <si>
    <t>2016 General Obligation Bonds</t>
  </si>
  <si>
    <t>Capital Lease - Buses</t>
  </si>
  <si>
    <t>2019A Alternative Revenue Bonds</t>
  </si>
  <si>
    <t>1, 4</t>
  </si>
  <si>
    <t>No applicable contracts paid in the current year</t>
  </si>
  <si>
    <t>Eastern Illinois Area of Special Education</t>
  </si>
  <si>
    <t>Page 2 - Auditor's Questionnaire</t>
  </si>
  <si>
    <t>Part C - Other Issues</t>
  </si>
  <si>
    <t xml:space="preserve"> - Did not budget for On-Behalf Payments</t>
  </si>
  <si>
    <t xml:space="preserve"> - Over budget in the Debt Services Fund by 26%</t>
  </si>
  <si>
    <t>Page 5 - Acct 190 - Other Current Assets</t>
  </si>
  <si>
    <t>Col 10 - Educational</t>
  </si>
  <si>
    <t>Lots for Project Houses - $3,369</t>
  </si>
  <si>
    <t>Page 8 - Acct 8990 - Other Uses Not Classified Elsewhere</t>
  </si>
  <si>
    <t>Bond Issuance Costs - $37,595</t>
  </si>
  <si>
    <t>Col 70 - Working Cash</t>
  </si>
  <si>
    <t>Col 90 - Fire Prevention &amp; Safety</t>
  </si>
  <si>
    <t>Bond Issuance Costs - $32,656</t>
  </si>
  <si>
    <t>Page 10 - Acct 1614 - Sales to Pupils - Other</t>
  </si>
  <si>
    <t>Milk Sales - $5,715</t>
  </si>
  <si>
    <t>Page 10 - Acct 1690 - Other Food Service</t>
  </si>
  <si>
    <t>Rebates - $133</t>
  </si>
  <si>
    <t>Page 10 - Acct 1790 - Other District/School Activity Revenue</t>
  </si>
  <si>
    <t>PE Clothing Sales - $4,325</t>
  </si>
  <si>
    <t>Page 11 - Acct 1999 - Other Local Revenue</t>
  </si>
  <si>
    <t>Refunds &amp; Reimbursements - $127,342</t>
  </si>
  <si>
    <t>Col 40 - Transportation</t>
  </si>
  <si>
    <t>Refunds &amp; Reimbursements - $6,500</t>
  </si>
  <si>
    <t>Col 50 - Municipal Retirement</t>
  </si>
  <si>
    <t>Refunds &amp; Reimbursements - $1,180</t>
  </si>
  <si>
    <t>Page 12 - Acct 3999 - Other Restricted Revenue from State Sources</t>
  </si>
  <si>
    <t>Library Grant - $750</t>
  </si>
  <si>
    <t>Pages 15 &amp; 19 - Acct 2190 - Other Support Services - Pupils</t>
  </si>
  <si>
    <t>Lunch Monitors</t>
  </si>
  <si>
    <t>Page 18 - Acct 5400 - Debt Services - Other</t>
  </si>
  <si>
    <t>Bond Fees - $1,100</t>
  </si>
  <si>
    <t xml:space="preserve">AUDITCHECK Tab </t>
  </si>
  <si>
    <t>#8 - Long Term Debt Principal retired does not match because of capital lease principal payments</t>
  </si>
  <si>
    <t>#15 - No applicable contracts paid in the current year</t>
  </si>
  <si>
    <t>2019 General Obligation Bonds</t>
  </si>
  <si>
    <t xml:space="preserve">  Villa Grove CUSD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</si>
</sst>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xf numFmtId="0" fontId="67"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2051</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2051</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11021302026</v>
      </c>
      <c r="B13" s="2103"/>
      <c r="C13" s="2103"/>
      <c r="D13" s="2103"/>
      <c r="E13" s="2103"/>
      <c r="F13" s="2103"/>
      <c r="G13" s="2103"/>
      <c r="H13" s="2104"/>
      <c r="I13" s="31"/>
      <c r="J13" s="30"/>
      <c r="K13" s="28"/>
      <c r="L13" s="30"/>
      <c r="M13" s="30"/>
      <c r="N13" s="30"/>
      <c r="O13" s="30"/>
      <c r="P13" s="30"/>
      <c r="Q13" s="30"/>
      <c r="R13" s="30"/>
      <c r="S13" s="30"/>
      <c r="T13" s="2108" t="s">
        <v>2052</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2061</v>
      </c>
      <c r="B15" s="2106"/>
      <c r="C15" s="2106"/>
      <c r="D15" s="2106"/>
      <c r="E15" s="2106"/>
      <c r="F15" s="2106"/>
      <c r="G15" s="2106"/>
      <c r="H15" s="2107"/>
      <c r="T15" s="2112" t="s">
        <v>2053</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2109</v>
      </c>
      <c r="B17" s="2076"/>
      <c r="C17" s="2076"/>
      <c r="D17" s="2076"/>
      <c r="E17" s="2076"/>
      <c r="F17" s="2076"/>
      <c r="G17" s="2076"/>
      <c r="H17" s="2101"/>
      <c r="T17" s="2119" t="s">
        <v>2054</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2062</v>
      </c>
      <c r="B19" s="2061"/>
      <c r="C19" s="2061"/>
      <c r="D19" s="2061"/>
      <c r="E19" s="2061"/>
      <c r="F19" s="2061"/>
      <c r="G19" s="2061"/>
      <c r="H19" s="2041"/>
      <c r="I19" s="30"/>
      <c r="J19" s="96"/>
      <c r="K19" s="40"/>
      <c r="L19" s="38"/>
      <c r="M19" s="109" t="s">
        <v>312</v>
      </c>
      <c r="P19" s="27"/>
      <c r="Q19" s="27"/>
      <c r="R19" s="27"/>
      <c r="S19" s="31"/>
      <c r="T19" s="2105" t="s">
        <v>2055</v>
      </c>
      <c r="U19" s="2040"/>
      <c r="V19" s="2040"/>
      <c r="W19" s="2041"/>
      <c r="X19" s="2117" t="s">
        <v>2056</v>
      </c>
      <c r="Y19" s="2118"/>
      <c r="Z19" s="2115">
        <v>60942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2063</v>
      </c>
      <c r="B21" s="2040"/>
      <c r="C21" s="2040"/>
      <c r="D21" s="2040"/>
      <c r="E21" s="2040"/>
      <c r="F21" s="2040"/>
      <c r="G21" s="2040"/>
      <c r="H21" s="2041"/>
      <c r="I21" s="2095" t="s">
        <v>673</v>
      </c>
      <c r="J21" s="2090"/>
      <c r="K21" s="2090"/>
      <c r="L21" s="2090"/>
      <c r="M21" s="2090"/>
      <c r="N21" s="2090"/>
      <c r="O21" s="2090"/>
      <c r="P21" s="2090"/>
      <c r="Q21" s="2090"/>
      <c r="R21" s="2090"/>
      <c r="S21" s="2096"/>
      <c r="T21" s="2130" t="s">
        <v>2057</v>
      </c>
      <c r="U21" s="2131"/>
      <c r="V21" s="2131"/>
      <c r="W21" s="2131"/>
      <c r="X21" s="2136" t="s">
        <v>2058</v>
      </c>
      <c r="Y21" s="2137"/>
      <c r="Z21" s="2137"/>
      <c r="AA21" s="2138"/>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c r="B23" s="2093"/>
      <c r="C23" s="2093"/>
      <c r="D23" s="2093"/>
      <c r="E23" s="2093"/>
      <c r="F23" s="2093"/>
      <c r="G23" s="2093"/>
      <c r="H23" s="2094"/>
      <c r="T23" s="2075">
        <v>65.018319000000005</v>
      </c>
      <c r="U23" s="2129"/>
      <c r="V23" s="2129"/>
      <c r="W23" s="2129"/>
      <c r="X23" s="2133">
        <v>44469</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61956</v>
      </c>
      <c r="B25" s="2040"/>
      <c r="C25" s="2040"/>
      <c r="D25" s="2040"/>
      <c r="E25" s="2040"/>
      <c r="F25" s="2040"/>
      <c r="G25" s="2040"/>
      <c r="H25" s="2041"/>
      <c r="I25" s="110"/>
      <c r="J25" s="2064"/>
      <c r="K25" s="2064"/>
      <c r="L25" s="2064"/>
      <c r="M25" s="2064"/>
      <c r="N25" s="2064"/>
      <c r="O25" s="2064"/>
      <c r="P25" s="2064"/>
      <c r="Q25" s="2064"/>
      <c r="R25" s="2064"/>
      <c r="S25" s="2065"/>
      <c r="T25" s="2126" t="s">
        <v>2059</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2064</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2065</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2066</v>
      </c>
      <c r="B42" s="2059"/>
      <c r="C42" s="2060"/>
      <c r="D42" s="2058" t="s">
        <v>2067</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2060</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75649157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2.07E-2</v>
      </c>
      <c r="E10" s="333" t="s">
        <v>998</v>
      </c>
      <c r="F10" s="332">
        <v>3.9750000000000002E-3</v>
      </c>
      <c r="G10" s="333" t="s">
        <v>998</v>
      </c>
      <c r="H10" s="332">
        <v>2E-3</v>
      </c>
      <c r="I10" s="333" t="s">
        <v>999</v>
      </c>
      <c r="J10" s="1424">
        <f>ROUND(D10+F10+H10,5)</f>
        <v>2.6679999999999999E-2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5761264</v>
      </c>
      <c r="E16" s="1547"/>
      <c r="F16" s="1546">
        <f>SUM('Acct Summary 7-8'!C17,'Acct Summary 7-8'!D17,'Acct Summary 7-8'!F17)</f>
        <v>5595348</v>
      </c>
      <c r="G16" s="1547"/>
      <c r="H16" s="1546">
        <f>SUM(D16-F16)</f>
        <v>165916</v>
      </c>
      <c r="I16" s="1548"/>
      <c r="J16" s="1546">
        <f>SUM('Acct Summary 7-8'!C81,'Acct Summary 7-8'!D81,'Acct Summary 7-8'!F81,'Acct Summary 7-8'!I81)</f>
        <v>3072226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10439583.666000001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5293270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Villa Grove CUSD 302</v>
      </c>
      <c r="E7" s="368"/>
      <c r="G7" s="247"/>
      <c r="H7" s="364"/>
      <c r="I7" s="364"/>
      <c r="J7" s="364"/>
      <c r="K7" s="364"/>
      <c r="L7" s="307"/>
      <c r="M7" s="307"/>
      <c r="N7" s="307"/>
      <c r="O7" s="307"/>
      <c r="P7" s="307"/>
    </row>
    <row r="8" spans="1:18" ht="12.75" x14ac:dyDescent="0.2">
      <c r="A8" s="307"/>
      <c r="B8" s="307"/>
      <c r="C8" s="366" t="s">
        <v>1115</v>
      </c>
      <c r="D8" s="369">
        <f>COVER!A13</f>
        <v>11021302026</v>
      </c>
      <c r="E8" s="370"/>
      <c r="G8" s="307"/>
      <c r="H8" s="307"/>
      <c r="I8" s="307"/>
      <c r="J8" s="307"/>
      <c r="K8" s="307"/>
      <c r="L8" s="307"/>
      <c r="M8" s="307"/>
      <c r="N8" s="307"/>
      <c r="O8" s="307"/>
      <c r="P8" s="307"/>
    </row>
    <row r="9" spans="1:18" ht="12.75" x14ac:dyDescent="0.2">
      <c r="A9" s="307"/>
      <c r="B9" s="307"/>
      <c r="C9" s="366" t="s">
        <v>708</v>
      </c>
      <c r="D9" s="371" t="str">
        <f>COVER!A15</f>
        <v>DOUGLAS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3072226</v>
      </c>
      <c r="I12" s="380"/>
      <c r="J12" s="380"/>
      <c r="K12" s="1559">
        <f>TRUNC((H12/H13*100000),5)/100000</f>
        <v>0.53325554939999997</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5761264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5595348</v>
      </c>
      <c r="I17" s="380"/>
      <c r="J17" s="389"/>
      <c r="K17" s="1559">
        <f>TRUNC((H17/H18*100000),5)/100000</f>
        <v>0.97120145850000006</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5761264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3068857</v>
      </c>
      <c r="I24" s="394"/>
      <c r="J24" s="394"/>
      <c r="K24" s="1555">
        <f>TRUNC(((H24/H25*100000)/100000),2)</f>
        <v>197.44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15542.633330000001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1715571.5824500001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5293270</v>
      </c>
      <c r="I32" s="392"/>
      <c r="J32" s="392"/>
      <c r="K32" s="1555">
        <f>TRUNC(100-((((H32/H33*100))*100)/100),2)</f>
        <v>49.29</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10439583.666000001</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1528562</v>
      </c>
      <c r="D4" s="1573">
        <v>374171</v>
      </c>
      <c r="E4" s="1573">
        <v>238175</v>
      </c>
      <c r="F4" s="1573">
        <v>462586</v>
      </c>
      <c r="G4" s="1573">
        <v>5884</v>
      </c>
      <c r="H4" s="1573">
        <v>1850781</v>
      </c>
      <c r="I4" s="1573">
        <v>703538</v>
      </c>
      <c r="J4" s="1574">
        <v>189140</v>
      </c>
      <c r="K4" s="1573">
        <v>198759</v>
      </c>
      <c r="L4" s="1573">
        <v>126243</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v>3369</v>
      </c>
      <c r="D12" s="1573"/>
      <c r="E12" s="1573"/>
      <c r="F12" s="1573"/>
      <c r="G12" s="1573"/>
      <c r="H12" s="1573"/>
      <c r="I12" s="1573"/>
      <c r="J12" s="1574"/>
      <c r="K12" s="1573"/>
      <c r="L12" s="1573"/>
      <c r="M12" s="1576"/>
      <c r="N12" s="1576"/>
    </row>
    <row r="13" spans="1:14" ht="13.5" customHeight="1" thickBot="1" x14ac:dyDescent="0.25">
      <c r="A13" s="1426" t="s">
        <v>639</v>
      </c>
      <c r="B13" s="1407"/>
      <c r="C13" s="1587">
        <f>SUM(C4:C12)</f>
        <v>1531931</v>
      </c>
      <c r="D13" s="1587">
        <f t="shared" ref="D13:L13" si="0">SUM(D4:D12)</f>
        <v>374171</v>
      </c>
      <c r="E13" s="1587">
        <f t="shared" si="0"/>
        <v>238175</v>
      </c>
      <c r="F13" s="1587">
        <f t="shared" si="0"/>
        <v>462586</v>
      </c>
      <c r="G13" s="1587">
        <f t="shared" si="0"/>
        <v>5884</v>
      </c>
      <c r="H13" s="1587">
        <f t="shared" si="0"/>
        <v>1850781</v>
      </c>
      <c r="I13" s="1587">
        <f t="shared" si="0"/>
        <v>703538</v>
      </c>
      <c r="J13" s="1587">
        <f t="shared" si="0"/>
        <v>189140</v>
      </c>
      <c r="K13" s="1587">
        <f t="shared" si="0"/>
        <v>198759</v>
      </c>
      <c r="L13" s="1587">
        <f t="shared" si="0"/>
        <v>126243</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19178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10321026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1301948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2209754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238175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5055095</v>
      </c>
    </row>
    <row r="23" spans="1:14" ht="13.5" customHeight="1" thickBot="1" x14ac:dyDescent="0.25">
      <c r="A23" s="1426" t="s">
        <v>638</v>
      </c>
      <c r="B23" s="1429"/>
      <c r="C23" s="1575"/>
      <c r="D23" s="1575"/>
      <c r="E23" s="1575"/>
      <c r="F23" s="1575"/>
      <c r="G23" s="1575"/>
      <c r="H23" s="1575"/>
      <c r="I23" s="1575"/>
      <c r="J23" s="1575"/>
      <c r="K23" s="1575"/>
      <c r="L23" s="1575"/>
      <c r="M23" s="1594">
        <f>SUM(M15:M22)</f>
        <v>13851906</v>
      </c>
      <c r="N23" s="1594">
        <f>SUM(N21:N22)</f>
        <v>5293270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126243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126243</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5293270</v>
      </c>
    </row>
    <row r="37" spans="1:14" ht="13.5" thickBot="1" x14ac:dyDescent="0.25">
      <c r="A37" s="1426" t="s">
        <v>648</v>
      </c>
      <c r="B37" s="1429"/>
      <c r="C37" s="1582"/>
      <c r="D37" s="1582"/>
      <c r="E37" s="1582"/>
      <c r="F37" s="1582"/>
      <c r="G37" s="1582"/>
      <c r="H37" s="1582"/>
      <c r="I37" s="1582"/>
      <c r="J37" s="1582"/>
      <c r="K37" s="1582"/>
      <c r="L37" s="1585"/>
      <c r="M37" s="1575"/>
      <c r="N37" s="1594">
        <f>SUM(N36:N36)</f>
        <v>5293270</v>
      </c>
    </row>
    <row r="38" spans="1:14" s="307" customFormat="1" ht="13.5" customHeight="1" thickTop="1" x14ac:dyDescent="0.2">
      <c r="A38" s="438" t="s">
        <v>417</v>
      </c>
      <c r="B38" s="432">
        <v>714</v>
      </c>
      <c r="C38" s="1573"/>
      <c r="D38" s="1573"/>
      <c r="E38" s="1573"/>
      <c r="F38" s="1573"/>
      <c r="G38" s="1573">
        <v>19174</v>
      </c>
      <c r="H38" s="1573"/>
      <c r="I38" s="1573"/>
      <c r="J38" s="1574"/>
      <c r="K38" s="1573"/>
      <c r="L38" s="1586"/>
      <c r="M38" s="1604"/>
      <c r="N38" s="1604"/>
    </row>
    <row r="39" spans="1:14" s="307" customFormat="1" ht="13.5" customHeight="1" x14ac:dyDescent="0.2">
      <c r="A39" s="438" t="s">
        <v>339</v>
      </c>
      <c r="B39" s="432">
        <v>730</v>
      </c>
      <c r="C39" s="1573">
        <v>1531931</v>
      </c>
      <c r="D39" s="1573">
        <v>374171</v>
      </c>
      <c r="E39" s="1573">
        <v>238175</v>
      </c>
      <c r="F39" s="1573">
        <v>462586</v>
      </c>
      <c r="G39" s="1573">
        <v>-13290</v>
      </c>
      <c r="H39" s="1573">
        <v>1850781</v>
      </c>
      <c r="I39" s="1573">
        <v>703538</v>
      </c>
      <c r="J39" s="1574">
        <v>189140</v>
      </c>
      <c r="K39" s="1573">
        <v>198759</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13851906</v>
      </c>
      <c r="N40" s="1604"/>
    </row>
    <row r="41" spans="1:14" ht="13.5" customHeight="1" thickBot="1" x14ac:dyDescent="0.25">
      <c r="A41" s="1426" t="s">
        <v>650</v>
      </c>
      <c r="B41" s="1405"/>
      <c r="C41" s="1594">
        <f>(SUM(C34,C37,C38,C39))</f>
        <v>1531931</v>
      </c>
      <c r="D41" s="1594">
        <f t="shared" ref="D41:L41" si="2">SUM(D34,D37,D38:D39)</f>
        <v>374171</v>
      </c>
      <c r="E41" s="1594">
        <f t="shared" si="2"/>
        <v>238175</v>
      </c>
      <c r="F41" s="1594">
        <f t="shared" si="2"/>
        <v>462586</v>
      </c>
      <c r="G41" s="1594">
        <f t="shared" si="2"/>
        <v>5884</v>
      </c>
      <c r="H41" s="1594">
        <f t="shared" si="2"/>
        <v>1850781</v>
      </c>
      <c r="I41" s="1594">
        <f t="shared" si="2"/>
        <v>703538</v>
      </c>
      <c r="J41" s="1594">
        <f t="shared" si="2"/>
        <v>189140</v>
      </c>
      <c r="K41" s="1594">
        <f t="shared" si="2"/>
        <v>198759</v>
      </c>
      <c r="L41" s="1594">
        <f t="shared" si="2"/>
        <v>126243</v>
      </c>
      <c r="M41" s="1594">
        <f>SUM(M40)</f>
        <v>13851906</v>
      </c>
      <c r="N41" s="1594">
        <f>SUM(N37)</f>
        <v>5293270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1880872</v>
      </c>
      <c r="D4" s="1606">
        <f>'Revenues 9-14'!D109</f>
        <v>392051</v>
      </c>
      <c r="E4" s="1606">
        <f>'Revenues 9-14'!E109</f>
        <v>583065</v>
      </c>
      <c r="F4" s="1606">
        <f>'Revenues 9-14'!F109</f>
        <v>165886</v>
      </c>
      <c r="G4" s="1606">
        <f>'Revenues 9-14'!G109</f>
        <v>223512</v>
      </c>
      <c r="H4" s="1606">
        <f>'Revenues 9-14'!H109</f>
        <v>150781</v>
      </c>
      <c r="I4" s="1606">
        <f>'Revenues 9-14'!I109</f>
        <v>67837</v>
      </c>
      <c r="J4" s="1606">
        <f>'Revenues 9-14'!J109</f>
        <v>498506</v>
      </c>
      <c r="K4" s="1606">
        <f>'Revenues 9-14'!K109</f>
        <v>46873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2668818</v>
      </c>
      <c r="D6" s="1607">
        <f>'Revenues 9-14'!D170</f>
        <v>49940</v>
      </c>
      <c r="E6" s="1607">
        <f>'Revenues 9-14'!E170</f>
        <v>0</v>
      </c>
      <c r="F6" s="1607">
        <f>'Revenues 9-14'!F170</f>
        <v>190245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345615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4895305</v>
      </c>
      <c r="D8" s="1594">
        <f t="shared" ref="D8:K8" si="0">SUM(D4:D7)</f>
        <v>441991</v>
      </c>
      <c r="E8" s="1594">
        <f t="shared" si="0"/>
        <v>583065</v>
      </c>
      <c r="F8" s="1594">
        <f t="shared" si="0"/>
        <v>356131</v>
      </c>
      <c r="G8" s="1594">
        <f t="shared" si="0"/>
        <v>223512</v>
      </c>
      <c r="H8" s="1594">
        <f t="shared" si="0"/>
        <v>150781</v>
      </c>
      <c r="I8" s="1594">
        <f t="shared" si="0"/>
        <v>67837</v>
      </c>
      <c r="J8" s="1594">
        <f t="shared" si="0"/>
        <v>498506</v>
      </c>
      <c r="K8" s="1594">
        <f t="shared" si="0"/>
        <v>46873</v>
      </c>
      <c r="L8" s="325"/>
    </row>
    <row r="9" spans="1:13" ht="15.75" thickTop="1" x14ac:dyDescent="0.2">
      <c r="A9" s="449" t="s">
        <v>1634</v>
      </c>
      <c r="B9" s="450">
        <v>3998</v>
      </c>
      <c r="C9" s="1586">
        <v>2422410</v>
      </c>
      <c r="D9" s="1613"/>
      <c r="E9" s="1586"/>
      <c r="F9" s="1586"/>
      <c r="G9" s="1614"/>
      <c r="H9" s="1586"/>
      <c r="I9" s="1609" t="s">
        <v>1159</v>
      </c>
      <c r="J9" s="1583"/>
      <c r="K9" s="1586"/>
      <c r="L9" s="325"/>
    </row>
    <row r="10" spans="1:13" s="452" customFormat="1" ht="13.5" thickBot="1" x14ac:dyDescent="0.25">
      <c r="A10" s="1426" t="s">
        <v>1163</v>
      </c>
      <c r="B10" s="1407"/>
      <c r="C10" s="1594">
        <f>SUM(C8:C9)</f>
        <v>7317715</v>
      </c>
      <c r="D10" s="1594">
        <f t="shared" ref="D10:K10" si="1">SUM(D8:D9)</f>
        <v>441991</v>
      </c>
      <c r="E10" s="1594">
        <f t="shared" si="1"/>
        <v>583065</v>
      </c>
      <c r="F10" s="1594">
        <f t="shared" si="1"/>
        <v>356131</v>
      </c>
      <c r="G10" s="1594">
        <f t="shared" si="1"/>
        <v>223512</v>
      </c>
      <c r="H10" s="1594">
        <f t="shared" si="1"/>
        <v>150781</v>
      </c>
      <c r="I10" s="1594">
        <f t="shared" si="1"/>
        <v>67837</v>
      </c>
      <c r="J10" s="1594">
        <f t="shared" si="1"/>
        <v>498506</v>
      </c>
      <c r="K10" s="1594">
        <f t="shared" si="1"/>
        <v>46873</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3466647</v>
      </c>
      <c r="D12" s="1616" t="s">
        <v>1159</v>
      </c>
      <c r="E12" s="1575" t="s">
        <v>1159</v>
      </c>
      <c r="F12" s="1575" t="s">
        <v>1159</v>
      </c>
      <c r="G12" s="1606">
        <f>'Expenditures 15-22'!K229</f>
        <v>87652</v>
      </c>
      <c r="H12" s="1617"/>
      <c r="I12" s="1575" t="s">
        <v>1159</v>
      </c>
      <c r="J12" s="1575" t="s">
        <v>1159</v>
      </c>
      <c r="K12" s="1617" t="s">
        <v>1159</v>
      </c>
      <c r="L12" s="325"/>
    </row>
    <row r="13" spans="1:13" ht="15.75" customHeight="1" x14ac:dyDescent="0.2">
      <c r="A13" s="1314" t="s">
        <v>454</v>
      </c>
      <c r="B13" s="1316">
        <v>2000</v>
      </c>
      <c r="C13" s="1607">
        <f>'Expenditures 15-22'!K74</f>
        <v>1125768</v>
      </c>
      <c r="D13" s="1607">
        <f>'Expenditures 15-22'!K129</f>
        <v>385735</v>
      </c>
      <c r="E13" s="1576" t="s">
        <v>1159</v>
      </c>
      <c r="F13" s="1607">
        <f>'Expenditures 15-22'!K184</f>
        <v>306512</v>
      </c>
      <c r="G13" s="1607">
        <f>'Expenditures 15-22'!K279</f>
        <v>112561</v>
      </c>
      <c r="H13" s="1607">
        <f>'Expenditures 15-22'!K303</f>
        <v>4435690</v>
      </c>
      <c r="I13" s="1575" t="s">
        <v>1159</v>
      </c>
      <c r="J13" s="1607">
        <f>'Expenditures 15-22'!K330</f>
        <v>472063</v>
      </c>
      <c r="K13" s="1618">
        <f>'Expenditures 15-22'!K352</f>
        <v>1151628</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209322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394781</v>
      </c>
      <c r="F16" s="1607">
        <f>'Expenditures 15-22'!K208</f>
        <v>101364</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4801737</v>
      </c>
      <c r="D17" s="1594">
        <f t="shared" si="2"/>
        <v>385735</v>
      </c>
      <c r="E17" s="1594">
        <f t="shared" si="2"/>
        <v>394781</v>
      </c>
      <c r="F17" s="1594">
        <f t="shared" si="2"/>
        <v>407876</v>
      </c>
      <c r="G17" s="1594">
        <f t="shared" si="2"/>
        <v>200213</v>
      </c>
      <c r="H17" s="1594">
        <f t="shared" si="2"/>
        <v>4435690</v>
      </c>
      <c r="I17" s="1575"/>
      <c r="J17" s="1594">
        <f>SUM(J12:J16)</f>
        <v>472063</v>
      </c>
      <c r="K17" s="1594">
        <f>SUM(K12:K16)</f>
        <v>1151628</v>
      </c>
      <c r="L17" s="325"/>
    </row>
    <row r="18" spans="1:12" ht="15" customHeight="1" thickTop="1" x14ac:dyDescent="0.2">
      <c r="A18" s="1430" t="s">
        <v>1635</v>
      </c>
      <c r="B18" s="1431">
        <v>4180</v>
      </c>
      <c r="C18" s="1606">
        <f t="shared" ref="C18:H18" si="3">C9</f>
        <v>2422410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7224147</v>
      </c>
      <c r="D19" s="1594">
        <f t="shared" si="4"/>
        <v>385735</v>
      </c>
      <c r="E19" s="1594">
        <f t="shared" si="4"/>
        <v>394781</v>
      </c>
      <c r="F19" s="1594">
        <f t="shared" si="4"/>
        <v>407876</v>
      </c>
      <c r="G19" s="1594">
        <f t="shared" si="4"/>
        <v>200213</v>
      </c>
      <c r="H19" s="1594">
        <f t="shared" si="4"/>
        <v>4435690</v>
      </c>
      <c r="I19" s="1575"/>
      <c r="J19" s="1594">
        <f>SUM(J17:J18)</f>
        <v>472063</v>
      </c>
      <c r="K19" s="1594">
        <f>SUM(K17:K18)</f>
        <v>1151628</v>
      </c>
      <c r="L19" s="325"/>
    </row>
    <row r="20" spans="1:12" ht="16.5" thickTop="1" thickBot="1" x14ac:dyDescent="0.25">
      <c r="A20" s="2233" t="s">
        <v>1636</v>
      </c>
      <c r="B20" s="2234"/>
      <c r="C20" s="1622">
        <f>C8-C17</f>
        <v>93568</v>
      </c>
      <c r="D20" s="1622">
        <f t="shared" ref="D20:K20" si="5">D8-D17</f>
        <v>56256</v>
      </c>
      <c r="E20" s="1622">
        <f t="shared" si="5"/>
        <v>188284</v>
      </c>
      <c r="F20" s="1622">
        <f t="shared" si="5"/>
        <v>-51745</v>
      </c>
      <c r="G20" s="1622">
        <f t="shared" si="5"/>
        <v>23299</v>
      </c>
      <c r="H20" s="1622">
        <f t="shared" si="5"/>
        <v>-4284909</v>
      </c>
      <c r="I20" s="1622">
        <f t="shared" si="5"/>
        <v>67837</v>
      </c>
      <c r="J20" s="1622">
        <f t="shared" si="5"/>
        <v>26443</v>
      </c>
      <c r="K20" s="1622">
        <f t="shared" si="5"/>
        <v>-1104755</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v>2000173</v>
      </c>
      <c r="I25" s="1582"/>
      <c r="J25" s="1574"/>
      <c r="K25" s="1574"/>
      <c r="L25" s="453"/>
    </row>
    <row r="26" spans="1:12" s="433" customFormat="1" ht="13.5" customHeight="1" x14ac:dyDescent="0.2">
      <c r="A26" s="1260" t="s">
        <v>183</v>
      </c>
      <c r="B26" s="432">
        <v>7120</v>
      </c>
      <c r="C26" s="1574"/>
      <c r="D26" s="1574">
        <v>25000</v>
      </c>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1320000</v>
      </c>
      <c r="J33" s="1574"/>
      <c r="K33" s="1574">
        <v>1120000</v>
      </c>
      <c r="L33" s="453"/>
    </row>
    <row r="34" spans="1:12" s="433" customFormat="1" x14ac:dyDescent="0.2">
      <c r="A34" s="1260" t="s">
        <v>994</v>
      </c>
      <c r="B34" s="454">
        <v>7220</v>
      </c>
      <c r="C34" s="1574"/>
      <c r="D34" s="1574"/>
      <c r="E34" s="1574"/>
      <c r="F34" s="1574"/>
      <c r="G34" s="1582"/>
      <c r="H34" s="1583"/>
      <c r="I34" s="1583">
        <v>117768</v>
      </c>
      <c r="J34" s="1583"/>
      <c r="K34" s="1583">
        <v>116775</v>
      </c>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25000</v>
      </c>
      <c r="E44" s="1624">
        <f t="shared" si="6"/>
        <v>0</v>
      </c>
      <c r="F44" s="1624">
        <f t="shared" si="6"/>
        <v>0</v>
      </c>
      <c r="G44" s="1624">
        <f t="shared" si="6"/>
        <v>0</v>
      </c>
      <c r="H44" s="1624">
        <f t="shared" si="6"/>
        <v>2000173</v>
      </c>
      <c r="I44" s="1624">
        <f t="shared" si="6"/>
        <v>1437768</v>
      </c>
      <c r="J44" s="1624">
        <f t="shared" si="6"/>
        <v>0</v>
      </c>
      <c r="K44" s="1624">
        <f t="shared" si="6"/>
        <v>1236775</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2000173</v>
      </c>
      <c r="J47" s="1582"/>
      <c r="K47" s="1582"/>
      <c r="L47" s="456"/>
    </row>
    <row r="48" spans="1:12" s="433" customFormat="1" ht="15" x14ac:dyDescent="0.2">
      <c r="A48" s="1261" t="s">
        <v>1641</v>
      </c>
      <c r="B48" s="432">
        <v>8120</v>
      </c>
      <c r="C48" s="1585"/>
      <c r="D48" s="1585"/>
      <c r="E48" s="1582"/>
      <c r="F48" s="1585"/>
      <c r="G48" s="1582"/>
      <c r="H48" s="1582"/>
      <c r="I48" s="1607">
        <f>SUM(C26:H26,J26,K26)</f>
        <v>25000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37595</v>
      </c>
      <c r="J75" s="1626"/>
      <c r="K75" s="1628">
        <v>32656</v>
      </c>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2062768</v>
      </c>
      <c r="J76" s="1624">
        <f t="shared" si="7"/>
        <v>0</v>
      </c>
      <c r="K76" s="1624">
        <f t="shared" si="7"/>
        <v>32656</v>
      </c>
      <c r="L76" s="453"/>
    </row>
    <row r="77" spans="1:12" ht="14.25" thickTop="1" thickBot="1" x14ac:dyDescent="0.25">
      <c r="A77" s="2225" t="s">
        <v>1167</v>
      </c>
      <c r="B77" s="2226"/>
      <c r="C77" s="1624">
        <f t="shared" ref="C77:K77" si="8">C44-C76</f>
        <v>0</v>
      </c>
      <c r="D77" s="1624">
        <f t="shared" si="8"/>
        <v>25000</v>
      </c>
      <c r="E77" s="1624">
        <f t="shared" si="8"/>
        <v>0</v>
      </c>
      <c r="F77" s="1624">
        <f t="shared" si="8"/>
        <v>0</v>
      </c>
      <c r="G77" s="1624">
        <f t="shared" si="8"/>
        <v>0</v>
      </c>
      <c r="H77" s="1624">
        <f t="shared" si="8"/>
        <v>2000173</v>
      </c>
      <c r="I77" s="1624">
        <f t="shared" si="8"/>
        <v>-625000</v>
      </c>
      <c r="J77" s="1624">
        <f t="shared" si="8"/>
        <v>0</v>
      </c>
      <c r="K77" s="1624">
        <f t="shared" si="8"/>
        <v>1204119</v>
      </c>
      <c r="L77" s="325"/>
    </row>
    <row r="78" spans="1:12" ht="21.75" customHeight="1" thickTop="1" thickBot="1" x14ac:dyDescent="0.25">
      <c r="A78" s="2229" t="s">
        <v>593</v>
      </c>
      <c r="B78" s="2230"/>
      <c r="C78" s="1629">
        <f t="shared" ref="C78:K78" si="9">C20+C77</f>
        <v>93568</v>
      </c>
      <c r="D78" s="1629">
        <f t="shared" si="9"/>
        <v>81256</v>
      </c>
      <c r="E78" s="1629">
        <f t="shared" si="9"/>
        <v>188284</v>
      </c>
      <c r="F78" s="1629">
        <f t="shared" si="9"/>
        <v>-51745</v>
      </c>
      <c r="G78" s="1629">
        <f t="shared" si="9"/>
        <v>23299</v>
      </c>
      <c r="H78" s="1629">
        <f t="shared" si="9"/>
        <v>-2284736</v>
      </c>
      <c r="I78" s="1629">
        <f t="shared" si="9"/>
        <v>-557163</v>
      </c>
      <c r="J78" s="1629">
        <f t="shared" si="9"/>
        <v>26443</v>
      </c>
      <c r="K78" s="1629">
        <f t="shared" si="9"/>
        <v>99364</v>
      </c>
      <c r="L78" s="457"/>
    </row>
    <row r="79" spans="1:12" ht="13.5" thickTop="1" x14ac:dyDescent="0.2">
      <c r="A79" s="1844" t="str">
        <f>"Fund Balances - July 1, "&amp;'AFR20'!E2-1</f>
        <v>Fund Balances - July 1, 2019</v>
      </c>
      <c r="B79" s="458"/>
      <c r="C79" s="1583">
        <v>1438363</v>
      </c>
      <c r="D79" s="1630">
        <v>292915</v>
      </c>
      <c r="E79" s="1630">
        <v>49891</v>
      </c>
      <c r="F79" s="1630">
        <v>514331</v>
      </c>
      <c r="G79" s="1630">
        <v>-17415</v>
      </c>
      <c r="H79" s="1630">
        <v>4135517</v>
      </c>
      <c r="I79" s="1630">
        <v>1260701</v>
      </c>
      <c r="J79" s="1630">
        <v>162697</v>
      </c>
      <c r="K79" s="1630">
        <v>99395</v>
      </c>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1531931</v>
      </c>
      <c r="D81" s="1594">
        <f>SUM(D78:D80)</f>
        <v>374171</v>
      </c>
      <c r="E81" s="1594">
        <f t="shared" ref="E81:K81" si="10">SUM(E78:E80)</f>
        <v>238175</v>
      </c>
      <c r="F81" s="1594">
        <f t="shared" si="10"/>
        <v>462586</v>
      </c>
      <c r="G81" s="1594">
        <f t="shared" si="10"/>
        <v>5884</v>
      </c>
      <c r="H81" s="1594">
        <f t="shared" si="10"/>
        <v>1850781</v>
      </c>
      <c r="I81" s="1594">
        <f t="shared" si="10"/>
        <v>703538</v>
      </c>
      <c r="J81" s="1594">
        <f t="shared" si="10"/>
        <v>189140</v>
      </c>
      <c r="K81" s="1594">
        <f t="shared" si="10"/>
        <v>198759</v>
      </c>
      <c r="L81" s="325"/>
    </row>
    <row r="82" spans="1:12" ht="0.75" customHeight="1" thickTop="1" thickBot="1" x14ac:dyDescent="0.25">
      <c r="A82" s="459" t="s">
        <v>340</v>
      </c>
      <c r="B82" s="460"/>
      <c r="C82" s="461">
        <f>(C81-C79)</f>
        <v>93568</v>
      </c>
      <c r="D82" s="461">
        <f t="shared" ref="D82:K82" si="11">(D81-D79)</f>
        <v>81256</v>
      </c>
      <c r="E82" s="461">
        <f t="shared" si="11"/>
        <v>188284</v>
      </c>
      <c r="F82" s="461">
        <f t="shared" si="11"/>
        <v>-51745</v>
      </c>
      <c r="G82" s="461">
        <f t="shared" si="11"/>
        <v>23299</v>
      </c>
      <c r="H82" s="461">
        <f t="shared" si="11"/>
        <v>-2284736</v>
      </c>
      <c r="I82" s="461">
        <f t="shared" si="11"/>
        <v>-557163</v>
      </c>
      <c r="J82" s="461">
        <f t="shared" si="11"/>
        <v>26443</v>
      </c>
      <c r="K82" s="461">
        <f t="shared" si="11"/>
        <v>99364</v>
      </c>
    </row>
    <row r="83" spans="1:12" ht="14.25" hidden="1" thickTop="1" thickBot="1" x14ac:dyDescent="0.25">
      <c r="A83" s="462" t="s">
        <v>341</v>
      </c>
      <c r="B83" s="428"/>
      <c r="C83" s="463">
        <f>C82/C81</f>
        <v>6.1078468938875183E-2</v>
      </c>
      <c r="D83" s="463">
        <f t="shared" ref="D83:K83" si="12">D82/D81</f>
        <v>0.21716274109965764</v>
      </c>
      <c r="E83" s="463">
        <f t="shared" si="12"/>
        <v>0.7905279731290018</v>
      </c>
      <c r="F83" s="463">
        <f t="shared" si="12"/>
        <v>-0.11186028111529532</v>
      </c>
      <c r="G83" s="463">
        <f t="shared" si="12"/>
        <v>3.959721278042148</v>
      </c>
      <c r="H83" s="463">
        <f t="shared" si="12"/>
        <v>-1.2344712853654753</v>
      </c>
      <c r="I83" s="463">
        <f t="shared" si="12"/>
        <v>-0.79194442944091148</v>
      </c>
      <c r="J83" s="463">
        <f t="shared" si="12"/>
        <v>0.13980649254520461</v>
      </c>
      <c r="K83" s="463">
        <f t="shared" si="12"/>
        <v>0.49992201610996234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1418368</v>
      </c>
      <c r="D5" s="1586">
        <v>344372</v>
      </c>
      <c r="E5" s="1573">
        <v>278855</v>
      </c>
      <c r="F5" s="1631">
        <v>137750</v>
      </c>
      <c r="G5" s="1573">
        <v>85166</v>
      </c>
      <c r="H5" s="1573"/>
      <c r="I5" s="1573">
        <v>34436</v>
      </c>
      <c r="J5" s="1574">
        <v>492515</v>
      </c>
      <c r="K5" s="1573">
        <v>34436</v>
      </c>
    </row>
    <row r="6" spans="1:12" ht="15" x14ac:dyDescent="0.2">
      <c r="A6" s="427" t="s">
        <v>1643</v>
      </c>
      <c r="B6" s="429">
        <v>1130</v>
      </c>
      <c r="C6" s="1573">
        <v>34436</v>
      </c>
      <c r="D6" s="1573"/>
      <c r="E6" s="1580"/>
      <c r="F6" s="1580"/>
      <c r="G6" s="1575"/>
      <c r="H6" s="1575"/>
      <c r="I6" s="1575"/>
      <c r="J6" s="1575"/>
      <c r="K6" s="1575"/>
    </row>
    <row r="7" spans="1:12" x14ac:dyDescent="0.2">
      <c r="A7" s="427" t="s">
        <v>110</v>
      </c>
      <c r="B7" s="471">
        <v>1140</v>
      </c>
      <c r="C7" s="1573">
        <v>27550</v>
      </c>
      <c r="D7" s="1573"/>
      <c r="E7" s="1575"/>
      <c r="F7" s="1574"/>
      <c r="G7" s="1574"/>
      <c r="H7" s="1574"/>
      <c r="I7" s="1575"/>
      <c r="J7" s="1575"/>
      <c r="K7" s="1575"/>
    </row>
    <row r="8" spans="1:12" x14ac:dyDescent="0.2">
      <c r="A8" s="427" t="s">
        <v>410</v>
      </c>
      <c r="B8" s="429">
        <v>1150</v>
      </c>
      <c r="C8" s="1580"/>
      <c r="D8" s="1580"/>
      <c r="E8" s="1582"/>
      <c r="F8" s="1582"/>
      <c r="G8" s="1586">
        <v>85166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1480354</v>
      </c>
      <c r="D12" s="1633">
        <f t="shared" si="0"/>
        <v>344372</v>
      </c>
      <c r="E12" s="1633">
        <f t="shared" si="0"/>
        <v>278855</v>
      </c>
      <c r="F12" s="1633">
        <f t="shared" si="0"/>
        <v>137750</v>
      </c>
      <c r="G12" s="1633">
        <f t="shared" si="0"/>
        <v>170332</v>
      </c>
      <c r="H12" s="1633">
        <f t="shared" si="0"/>
        <v>0</v>
      </c>
      <c r="I12" s="1633">
        <f t="shared" si="0"/>
        <v>34436</v>
      </c>
      <c r="J12" s="1633">
        <f t="shared" si="0"/>
        <v>492515</v>
      </c>
      <c r="K12" s="1594">
        <f t="shared" si="0"/>
        <v>34436</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4621</v>
      </c>
      <c r="D16" s="1573">
        <v>38501</v>
      </c>
      <c r="E16" s="1573"/>
      <c r="F16" s="1573"/>
      <c r="G16" s="1573">
        <v>52000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4621</v>
      </c>
      <c r="D18" s="1635">
        <f t="shared" ref="D18:K18" si="1">SUM(D14:D17)</f>
        <v>38501</v>
      </c>
      <c r="E18" s="1635">
        <f t="shared" si="1"/>
        <v>0</v>
      </c>
      <c r="F18" s="1635">
        <f t="shared" si="1"/>
        <v>0</v>
      </c>
      <c r="G18" s="1635">
        <f t="shared" si="1"/>
        <v>52000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v>7448</v>
      </c>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v>14000</v>
      </c>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21448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556</v>
      </c>
      <c r="G42" s="1575"/>
      <c r="H42" s="1575"/>
      <c r="I42" s="1575"/>
      <c r="J42" s="1575"/>
      <c r="K42" s="1575"/>
    </row>
    <row r="43" spans="1:11" ht="12.75" customHeight="1" x14ac:dyDescent="0.2">
      <c r="A43" s="427" t="s">
        <v>832</v>
      </c>
      <c r="B43" s="429">
        <v>1412</v>
      </c>
      <c r="C43" s="1575"/>
      <c r="D43" s="1575"/>
      <c r="E43" s="1575"/>
      <c r="F43" s="1573">
        <v>2720</v>
      </c>
      <c r="G43" s="1575"/>
      <c r="H43" s="1575"/>
      <c r="I43" s="1575"/>
      <c r="J43" s="1575"/>
      <c r="K43" s="1575"/>
    </row>
    <row r="44" spans="1:11" ht="12.75" customHeight="1" x14ac:dyDescent="0.2">
      <c r="A44" s="427" t="s">
        <v>381</v>
      </c>
      <c r="B44" s="429">
        <v>1413</v>
      </c>
      <c r="C44" s="1575"/>
      <c r="D44" s="1575"/>
      <c r="E44" s="1575"/>
      <c r="F44" s="1573">
        <v>7873</v>
      </c>
      <c r="G44" s="1575"/>
      <c r="H44" s="1575"/>
      <c r="I44" s="1575"/>
      <c r="J44" s="1575"/>
      <c r="K44" s="1575"/>
    </row>
    <row r="45" spans="1:11" ht="12.75" customHeight="1" x14ac:dyDescent="0.2">
      <c r="A45" s="427" t="s">
        <v>238</v>
      </c>
      <c r="B45" s="429">
        <v>1415</v>
      </c>
      <c r="C45" s="1575"/>
      <c r="D45" s="1575"/>
      <c r="E45" s="1575"/>
      <c r="F45" s="1573">
        <v>1560</v>
      </c>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12709</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38041</v>
      </c>
      <c r="D65" s="1573">
        <v>9178</v>
      </c>
      <c r="E65" s="1573">
        <v>4785</v>
      </c>
      <c r="F65" s="1574">
        <v>8927</v>
      </c>
      <c r="G65" s="1573"/>
      <c r="H65" s="1573">
        <v>52775</v>
      </c>
      <c r="I65" s="1573">
        <v>33401</v>
      </c>
      <c r="J65" s="1574">
        <v>5991</v>
      </c>
      <c r="K65" s="1573">
        <v>12437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38041</v>
      </c>
      <c r="D67" s="1594">
        <f t="shared" ref="D67:K67" si="2">SUM(D65:D66)</f>
        <v>9178</v>
      </c>
      <c r="E67" s="1594">
        <f t="shared" si="2"/>
        <v>4785</v>
      </c>
      <c r="F67" s="1594">
        <f t="shared" si="2"/>
        <v>8927</v>
      </c>
      <c r="G67" s="1594">
        <f t="shared" si="2"/>
        <v>0</v>
      </c>
      <c r="H67" s="1594">
        <f t="shared" si="2"/>
        <v>52775</v>
      </c>
      <c r="I67" s="1594">
        <f t="shared" si="2"/>
        <v>33401</v>
      </c>
      <c r="J67" s="1594">
        <f t="shared" si="2"/>
        <v>5991</v>
      </c>
      <c r="K67" s="1594">
        <f t="shared" si="2"/>
        <v>12437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19232</v>
      </c>
      <c r="D69" s="1575"/>
      <c r="E69" s="1575"/>
      <c r="F69" s="1575"/>
      <c r="G69" s="1575"/>
      <c r="H69" s="1575"/>
      <c r="I69" s="1575"/>
      <c r="J69" s="1575"/>
      <c r="K69" s="1575"/>
    </row>
    <row r="70" spans="1:11" ht="12.75" customHeight="1" x14ac:dyDescent="0.2">
      <c r="A70" s="427" t="s">
        <v>990</v>
      </c>
      <c r="B70" s="429">
        <v>1612</v>
      </c>
      <c r="C70" s="1632">
        <v>2943</v>
      </c>
      <c r="D70" s="1575"/>
      <c r="E70" s="1575"/>
      <c r="F70" s="1575"/>
      <c r="G70" s="1575"/>
      <c r="H70" s="1575"/>
      <c r="I70" s="1575"/>
      <c r="J70" s="1575"/>
      <c r="K70" s="1575"/>
    </row>
    <row r="71" spans="1:11" ht="12.75" customHeight="1" x14ac:dyDescent="0.2">
      <c r="A71" s="427" t="s">
        <v>271</v>
      </c>
      <c r="B71" s="429">
        <v>1613</v>
      </c>
      <c r="C71" s="1632">
        <v>272</v>
      </c>
      <c r="D71" s="1575"/>
      <c r="E71" s="1575"/>
      <c r="F71" s="1575"/>
      <c r="G71" s="1575"/>
      <c r="H71" s="1575"/>
      <c r="I71" s="1575"/>
      <c r="J71" s="1575"/>
      <c r="K71" s="1575"/>
    </row>
    <row r="72" spans="1:11" ht="12.75" customHeight="1" x14ac:dyDescent="0.2">
      <c r="A72" s="427" t="s">
        <v>24</v>
      </c>
      <c r="B72" s="429">
        <v>1614</v>
      </c>
      <c r="C72" s="1632">
        <v>5715</v>
      </c>
      <c r="D72" s="1575"/>
      <c r="E72" s="1575"/>
      <c r="F72" s="1575"/>
      <c r="G72" s="1575"/>
      <c r="H72" s="1575"/>
      <c r="I72" s="1575"/>
      <c r="J72" s="1575"/>
      <c r="K72" s="1575"/>
    </row>
    <row r="73" spans="1:11" ht="12.75" customHeight="1" x14ac:dyDescent="0.2">
      <c r="A73" s="427" t="s">
        <v>991</v>
      </c>
      <c r="B73" s="429">
        <v>1620</v>
      </c>
      <c r="C73" s="1632">
        <v>2646</v>
      </c>
      <c r="D73" s="1575"/>
      <c r="E73" s="1575"/>
      <c r="F73" s="1575"/>
      <c r="G73" s="1575"/>
      <c r="H73" s="1575"/>
      <c r="I73" s="1575"/>
      <c r="J73" s="1575"/>
      <c r="K73" s="1575"/>
    </row>
    <row r="74" spans="1:11" ht="12.75" customHeight="1" x14ac:dyDescent="0.2">
      <c r="A74" s="427" t="s">
        <v>25</v>
      </c>
      <c r="B74" s="429">
        <v>1690</v>
      </c>
      <c r="C74" s="1632">
        <v>133</v>
      </c>
      <c r="D74" s="1575"/>
      <c r="E74" s="1575"/>
      <c r="F74" s="1575"/>
      <c r="G74" s="1575"/>
      <c r="H74" s="1575"/>
      <c r="I74" s="1575"/>
      <c r="J74" s="1575"/>
      <c r="K74" s="1575"/>
    </row>
    <row r="75" spans="1:11" ht="12.75" customHeight="1" thickBot="1" x14ac:dyDescent="0.25">
      <c r="A75" s="1406" t="s">
        <v>544</v>
      </c>
      <c r="B75" s="1407"/>
      <c r="C75" s="1594">
        <f>SUM(C69:C74)</f>
        <v>30941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18392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101508</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4325</v>
      </c>
      <c r="D81" s="1573"/>
      <c r="E81" s="1575"/>
      <c r="F81" s="1575"/>
      <c r="G81" s="1575"/>
      <c r="H81" s="1575"/>
      <c r="I81" s="1575"/>
      <c r="J81" s="1575"/>
      <c r="K81" s="1575"/>
    </row>
    <row r="82" spans="1:11" ht="12.75" customHeight="1" thickBot="1" x14ac:dyDescent="0.25">
      <c r="A82" s="1406" t="s">
        <v>239</v>
      </c>
      <c r="B82" s="1407"/>
      <c r="C82" s="1633">
        <f>SUM(C77:C81)</f>
        <v>124225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45916</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45916</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810</v>
      </c>
      <c r="D95" s="1632"/>
      <c r="E95" s="1617"/>
      <c r="F95" s="1617"/>
      <c r="G95" s="1617"/>
      <c r="H95" s="1617"/>
      <c r="I95" s="1617"/>
      <c r="J95" s="1617"/>
      <c r="K95" s="1617"/>
    </row>
    <row r="96" spans="1:11" ht="12.75" customHeight="1" x14ac:dyDescent="0.2">
      <c r="A96" s="427" t="s">
        <v>388</v>
      </c>
      <c r="B96" s="429">
        <v>1920</v>
      </c>
      <c r="C96" s="1632">
        <v>160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1080</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5934</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299425</v>
      </c>
      <c r="F103" s="1575"/>
      <c r="G103" s="1575"/>
      <c r="H103" s="1598">
        <v>98006</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127342</v>
      </c>
      <c r="D107" s="1573"/>
      <c r="E107" s="1573"/>
      <c r="F107" s="1573">
        <v>6500</v>
      </c>
      <c r="G107" s="1573">
        <v>1180</v>
      </c>
      <c r="H107" s="1573"/>
      <c r="I107" s="1573"/>
      <c r="J107" s="1574"/>
      <c r="K107" s="1573"/>
    </row>
    <row r="108" spans="1:12" ht="12.75" customHeight="1" thickBot="1" x14ac:dyDescent="0.25">
      <c r="A108" s="1406" t="s">
        <v>484</v>
      </c>
      <c r="B108" s="1408"/>
      <c r="C108" s="1633">
        <f>SUM(C95:C107)</f>
        <v>135326</v>
      </c>
      <c r="D108" s="1633">
        <f t="shared" ref="D108:K108" si="3">SUM(D95:D107)</f>
        <v>0</v>
      </c>
      <c r="E108" s="1633">
        <f t="shared" si="3"/>
        <v>299425</v>
      </c>
      <c r="F108" s="1633">
        <f t="shared" si="3"/>
        <v>6500</v>
      </c>
      <c r="G108" s="1633">
        <f t="shared" si="3"/>
        <v>1180</v>
      </c>
      <c r="H108" s="1633">
        <f t="shared" si="3"/>
        <v>98006</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1880872</v>
      </c>
      <c r="D109" s="1641">
        <f t="shared" si="4"/>
        <v>392051</v>
      </c>
      <c r="E109" s="1641">
        <f t="shared" si="4"/>
        <v>583065</v>
      </c>
      <c r="F109" s="1641">
        <f t="shared" si="4"/>
        <v>165886</v>
      </c>
      <c r="G109" s="1641">
        <f t="shared" si="4"/>
        <v>223512</v>
      </c>
      <c r="H109" s="1641">
        <f t="shared" si="4"/>
        <v>150781</v>
      </c>
      <c r="I109" s="1641">
        <f t="shared" si="4"/>
        <v>67837</v>
      </c>
      <c r="J109" s="1641">
        <f t="shared" si="4"/>
        <v>498506</v>
      </c>
      <c r="K109" s="1629">
        <f t="shared" si="4"/>
        <v>46873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2594609</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2594609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53279</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53279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10553</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3083</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13636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1461</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5083</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100798</v>
      </c>
      <c r="G152" s="1574"/>
      <c r="H152" s="1575"/>
      <c r="I152" s="1575"/>
      <c r="J152" s="1575"/>
      <c r="K152" s="1575"/>
    </row>
    <row r="153" spans="1:11" ht="12.75" customHeight="1" x14ac:dyDescent="0.2">
      <c r="A153" s="427" t="s">
        <v>1048</v>
      </c>
      <c r="B153" s="478">
        <v>3510</v>
      </c>
      <c r="C153" s="1632"/>
      <c r="D153" s="1573"/>
      <c r="E153" s="1640"/>
      <c r="F153" s="1573">
        <v>89447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190245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49940</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74209</v>
      </c>
      <c r="D169" s="1658">
        <f t="shared" si="6"/>
        <v>49940</v>
      </c>
      <c r="E169" s="1658">
        <f t="shared" si="6"/>
        <v>0</v>
      </c>
      <c r="F169" s="1658">
        <f t="shared" si="6"/>
        <v>190245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2668818</v>
      </c>
      <c r="D170" s="1641">
        <f t="shared" si="7"/>
        <v>49940</v>
      </c>
      <c r="E170" s="1641">
        <f t="shared" si="7"/>
        <v>0</v>
      </c>
      <c r="F170" s="1641">
        <f t="shared" si="7"/>
        <v>190245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65733</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22808</v>
      </c>
      <c r="D193" s="1575"/>
      <c r="E193" s="1640"/>
      <c r="F193" s="1575"/>
      <c r="G193" s="1664"/>
      <c r="H193" s="1575"/>
      <c r="I193" s="1575"/>
      <c r="J193" s="1575"/>
      <c r="K193" s="1575"/>
    </row>
    <row r="194" spans="1:11" ht="12.75" customHeight="1" x14ac:dyDescent="0.2">
      <c r="A194" s="427" t="s">
        <v>1434</v>
      </c>
      <c r="B194" s="429">
        <v>4225</v>
      </c>
      <c r="C194" s="1632">
        <v>37083</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125624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76504</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76504</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13996</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13996</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17279</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17279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15757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38203</v>
      </c>
      <c r="D263" s="1651"/>
      <c r="E263" s="1575"/>
      <c r="F263" s="1651"/>
      <c r="G263" s="1651"/>
      <c r="H263" s="1575"/>
      <c r="I263" s="1575"/>
      <c r="J263" s="1575"/>
      <c r="K263" s="1575"/>
    </row>
    <row r="264" spans="1:11" ht="12.75" customHeight="1" thickTop="1" thickBot="1" x14ac:dyDescent="0.25">
      <c r="A264" s="427" t="s">
        <v>374</v>
      </c>
      <c r="B264" s="429">
        <v>4992</v>
      </c>
      <c r="C264" s="1650">
        <v>58252</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345615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345615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4895305</v>
      </c>
      <c r="D268" s="1641">
        <f t="shared" si="12"/>
        <v>441991</v>
      </c>
      <c r="E268" s="1641">
        <f t="shared" si="12"/>
        <v>583065</v>
      </c>
      <c r="F268" s="1641">
        <f t="shared" si="12"/>
        <v>356131</v>
      </c>
      <c r="G268" s="1641">
        <f t="shared" si="12"/>
        <v>223512</v>
      </c>
      <c r="H268" s="1641">
        <f t="shared" si="12"/>
        <v>150781</v>
      </c>
      <c r="I268" s="1641">
        <f t="shared" si="12"/>
        <v>67837</v>
      </c>
      <c r="J268" s="1641">
        <f t="shared" si="12"/>
        <v>498506</v>
      </c>
      <c r="K268" s="1629">
        <f t="shared" si="12"/>
        <v>46873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1630902</v>
      </c>
      <c r="D5" s="1573">
        <v>516809</v>
      </c>
      <c r="E5" s="1573">
        <v>2786</v>
      </c>
      <c r="F5" s="1573">
        <v>60004</v>
      </c>
      <c r="G5" s="1573">
        <v>9603</v>
      </c>
      <c r="H5" s="1573">
        <v>12218</v>
      </c>
      <c r="I5" s="1574"/>
      <c r="J5" s="1574">
        <v>897</v>
      </c>
      <c r="K5" s="1672">
        <f>SUM(C5:J5)</f>
        <v>2233219</v>
      </c>
      <c r="L5" s="1573">
        <v>1475670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v>932700</v>
      </c>
    </row>
    <row r="8" spans="1:14" x14ac:dyDescent="0.2">
      <c r="A8" s="1274" t="s">
        <v>163</v>
      </c>
      <c r="B8" s="503">
        <v>1200</v>
      </c>
      <c r="C8" s="1573">
        <v>549938</v>
      </c>
      <c r="D8" s="1573">
        <v>134408</v>
      </c>
      <c r="E8" s="1573">
        <v>909</v>
      </c>
      <c r="F8" s="1573">
        <v>3392</v>
      </c>
      <c r="G8" s="1573"/>
      <c r="H8" s="1573">
        <v>25</v>
      </c>
      <c r="I8" s="1574"/>
      <c r="J8" s="1574"/>
      <c r="K8" s="1672">
        <f t="shared" si="0"/>
        <v>688672</v>
      </c>
      <c r="L8" s="1573">
        <v>730920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53537</v>
      </c>
      <c r="D10" s="1573">
        <v>19348</v>
      </c>
      <c r="E10" s="1573">
        <v>11434</v>
      </c>
      <c r="F10" s="1573">
        <v>7755</v>
      </c>
      <c r="G10" s="1573"/>
      <c r="H10" s="1573">
        <v>8050</v>
      </c>
      <c r="I10" s="1574"/>
      <c r="J10" s="1574"/>
      <c r="K10" s="1672">
        <f t="shared" si="0"/>
        <v>100124</v>
      </c>
      <c r="L10" s="1573">
        <v>108385</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122793</v>
      </c>
      <c r="D13" s="1573">
        <v>15652</v>
      </c>
      <c r="E13" s="1573">
        <v>235</v>
      </c>
      <c r="F13" s="1573">
        <v>6598</v>
      </c>
      <c r="G13" s="1573">
        <v>4894</v>
      </c>
      <c r="H13" s="1573"/>
      <c r="I13" s="1574"/>
      <c r="J13" s="1574"/>
      <c r="K13" s="1672">
        <f t="shared" si="0"/>
        <v>150172</v>
      </c>
      <c r="L13" s="1573">
        <v>159805</v>
      </c>
    </row>
    <row r="14" spans="1:14" x14ac:dyDescent="0.2">
      <c r="A14" s="1274" t="s">
        <v>957</v>
      </c>
      <c r="B14" s="503">
        <v>1500</v>
      </c>
      <c r="C14" s="1573">
        <v>189019</v>
      </c>
      <c r="D14" s="1573">
        <v>27591</v>
      </c>
      <c r="E14" s="1573">
        <v>55851</v>
      </c>
      <c r="F14" s="1573">
        <v>14543</v>
      </c>
      <c r="G14" s="1573"/>
      <c r="H14" s="1573">
        <v>7456</v>
      </c>
      <c r="I14" s="1574"/>
      <c r="J14" s="1574"/>
      <c r="K14" s="1672">
        <f t="shared" si="0"/>
        <v>294460</v>
      </c>
      <c r="L14" s="1573">
        <v>281696</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2546189</v>
      </c>
      <c r="D33" s="1674">
        <f t="shared" ref="D33:L33" si="1">SUM(D5:D32)</f>
        <v>713808</v>
      </c>
      <c r="E33" s="1674">
        <f t="shared" si="1"/>
        <v>71215</v>
      </c>
      <c r="F33" s="1674">
        <f t="shared" si="1"/>
        <v>92292</v>
      </c>
      <c r="G33" s="1674">
        <f t="shared" si="1"/>
        <v>14497</v>
      </c>
      <c r="H33" s="1674">
        <f t="shared" si="1"/>
        <v>27749</v>
      </c>
      <c r="I33" s="1674">
        <f t="shared" si="1"/>
        <v>0</v>
      </c>
      <c r="J33" s="1674">
        <f t="shared" si="1"/>
        <v>897</v>
      </c>
      <c r="K33" s="1674">
        <f t="shared" si="1"/>
        <v>3466647</v>
      </c>
      <c r="L33" s="1674">
        <f t="shared" si="1"/>
        <v>3689176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37988</v>
      </c>
      <c r="D36" s="1586">
        <v>5657</v>
      </c>
      <c r="E36" s="1586"/>
      <c r="F36" s="1586">
        <v>347</v>
      </c>
      <c r="G36" s="1586"/>
      <c r="H36" s="1586"/>
      <c r="I36" s="1574"/>
      <c r="J36" s="1574"/>
      <c r="K36" s="1672">
        <f t="shared" ref="K36:K41" si="2">SUM(C36:J36)</f>
        <v>43992</v>
      </c>
      <c r="L36" s="1573">
        <v>43690</v>
      </c>
    </row>
    <row r="37" spans="1:14" x14ac:dyDescent="0.2">
      <c r="A37" s="1274" t="s">
        <v>1081</v>
      </c>
      <c r="B37" s="503">
        <v>2120</v>
      </c>
      <c r="C37" s="1573">
        <v>32732</v>
      </c>
      <c r="D37" s="1573">
        <v>16606</v>
      </c>
      <c r="E37" s="1573"/>
      <c r="F37" s="1573">
        <v>114</v>
      </c>
      <c r="G37" s="1573"/>
      <c r="H37" s="1573"/>
      <c r="I37" s="1574"/>
      <c r="J37" s="1574"/>
      <c r="K37" s="1672">
        <f t="shared" si="2"/>
        <v>49452</v>
      </c>
      <c r="L37" s="1573">
        <v>54795</v>
      </c>
    </row>
    <row r="38" spans="1:14" x14ac:dyDescent="0.2">
      <c r="A38" s="1274" t="s">
        <v>196</v>
      </c>
      <c r="B38" s="503">
        <v>2130</v>
      </c>
      <c r="C38" s="1573">
        <v>23744</v>
      </c>
      <c r="D38" s="1573">
        <v>6260</v>
      </c>
      <c r="E38" s="1573">
        <v>330</v>
      </c>
      <c r="F38" s="1573">
        <v>1172</v>
      </c>
      <c r="G38" s="1573">
        <v>680</v>
      </c>
      <c r="H38" s="1573"/>
      <c r="I38" s="1574"/>
      <c r="J38" s="1574"/>
      <c r="K38" s="1672">
        <f t="shared" si="2"/>
        <v>32186</v>
      </c>
      <c r="L38" s="1573">
        <v>31885</v>
      </c>
    </row>
    <row r="39" spans="1:14" x14ac:dyDescent="0.2">
      <c r="A39" s="1274" t="s">
        <v>197</v>
      </c>
      <c r="B39" s="503">
        <v>2140</v>
      </c>
      <c r="C39" s="1573">
        <v>49375</v>
      </c>
      <c r="D39" s="1573">
        <v>424</v>
      </c>
      <c r="E39" s="1573"/>
      <c r="F39" s="1573">
        <v>928</v>
      </c>
      <c r="G39" s="1573"/>
      <c r="H39" s="1573"/>
      <c r="I39" s="1574"/>
      <c r="J39" s="1574"/>
      <c r="K39" s="1672">
        <f t="shared" si="2"/>
        <v>50727</v>
      </c>
      <c r="L39" s="1573">
        <v>49505</v>
      </c>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v>6804</v>
      </c>
      <c r="D41" s="1573">
        <v>238</v>
      </c>
      <c r="E41" s="1573"/>
      <c r="F41" s="1573">
        <v>2254</v>
      </c>
      <c r="G41" s="1573"/>
      <c r="H41" s="1573"/>
      <c r="I41" s="1574"/>
      <c r="J41" s="1574"/>
      <c r="K41" s="1672">
        <f t="shared" si="2"/>
        <v>9296</v>
      </c>
      <c r="L41" s="1573">
        <v>9345</v>
      </c>
    </row>
    <row r="42" spans="1:14" ht="12.75" customHeight="1" thickBot="1" x14ac:dyDescent="0.25">
      <c r="A42" s="1380" t="s">
        <v>556</v>
      </c>
      <c r="B42" s="1381" t="s">
        <v>711</v>
      </c>
      <c r="C42" s="1674">
        <f>SUM(C36:C41)</f>
        <v>150643</v>
      </c>
      <c r="D42" s="1674">
        <f t="shared" ref="D42:L42" si="3">SUM(D36:D41)</f>
        <v>29185</v>
      </c>
      <c r="E42" s="1674">
        <f t="shared" si="3"/>
        <v>330</v>
      </c>
      <c r="F42" s="1674">
        <f t="shared" si="3"/>
        <v>4815</v>
      </c>
      <c r="G42" s="1674">
        <f t="shared" si="3"/>
        <v>680</v>
      </c>
      <c r="H42" s="1674">
        <f t="shared" si="3"/>
        <v>0</v>
      </c>
      <c r="I42" s="1674">
        <f t="shared" si="3"/>
        <v>0</v>
      </c>
      <c r="J42" s="1674">
        <f t="shared" si="3"/>
        <v>0</v>
      </c>
      <c r="K42" s="1674">
        <f t="shared" si="3"/>
        <v>185653</v>
      </c>
      <c r="L42" s="1674">
        <f t="shared" si="3"/>
        <v>189220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1392</v>
      </c>
      <c r="E44" s="1586">
        <v>21005</v>
      </c>
      <c r="F44" s="1586">
        <v>11941</v>
      </c>
      <c r="G44" s="1586"/>
      <c r="H44" s="1586">
        <v>2798</v>
      </c>
      <c r="I44" s="1574"/>
      <c r="J44" s="1574"/>
      <c r="K44" s="1678">
        <f>SUM(C44:J44)</f>
        <v>37136</v>
      </c>
      <c r="L44" s="1586">
        <v>37190</v>
      </c>
    </row>
    <row r="45" spans="1:14" x14ac:dyDescent="0.2">
      <c r="A45" s="1274" t="s">
        <v>810</v>
      </c>
      <c r="B45" s="503">
        <v>2220</v>
      </c>
      <c r="C45" s="1573">
        <v>82160</v>
      </c>
      <c r="D45" s="1573">
        <v>19681</v>
      </c>
      <c r="E45" s="1573"/>
      <c r="F45" s="1573">
        <v>14092</v>
      </c>
      <c r="G45" s="1573">
        <v>21319</v>
      </c>
      <c r="H45" s="1573">
        <v>42728</v>
      </c>
      <c r="I45" s="1574"/>
      <c r="J45" s="1574"/>
      <c r="K45" s="1678">
        <f>SUM(C45:J45)</f>
        <v>179980</v>
      </c>
      <c r="L45" s="1573">
        <v>179195</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82160</v>
      </c>
      <c r="D47" s="1674">
        <f t="shared" ref="D47:K47" si="4">SUM(D44:D46)</f>
        <v>21073</v>
      </c>
      <c r="E47" s="1674">
        <f t="shared" si="4"/>
        <v>21005</v>
      </c>
      <c r="F47" s="1674">
        <f t="shared" si="4"/>
        <v>26033</v>
      </c>
      <c r="G47" s="1674">
        <f t="shared" si="4"/>
        <v>21319</v>
      </c>
      <c r="H47" s="1674">
        <f t="shared" si="4"/>
        <v>45526</v>
      </c>
      <c r="I47" s="1674">
        <f t="shared" si="4"/>
        <v>0</v>
      </c>
      <c r="J47" s="1674">
        <f t="shared" si="4"/>
        <v>0</v>
      </c>
      <c r="K47" s="1674">
        <f t="shared" si="4"/>
        <v>217116</v>
      </c>
      <c r="L47" s="1674">
        <f>SUM(L44:L46)</f>
        <v>216385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1388</v>
      </c>
      <c r="D49" s="1586">
        <v>1203</v>
      </c>
      <c r="E49" s="1586">
        <v>61028</v>
      </c>
      <c r="F49" s="1586">
        <v>2132</v>
      </c>
      <c r="G49" s="1586"/>
      <c r="H49" s="1586">
        <v>8398</v>
      </c>
      <c r="I49" s="1574"/>
      <c r="J49" s="1574"/>
      <c r="K49" s="1678">
        <f>SUM(C49:J49)</f>
        <v>74149</v>
      </c>
      <c r="L49" s="1586">
        <v>84143</v>
      </c>
    </row>
    <row r="50" spans="1:14" x14ac:dyDescent="0.2">
      <c r="A50" s="1274" t="s">
        <v>813</v>
      </c>
      <c r="B50" s="503">
        <v>2320</v>
      </c>
      <c r="C50" s="1573">
        <v>70013</v>
      </c>
      <c r="D50" s="1573">
        <v>652</v>
      </c>
      <c r="E50" s="1573">
        <v>136</v>
      </c>
      <c r="F50" s="1573">
        <v>149</v>
      </c>
      <c r="G50" s="1573">
        <v>1049</v>
      </c>
      <c r="H50" s="1573">
        <v>360</v>
      </c>
      <c r="I50" s="1574"/>
      <c r="J50" s="1574"/>
      <c r="K50" s="1678">
        <f>SUM(C50:J50)</f>
        <v>72359</v>
      </c>
      <c r="L50" s="1573">
        <v>70295</v>
      </c>
    </row>
    <row r="51" spans="1:14" x14ac:dyDescent="0.2">
      <c r="A51" s="1274" t="s">
        <v>42</v>
      </c>
      <c r="B51" s="503">
        <v>2330</v>
      </c>
      <c r="C51" s="1573"/>
      <c r="D51" s="1573"/>
      <c r="E51" s="1573"/>
      <c r="F51" s="1573">
        <v>9224</v>
      </c>
      <c r="G51" s="1573"/>
      <c r="H51" s="1573"/>
      <c r="I51" s="1574"/>
      <c r="J51" s="1574"/>
      <c r="K51" s="1678">
        <f>SUM(C51:J51)</f>
        <v>9224</v>
      </c>
      <c r="L51" s="1573">
        <v>9225</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71401</v>
      </c>
      <c r="D53" s="1674">
        <f t="shared" ref="D53:L53" si="5">SUM(D49:D52)</f>
        <v>1855</v>
      </c>
      <c r="E53" s="1674">
        <f t="shared" si="5"/>
        <v>61164</v>
      </c>
      <c r="F53" s="1674">
        <f t="shared" si="5"/>
        <v>11505</v>
      </c>
      <c r="G53" s="1674">
        <f t="shared" si="5"/>
        <v>1049</v>
      </c>
      <c r="H53" s="1674">
        <f t="shared" si="5"/>
        <v>8758</v>
      </c>
      <c r="I53" s="1674">
        <f t="shared" si="5"/>
        <v>0</v>
      </c>
      <c r="J53" s="1674">
        <f t="shared" si="5"/>
        <v>0</v>
      </c>
      <c r="K53" s="1674">
        <f t="shared" si="5"/>
        <v>155732</v>
      </c>
      <c r="L53" s="1674">
        <f t="shared" si="5"/>
        <v>163663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251889</v>
      </c>
      <c r="D55" s="1586">
        <v>39859</v>
      </c>
      <c r="E55" s="1586">
        <v>715</v>
      </c>
      <c r="F55" s="1586">
        <v>1755</v>
      </c>
      <c r="G55" s="1586">
        <v>6849</v>
      </c>
      <c r="H55" s="1586">
        <v>4102</v>
      </c>
      <c r="I55" s="1574"/>
      <c r="J55" s="1574"/>
      <c r="K55" s="1678">
        <f>SUM(C55:J55)</f>
        <v>305169</v>
      </c>
      <c r="L55" s="1586">
        <v>300045</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251889</v>
      </c>
      <c r="D57" s="1679">
        <f t="shared" ref="D57:K57" si="6">SUM(D55:D56)</f>
        <v>39859</v>
      </c>
      <c r="E57" s="1679">
        <f t="shared" si="6"/>
        <v>715</v>
      </c>
      <c r="F57" s="1679">
        <f t="shared" si="6"/>
        <v>1755</v>
      </c>
      <c r="G57" s="1679">
        <f t="shared" si="6"/>
        <v>6849</v>
      </c>
      <c r="H57" s="1679">
        <f t="shared" si="6"/>
        <v>4102</v>
      </c>
      <c r="I57" s="1679">
        <f t="shared" si="6"/>
        <v>0</v>
      </c>
      <c r="J57" s="1679">
        <f t="shared" si="6"/>
        <v>0</v>
      </c>
      <c r="K57" s="1679">
        <f t="shared" si="6"/>
        <v>305169</v>
      </c>
      <c r="L57" s="1674">
        <f>SUM(L55:L56)</f>
        <v>300045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81612</v>
      </c>
      <c r="D60" s="1573">
        <v>300</v>
      </c>
      <c r="E60" s="1573"/>
      <c r="F60" s="1573">
        <v>1589</v>
      </c>
      <c r="G60" s="1573">
        <v>761</v>
      </c>
      <c r="H60" s="1573">
        <v>4359</v>
      </c>
      <c r="I60" s="1574"/>
      <c r="J60" s="1574"/>
      <c r="K60" s="1678">
        <f t="shared" si="7"/>
        <v>88621</v>
      </c>
      <c r="L60" s="1573">
        <v>85905</v>
      </c>
      <c r="M60" s="501"/>
      <c r="N60" s="501"/>
    </row>
    <row r="61" spans="1:14" s="321" customFormat="1" x14ac:dyDescent="0.2">
      <c r="A61" s="1274" t="s">
        <v>195</v>
      </c>
      <c r="B61" s="503">
        <v>2540</v>
      </c>
      <c r="C61" s="1573"/>
      <c r="D61" s="1573"/>
      <c r="E61" s="1573">
        <v>2585</v>
      </c>
      <c r="F61" s="1573"/>
      <c r="G61" s="1573"/>
      <c r="H61" s="1573"/>
      <c r="I61" s="1574"/>
      <c r="J61" s="1574"/>
      <c r="K61" s="1678">
        <f t="shared" si="7"/>
        <v>2585</v>
      </c>
      <c r="L61" s="1573">
        <v>2600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69387</v>
      </c>
      <c r="D63" s="1573">
        <v>15960</v>
      </c>
      <c r="E63" s="1573">
        <v>5576</v>
      </c>
      <c r="F63" s="1573">
        <v>77153</v>
      </c>
      <c r="G63" s="1573">
        <v>2816</v>
      </c>
      <c r="H63" s="1573"/>
      <c r="I63" s="1574"/>
      <c r="J63" s="1574"/>
      <c r="K63" s="1678">
        <f t="shared" si="7"/>
        <v>170892</v>
      </c>
      <c r="L63" s="1573">
        <v>167500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150999</v>
      </c>
      <c r="D65" s="1674">
        <f t="shared" ref="D65:L65" si="8">SUM(D59:D64)</f>
        <v>16260</v>
      </c>
      <c r="E65" s="1674">
        <f t="shared" si="8"/>
        <v>8161</v>
      </c>
      <c r="F65" s="1674">
        <f t="shared" si="8"/>
        <v>78742</v>
      </c>
      <c r="G65" s="1674">
        <f t="shared" si="8"/>
        <v>3577</v>
      </c>
      <c r="H65" s="1674">
        <f t="shared" si="8"/>
        <v>4359</v>
      </c>
      <c r="I65" s="1674">
        <f t="shared" si="8"/>
        <v>0</v>
      </c>
      <c r="J65" s="1674">
        <f t="shared" si="8"/>
        <v>0</v>
      </c>
      <c r="K65" s="1674">
        <f t="shared" si="8"/>
        <v>262098</v>
      </c>
      <c r="L65" s="1674">
        <f t="shared" si="8"/>
        <v>256005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707092</v>
      </c>
      <c r="D74" s="1681">
        <f t="shared" ref="D74:K74" si="10">SUM(D42,D47,D53,D57,D65,D72,D73)</f>
        <v>108232</v>
      </c>
      <c r="E74" s="1681">
        <f t="shared" si="10"/>
        <v>91375</v>
      </c>
      <c r="F74" s="1681">
        <f t="shared" si="10"/>
        <v>122850</v>
      </c>
      <c r="G74" s="1681">
        <f t="shared" si="10"/>
        <v>33474</v>
      </c>
      <c r="H74" s="1681">
        <f t="shared" si="10"/>
        <v>62745</v>
      </c>
      <c r="I74" s="1681">
        <f t="shared" si="10"/>
        <v>0</v>
      </c>
      <c r="J74" s="1681">
        <f t="shared" si="10"/>
        <v>0</v>
      </c>
      <c r="K74" s="1681">
        <f t="shared" si="10"/>
        <v>1125768</v>
      </c>
      <c r="L74" s="1681">
        <f>SUM(L42,L47,L53,L57,L65,L72,L73)</f>
        <v>1125318</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189047</v>
      </c>
      <c r="F79" s="1673"/>
      <c r="G79" s="1673"/>
      <c r="H79" s="1573"/>
      <c r="I79" s="1582"/>
      <c r="J79" s="1582"/>
      <c r="K79" s="1672">
        <f t="shared" si="11"/>
        <v>189047</v>
      </c>
      <c r="L79" s="1573">
        <v>180700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189047</v>
      </c>
      <c r="F84" s="1673"/>
      <c r="G84" s="1673"/>
      <c r="H84" s="1674">
        <f>SUM(H78:H83)</f>
        <v>0</v>
      </c>
      <c r="I84" s="1582"/>
      <c r="J84" s="1582"/>
      <c r="K84" s="1674">
        <f>SUM(K78:K83)</f>
        <v>189047</v>
      </c>
      <c r="L84" s="1674">
        <f>SUM(L78:L83)</f>
        <v>180700</v>
      </c>
    </row>
    <row r="85" spans="1:12" ht="12.75" customHeight="1" thickTop="1" thickBot="1" x14ac:dyDescent="0.25">
      <c r="A85" s="1281" t="s">
        <v>253</v>
      </c>
      <c r="B85" s="517">
        <v>4210</v>
      </c>
      <c r="C85" s="1673"/>
      <c r="D85" s="1673"/>
      <c r="E85" s="1683"/>
      <c r="F85" s="1673"/>
      <c r="G85" s="1673"/>
      <c r="H85" s="1630">
        <v>13858</v>
      </c>
      <c r="I85" s="1582"/>
      <c r="J85" s="1582"/>
      <c r="K85" s="1681">
        <f>H85</f>
        <v>13858</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v>6417</v>
      </c>
      <c r="I89" s="1582"/>
      <c r="J89" s="1582"/>
      <c r="K89" s="1681">
        <f t="shared" si="12"/>
        <v>6417</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20275</v>
      </c>
      <c r="I92" s="1582"/>
      <c r="J92" s="1582"/>
      <c r="K92" s="1681">
        <f t="shared" si="12"/>
        <v>20275</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189047</v>
      </c>
      <c r="F102" s="1673"/>
      <c r="G102" s="1673"/>
      <c r="H102" s="1681">
        <f>SUM(H84,H92,H100,H101)</f>
        <v>20275</v>
      </c>
      <c r="I102" s="1582"/>
      <c r="J102" s="1582"/>
      <c r="K102" s="1681">
        <f>SUM(K84,K92,K100,K101)</f>
        <v>209322</v>
      </c>
      <c r="L102" s="1681">
        <f>SUM(L84,L92,L100,L101)</f>
        <v>180700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3253281</v>
      </c>
      <c r="D114" s="1674">
        <f t="shared" ref="D114:K114" si="13">SUM(D33,D74,D75,D102,D112,D113)</f>
        <v>822040</v>
      </c>
      <c r="E114" s="1674">
        <f t="shared" si="13"/>
        <v>351637</v>
      </c>
      <c r="F114" s="1674">
        <f t="shared" si="13"/>
        <v>215142</v>
      </c>
      <c r="G114" s="1674">
        <f t="shared" si="13"/>
        <v>47971</v>
      </c>
      <c r="H114" s="1674">
        <f>SUM(H33,H74,H75,H102,H112,H113)</f>
        <v>110769</v>
      </c>
      <c r="I114" s="1674">
        <f t="shared" si="13"/>
        <v>0</v>
      </c>
      <c r="J114" s="1674">
        <f t="shared" si="13"/>
        <v>897</v>
      </c>
      <c r="K114" s="1674">
        <f t="shared" si="13"/>
        <v>4801737</v>
      </c>
      <c r="L114" s="1674">
        <f>SUM(L33,L74,L75,L102,L112,L113)</f>
        <v>4995194</v>
      </c>
    </row>
    <row r="115" spans="1:14" ht="13.5" thickTop="1" x14ac:dyDescent="0.2">
      <c r="A115" s="2263" t="s">
        <v>989</v>
      </c>
      <c r="B115" s="2264"/>
      <c r="C115" s="1675"/>
      <c r="D115" s="1675"/>
      <c r="E115" s="1675"/>
      <c r="F115" s="1675"/>
      <c r="G115" s="1675"/>
      <c r="H115" s="1675"/>
      <c r="I115" s="1675"/>
      <c r="J115" s="1675"/>
      <c r="K115" s="1689">
        <f>'Revenues 9-14'!C268-'Expenditures 15-22'!K114</f>
        <v>93568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176873</v>
      </c>
      <c r="D124" s="1573">
        <v>24492</v>
      </c>
      <c r="E124" s="1573">
        <v>68498</v>
      </c>
      <c r="F124" s="1573">
        <v>115872</v>
      </c>
      <c r="G124" s="1573"/>
      <c r="H124" s="1573"/>
      <c r="I124" s="1574"/>
      <c r="J124" s="1574"/>
      <c r="K124" s="1674">
        <f>SUM(C124:J124)</f>
        <v>385735</v>
      </c>
      <c r="L124" s="1573">
        <v>398280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176873</v>
      </c>
      <c r="D127" s="1674">
        <f t="shared" ref="D127:L127" si="14">SUM(D122:D126)</f>
        <v>24492</v>
      </c>
      <c r="E127" s="1674">
        <f t="shared" si="14"/>
        <v>68498</v>
      </c>
      <c r="F127" s="1674">
        <f t="shared" si="14"/>
        <v>115872</v>
      </c>
      <c r="G127" s="1674">
        <f t="shared" si="14"/>
        <v>0</v>
      </c>
      <c r="H127" s="1674">
        <f t="shared" si="14"/>
        <v>0</v>
      </c>
      <c r="I127" s="1674">
        <f t="shared" si="14"/>
        <v>0</v>
      </c>
      <c r="J127" s="1674">
        <f t="shared" si="14"/>
        <v>0</v>
      </c>
      <c r="K127" s="1674">
        <f t="shared" si="14"/>
        <v>385735</v>
      </c>
      <c r="L127" s="1674">
        <f t="shared" si="14"/>
        <v>398280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176873</v>
      </c>
      <c r="D129" s="1681">
        <f t="shared" ref="D129:L129" si="15">SUM(D120,D127,D128)</f>
        <v>24492</v>
      </c>
      <c r="E129" s="1681">
        <f t="shared" si="15"/>
        <v>68498</v>
      </c>
      <c r="F129" s="1681">
        <f t="shared" si="15"/>
        <v>115872</v>
      </c>
      <c r="G129" s="1681">
        <f t="shared" si="15"/>
        <v>0</v>
      </c>
      <c r="H129" s="1681">
        <f t="shared" si="15"/>
        <v>0</v>
      </c>
      <c r="I129" s="1681">
        <f t="shared" si="15"/>
        <v>0</v>
      </c>
      <c r="J129" s="1681">
        <f t="shared" si="15"/>
        <v>0</v>
      </c>
      <c r="K129" s="1681">
        <f t="shared" si="15"/>
        <v>385735</v>
      </c>
      <c r="L129" s="1681">
        <f t="shared" si="15"/>
        <v>398280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0"/>
      <c r="C151" s="1674">
        <f>SUM(C129,C130,C139,C149,C150)</f>
        <v>176873</v>
      </c>
      <c r="D151" s="1674">
        <f t="shared" ref="D151:K151" si="16">SUM(D129,D130,D139,D149,D150)</f>
        <v>24492</v>
      </c>
      <c r="E151" s="1674">
        <f t="shared" si="16"/>
        <v>68498</v>
      </c>
      <c r="F151" s="1674">
        <f t="shared" si="16"/>
        <v>115872</v>
      </c>
      <c r="G151" s="1674">
        <f t="shared" si="16"/>
        <v>0</v>
      </c>
      <c r="H151" s="1674">
        <f t="shared" si="16"/>
        <v>0</v>
      </c>
      <c r="I151" s="1674">
        <f t="shared" si="16"/>
        <v>0</v>
      </c>
      <c r="J151" s="1674">
        <f t="shared" si="16"/>
        <v>0</v>
      </c>
      <c r="K151" s="1674">
        <f t="shared" si="16"/>
        <v>385735</v>
      </c>
      <c r="L151" s="1674">
        <f>SUM(L129,L130,L139,L149,L150)</f>
        <v>398280</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56256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v>106325</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106325</v>
      </c>
    </row>
    <row r="169" spans="1:14" ht="15.75" customHeight="1" thickTop="1" x14ac:dyDescent="0.2">
      <c r="A169" s="543" t="s">
        <v>83</v>
      </c>
      <c r="B169" s="544" t="s">
        <v>38</v>
      </c>
      <c r="C169" s="1673"/>
      <c r="D169" s="1673"/>
      <c r="E169" s="1673"/>
      <c r="F169" s="1673"/>
      <c r="G169" s="1673"/>
      <c r="H169" s="1695">
        <v>107681</v>
      </c>
      <c r="I169" s="1673"/>
      <c r="J169" s="1673"/>
      <c r="K169" s="1672">
        <f>SUM(C169:H169)</f>
        <v>107681</v>
      </c>
      <c r="L169" s="1695">
        <v>194075</v>
      </c>
    </row>
    <row r="170" spans="1:14" ht="33.75" customHeight="1" x14ac:dyDescent="0.2">
      <c r="A170" s="543" t="s">
        <v>1651</v>
      </c>
      <c r="B170" s="545" t="s">
        <v>31</v>
      </c>
      <c r="C170" s="1673"/>
      <c r="D170" s="1673"/>
      <c r="E170" s="1673"/>
      <c r="F170" s="1673"/>
      <c r="G170" s="1673"/>
      <c r="H170" s="1646">
        <v>286000</v>
      </c>
      <c r="I170" s="1673"/>
      <c r="J170" s="1673"/>
      <c r="K170" s="1672">
        <f>SUM(C170:J170)</f>
        <v>286000</v>
      </c>
      <c r="L170" s="1646">
        <v>10000</v>
      </c>
    </row>
    <row r="171" spans="1:14" ht="15.75" customHeight="1" x14ac:dyDescent="0.2">
      <c r="A171" s="507" t="s">
        <v>761</v>
      </c>
      <c r="B171" s="546" t="s">
        <v>84</v>
      </c>
      <c r="C171" s="1673"/>
      <c r="D171" s="1673"/>
      <c r="E171" s="1573"/>
      <c r="F171" s="1673"/>
      <c r="G171" s="1673"/>
      <c r="H171" s="1646">
        <v>1100</v>
      </c>
      <c r="I171" s="1582"/>
      <c r="J171" s="1673"/>
      <c r="K171" s="1672">
        <f>SUM(C171:J171)</f>
        <v>1100</v>
      </c>
      <c r="L171" s="1646">
        <v>2000</v>
      </c>
    </row>
    <row r="172" spans="1:14" ht="12.75" customHeight="1" thickBot="1" x14ac:dyDescent="0.25">
      <c r="A172" s="1380" t="s">
        <v>633</v>
      </c>
      <c r="B172" s="1381" t="s">
        <v>489</v>
      </c>
      <c r="C172" s="1673"/>
      <c r="D172" s="1673"/>
      <c r="E172" s="1681">
        <f>SUM(E168,E169,E170,E171)</f>
        <v>0</v>
      </c>
      <c r="F172" s="1673"/>
      <c r="G172" s="1673"/>
      <c r="H172" s="1681">
        <f>SUM(H168,H169,H170,H171)</f>
        <v>394781</v>
      </c>
      <c r="I172" s="1684"/>
      <c r="J172" s="1673"/>
      <c r="K172" s="1681">
        <f>SUM(K168,K169,K170,K171)</f>
        <v>394781</v>
      </c>
      <c r="L172" s="1681">
        <f>SUM(L168,L169,L170,L171)</f>
        <v>312400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394781</v>
      </c>
      <c r="I174" s="1684"/>
      <c r="J174" s="1673"/>
      <c r="K174" s="1681">
        <f>SUM(K160,K172,K173)</f>
        <v>394781</v>
      </c>
      <c r="L174" s="1681">
        <f>SUM(L160,L172,L173)</f>
        <v>312400</v>
      </c>
    </row>
    <row r="175" spans="1:14" ht="13.5" thickTop="1" x14ac:dyDescent="0.2">
      <c r="A175" s="2263" t="s">
        <v>989</v>
      </c>
      <c r="B175" s="2264"/>
      <c r="C175" s="1673"/>
      <c r="D175" s="1673"/>
      <c r="E175" s="1673"/>
      <c r="F175" s="1673"/>
      <c r="G175" s="1673"/>
      <c r="H175" s="1675"/>
      <c r="I175" s="1673"/>
      <c r="J175" s="1673"/>
      <c r="K175" s="1689">
        <f>'Revenues 9-14'!E268-'Expenditures 15-22'!K174</f>
        <v>188284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177455</v>
      </c>
      <c r="D182" s="1573"/>
      <c r="E182" s="1573">
        <v>14355</v>
      </c>
      <c r="F182" s="1573">
        <v>38576</v>
      </c>
      <c r="G182" s="1573">
        <v>76126</v>
      </c>
      <c r="H182" s="1573"/>
      <c r="I182" s="1574"/>
      <c r="J182" s="1574"/>
      <c r="K182" s="1672">
        <f>SUM(C182:J182)</f>
        <v>306512</v>
      </c>
      <c r="L182" s="1573">
        <v>405220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177455</v>
      </c>
      <c r="D184" s="1681">
        <f t="shared" ref="D184:J184" si="17">SUM(D180,D182,D183)</f>
        <v>0</v>
      </c>
      <c r="E184" s="1681">
        <f t="shared" si="17"/>
        <v>14355</v>
      </c>
      <c r="F184" s="1681">
        <f t="shared" si="17"/>
        <v>38576</v>
      </c>
      <c r="G184" s="1681">
        <f t="shared" si="17"/>
        <v>76126</v>
      </c>
      <c r="H184" s="1681">
        <f t="shared" si="17"/>
        <v>0</v>
      </c>
      <c r="I184" s="1681">
        <f t="shared" si="17"/>
        <v>0</v>
      </c>
      <c r="J184" s="1681">
        <f t="shared" si="17"/>
        <v>0</v>
      </c>
      <c r="K184" s="1681">
        <f>SUM(K180,K182,K183)</f>
        <v>306512</v>
      </c>
      <c r="L184" s="1681">
        <f>SUM(L180, L182:L183)</f>
        <v>405220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v>101364</v>
      </c>
      <c r="I206" s="1673"/>
      <c r="J206" s="1673"/>
      <c r="K206" s="1672">
        <f>SUM(H206)</f>
        <v>101364</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101364</v>
      </c>
      <c r="I208" s="1673"/>
      <c r="J208" s="1673"/>
      <c r="K208" s="1681">
        <f>SUM(K204,K205,K206,K207)</f>
        <v>101364</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177455</v>
      </c>
      <c r="D210" s="1674">
        <f>SUM(D184,D185)</f>
        <v>0</v>
      </c>
      <c r="E210" s="1674">
        <f>SUM(E184,E185,E196)</f>
        <v>14355</v>
      </c>
      <c r="F210" s="1674">
        <f>SUM(F184,F185)</f>
        <v>38576</v>
      </c>
      <c r="G210" s="1674">
        <f>SUM(G184,G185)</f>
        <v>76126</v>
      </c>
      <c r="H210" s="1674">
        <f>SUM(H184,H185,H196,H208,H209)</f>
        <v>101364</v>
      </c>
      <c r="I210" s="1674">
        <f>SUM(I184,I185)</f>
        <v>0</v>
      </c>
      <c r="J210" s="1674">
        <f>SUM(J184,J185)</f>
        <v>0</v>
      </c>
      <c r="K210" s="1672">
        <f>SUM(K184,K185,K196,K208,K209)</f>
        <v>407876</v>
      </c>
      <c r="L210" s="1674">
        <f>SUM(L184,L185,L196,L208,L209)</f>
        <v>405220</v>
      </c>
    </row>
    <row r="211" spans="1:14" ht="13.5" thickTop="1" x14ac:dyDescent="0.2">
      <c r="A211" s="2263" t="s">
        <v>989</v>
      </c>
      <c r="B211" s="2264"/>
      <c r="C211" s="1675"/>
      <c r="D211" s="1675"/>
      <c r="E211" s="1675"/>
      <c r="F211" s="1675"/>
      <c r="G211" s="1675"/>
      <c r="H211" s="1675"/>
      <c r="I211" s="1673"/>
      <c r="J211" s="1673"/>
      <c r="K211" s="1689">
        <f>'Revenues 9-14'!F268-'Expenditures 15-22'!K210</f>
        <v>-51745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46968</v>
      </c>
      <c r="E215" s="1673"/>
      <c r="F215" s="1673"/>
      <c r="G215" s="1673"/>
      <c r="H215" s="1673"/>
      <c r="I215" s="1673"/>
      <c r="J215" s="1673"/>
      <c r="K215" s="1672">
        <f>D215</f>
        <v>46968</v>
      </c>
      <c r="L215" s="1573">
        <v>37650</v>
      </c>
    </row>
    <row r="216" spans="1:14" x14ac:dyDescent="0.2">
      <c r="A216" s="1274" t="s">
        <v>162</v>
      </c>
      <c r="B216" s="503" t="s">
        <v>961</v>
      </c>
      <c r="C216" s="1673"/>
      <c r="D216" s="1574"/>
      <c r="E216" s="1673"/>
      <c r="F216" s="1673"/>
      <c r="G216" s="1673"/>
      <c r="H216" s="1673"/>
      <c r="I216" s="1673"/>
      <c r="J216" s="1673"/>
      <c r="K216" s="1672">
        <f t="shared" ref="K216:K228" si="19">D216</f>
        <v>0</v>
      </c>
      <c r="L216" s="1573">
        <v>10135</v>
      </c>
    </row>
    <row r="217" spans="1:14" x14ac:dyDescent="0.2">
      <c r="A217" s="1274" t="s">
        <v>163</v>
      </c>
      <c r="B217" s="503">
        <v>1200</v>
      </c>
      <c r="C217" s="1673"/>
      <c r="D217" s="1573">
        <v>31316</v>
      </c>
      <c r="E217" s="1673"/>
      <c r="F217" s="1673"/>
      <c r="G217" s="1673"/>
      <c r="H217" s="1673"/>
      <c r="I217" s="1673"/>
      <c r="J217" s="1673"/>
      <c r="K217" s="1672">
        <f t="shared" si="19"/>
        <v>31316</v>
      </c>
      <c r="L217" s="1573">
        <v>28850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1129</v>
      </c>
      <c r="E219" s="1673"/>
      <c r="F219" s="1673"/>
      <c r="G219" s="1673"/>
      <c r="H219" s="1673"/>
      <c r="I219" s="1673"/>
      <c r="J219" s="1673"/>
      <c r="K219" s="1672">
        <f t="shared" si="19"/>
        <v>1129</v>
      </c>
      <c r="L219" s="1573">
        <v>1225</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1935</v>
      </c>
      <c r="E222" s="1673"/>
      <c r="F222" s="1673"/>
      <c r="G222" s="1673"/>
      <c r="H222" s="1673"/>
      <c r="I222" s="1673"/>
      <c r="J222" s="1673"/>
      <c r="K222" s="1672">
        <f t="shared" si="19"/>
        <v>1935</v>
      </c>
      <c r="L222" s="1573">
        <v>1995</v>
      </c>
    </row>
    <row r="223" spans="1:14" x14ac:dyDescent="0.2">
      <c r="A223" s="1274" t="s">
        <v>957</v>
      </c>
      <c r="B223" s="503">
        <v>1500</v>
      </c>
      <c r="C223" s="1673"/>
      <c r="D223" s="1573">
        <v>6304</v>
      </c>
      <c r="E223" s="1673"/>
      <c r="F223" s="1673"/>
      <c r="G223" s="1673"/>
      <c r="H223" s="1673"/>
      <c r="I223" s="1673"/>
      <c r="J223" s="1673"/>
      <c r="K223" s="1672">
        <f t="shared" si="19"/>
        <v>6304</v>
      </c>
      <c r="L223" s="1573">
        <v>5860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87652</v>
      </c>
      <c r="E229" s="1673"/>
      <c r="F229" s="1673"/>
      <c r="G229" s="1673"/>
      <c r="H229" s="1673"/>
      <c r="I229" s="1673"/>
      <c r="J229" s="1673"/>
      <c r="K229" s="1674">
        <f>SUM(K215:K228)</f>
        <v>87652</v>
      </c>
      <c r="L229" s="1674">
        <f>SUM(L215:L228)</f>
        <v>85715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620</v>
      </c>
      <c r="E232" s="1673"/>
      <c r="F232" s="1673"/>
      <c r="G232" s="1673"/>
      <c r="H232" s="1673"/>
      <c r="I232" s="1673"/>
      <c r="J232" s="1673"/>
      <c r="K232" s="1672">
        <f t="shared" ref="K232:K237" si="20">D232</f>
        <v>620</v>
      </c>
      <c r="L232" s="1573">
        <v>1150</v>
      </c>
    </row>
    <row r="233" spans="1:12" x14ac:dyDescent="0.2">
      <c r="A233" s="1274" t="s">
        <v>1081</v>
      </c>
      <c r="B233" s="503">
        <v>2120</v>
      </c>
      <c r="C233" s="1673"/>
      <c r="D233" s="1573">
        <v>690</v>
      </c>
      <c r="E233" s="1673"/>
      <c r="F233" s="1673"/>
      <c r="G233" s="1673"/>
      <c r="H233" s="1673"/>
      <c r="I233" s="1673"/>
      <c r="J233" s="1673"/>
      <c r="K233" s="1672">
        <f t="shared" si="20"/>
        <v>690</v>
      </c>
      <c r="L233" s="1573">
        <v>100</v>
      </c>
    </row>
    <row r="234" spans="1:12" x14ac:dyDescent="0.2">
      <c r="A234" s="1274" t="s">
        <v>196</v>
      </c>
      <c r="B234" s="503">
        <v>2130</v>
      </c>
      <c r="C234" s="1673"/>
      <c r="D234" s="1573">
        <v>4436</v>
      </c>
      <c r="E234" s="1673"/>
      <c r="F234" s="1673"/>
      <c r="G234" s="1673"/>
      <c r="H234" s="1673"/>
      <c r="I234" s="1673"/>
      <c r="J234" s="1673"/>
      <c r="K234" s="1672">
        <f t="shared" si="20"/>
        <v>4436</v>
      </c>
      <c r="L234" s="1573">
        <v>5724</v>
      </c>
    </row>
    <row r="235" spans="1:12" x14ac:dyDescent="0.2">
      <c r="A235" s="1274" t="s">
        <v>197</v>
      </c>
      <c r="B235" s="503">
        <v>2140</v>
      </c>
      <c r="C235" s="1673"/>
      <c r="D235" s="1573">
        <v>716</v>
      </c>
      <c r="E235" s="1673"/>
      <c r="F235" s="1673"/>
      <c r="G235" s="1673"/>
      <c r="H235" s="1673"/>
      <c r="I235" s="1673"/>
      <c r="J235" s="1673"/>
      <c r="K235" s="1672">
        <f t="shared" si="20"/>
        <v>716</v>
      </c>
      <c r="L235" s="1573">
        <v>900</v>
      </c>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799</v>
      </c>
      <c r="E237" s="1673"/>
      <c r="F237" s="1673"/>
      <c r="G237" s="1673"/>
      <c r="H237" s="1673"/>
      <c r="I237" s="1673"/>
      <c r="J237" s="1673"/>
      <c r="K237" s="1672">
        <f t="shared" si="20"/>
        <v>799</v>
      </c>
      <c r="L237" s="1573">
        <v>825</v>
      </c>
    </row>
    <row r="238" spans="1:12" ht="12.75" customHeight="1" thickBot="1" x14ac:dyDescent="0.25">
      <c r="A238" s="1380" t="s">
        <v>556</v>
      </c>
      <c r="B238" s="1383" t="s">
        <v>711</v>
      </c>
      <c r="C238" s="1673"/>
      <c r="D238" s="1674">
        <f>SUM(D232:D237)</f>
        <v>7261</v>
      </c>
      <c r="E238" s="1673"/>
      <c r="F238" s="1673"/>
      <c r="G238" s="1673"/>
      <c r="H238" s="1673"/>
      <c r="I238" s="1673"/>
      <c r="J238" s="1673"/>
      <c r="K238" s="1674">
        <f>SUM(K232:K237)</f>
        <v>7261</v>
      </c>
      <c r="L238" s="1674">
        <f>SUM(L232:L237)</f>
        <v>8699</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v>4670</v>
      </c>
      <c r="E241" s="1673"/>
      <c r="F241" s="1673"/>
      <c r="G241" s="1673"/>
      <c r="H241" s="1673"/>
      <c r="I241" s="1673"/>
      <c r="J241" s="1673"/>
      <c r="K241" s="1678">
        <f>D241</f>
        <v>4670</v>
      </c>
      <c r="L241" s="1573">
        <v>4550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4670</v>
      </c>
      <c r="E243" s="1673"/>
      <c r="F243" s="1673"/>
      <c r="G243" s="1673"/>
      <c r="H243" s="1673"/>
      <c r="I243" s="1673"/>
      <c r="J243" s="1673"/>
      <c r="K243" s="1674">
        <f>SUM(K240:K242)</f>
        <v>4670</v>
      </c>
      <c r="L243" s="1674">
        <f>SUM(L240:L242)</f>
        <v>4550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106</v>
      </c>
      <c r="E245" s="1673"/>
      <c r="F245" s="1673"/>
      <c r="G245" s="1673"/>
      <c r="H245" s="1673"/>
      <c r="I245" s="1673"/>
      <c r="J245" s="1673"/>
      <c r="K245" s="1678">
        <f>D245</f>
        <v>106</v>
      </c>
      <c r="L245" s="1586">
        <v>150</v>
      </c>
    </row>
    <row r="246" spans="1:12" x14ac:dyDescent="0.2">
      <c r="A246" s="1274" t="s">
        <v>813</v>
      </c>
      <c r="B246" s="503">
        <v>2320</v>
      </c>
      <c r="C246" s="1673"/>
      <c r="D246" s="1573">
        <v>1015</v>
      </c>
      <c r="E246" s="1673"/>
      <c r="F246" s="1673"/>
      <c r="G246" s="1673"/>
      <c r="H246" s="1673"/>
      <c r="I246" s="1673"/>
      <c r="J246" s="1673"/>
      <c r="K246" s="1678">
        <f t="shared" ref="K246:K256" si="21">D246</f>
        <v>1015</v>
      </c>
      <c r="L246" s="1573">
        <v>850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1121</v>
      </c>
      <c r="E257" s="1673"/>
      <c r="F257" s="1673"/>
      <c r="G257" s="1673"/>
      <c r="H257" s="1673"/>
      <c r="I257" s="1673"/>
      <c r="J257" s="1673"/>
      <c r="K257" s="1674">
        <f>SUM(K245:K256)</f>
        <v>1121</v>
      </c>
      <c r="L257" s="1674">
        <f>SUM(L245:L256)</f>
        <v>1000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20987</v>
      </c>
      <c r="E259" s="1673"/>
      <c r="F259" s="1673"/>
      <c r="G259" s="1673"/>
      <c r="H259" s="1673"/>
      <c r="I259" s="1673"/>
      <c r="J259" s="1673"/>
      <c r="K259" s="1678">
        <f>D259</f>
        <v>20987</v>
      </c>
      <c r="L259" s="1586">
        <v>22200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20987</v>
      </c>
      <c r="E261" s="1673"/>
      <c r="F261" s="1673"/>
      <c r="G261" s="1673"/>
      <c r="H261" s="1673"/>
      <c r="I261" s="1673"/>
      <c r="J261" s="1673"/>
      <c r="K261" s="1674">
        <f>SUM(K259:K260)</f>
        <v>20987</v>
      </c>
      <c r="L261" s="1674">
        <f>SUM(L259:L260)</f>
        <v>22200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11761</v>
      </c>
      <c r="E264" s="1673"/>
      <c r="F264" s="1673"/>
      <c r="G264" s="1673"/>
      <c r="H264" s="1673"/>
      <c r="I264" s="1673"/>
      <c r="J264" s="1673"/>
      <c r="K264" s="1678">
        <f t="shared" ref="K264:K269" si="22">D264</f>
        <v>11761</v>
      </c>
      <c r="L264" s="1573">
        <v>12450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28932</v>
      </c>
      <c r="E266" s="1673"/>
      <c r="F266" s="1673"/>
      <c r="G266" s="1673"/>
      <c r="H266" s="1673"/>
      <c r="I266" s="1673"/>
      <c r="J266" s="1673"/>
      <c r="K266" s="1678">
        <f t="shared" si="22"/>
        <v>28932</v>
      </c>
      <c r="L266" s="1573">
        <v>30025</v>
      </c>
    </row>
    <row r="267" spans="1:14" x14ac:dyDescent="0.2">
      <c r="A267" s="1274" t="s">
        <v>947</v>
      </c>
      <c r="B267" s="503">
        <v>2550</v>
      </c>
      <c r="C267" s="1673"/>
      <c r="D267" s="1573">
        <v>26377</v>
      </c>
      <c r="E267" s="1673"/>
      <c r="F267" s="1673"/>
      <c r="G267" s="1673"/>
      <c r="H267" s="1673"/>
      <c r="I267" s="1673"/>
      <c r="J267" s="1673"/>
      <c r="K267" s="1678">
        <f t="shared" si="22"/>
        <v>26377</v>
      </c>
      <c r="L267" s="1573">
        <v>27400</v>
      </c>
    </row>
    <row r="268" spans="1:14" x14ac:dyDescent="0.2">
      <c r="A268" s="1274" t="s">
        <v>100</v>
      </c>
      <c r="B268" s="503">
        <v>2560</v>
      </c>
      <c r="C268" s="1673"/>
      <c r="D268" s="1573">
        <v>11452</v>
      </c>
      <c r="E268" s="1673"/>
      <c r="F268" s="1673"/>
      <c r="G268" s="1673"/>
      <c r="H268" s="1673"/>
      <c r="I268" s="1673"/>
      <c r="J268" s="1673"/>
      <c r="K268" s="1678">
        <f t="shared" si="22"/>
        <v>11452</v>
      </c>
      <c r="L268" s="1573">
        <v>11825</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78522</v>
      </c>
      <c r="E270" s="1673"/>
      <c r="F270" s="1673"/>
      <c r="G270" s="1673"/>
      <c r="H270" s="1673"/>
      <c r="I270" s="1673"/>
      <c r="J270" s="1673"/>
      <c r="K270" s="1674">
        <f>SUM(K263:K269)</f>
        <v>78522</v>
      </c>
      <c r="L270" s="1674">
        <f>SUM(L263:L269)</f>
        <v>81700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112561</v>
      </c>
      <c r="E279" s="1673"/>
      <c r="F279" s="1673"/>
      <c r="G279" s="1673"/>
      <c r="H279" s="1673"/>
      <c r="I279" s="1673"/>
      <c r="J279" s="1673"/>
      <c r="K279" s="1681">
        <f>SUM(K238,K243,K257,K261,K270,K277,K278)</f>
        <v>112561</v>
      </c>
      <c r="L279" s="1681">
        <f>SUM(L238,L243,L257,L261,L270,L277,L278)</f>
        <v>118149</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200213</v>
      </c>
      <c r="E295" s="1673"/>
      <c r="F295" s="1673"/>
      <c r="G295" s="1673"/>
      <c r="H295" s="1674">
        <f>H293</f>
        <v>0</v>
      </c>
      <c r="I295" s="1673"/>
      <c r="J295" s="1673"/>
      <c r="K295" s="1674">
        <f>SUM(K229,K279,K280,K285,K293,K294)</f>
        <v>200213</v>
      </c>
      <c r="L295" s="1674">
        <f>SUM(L229,L279,L280,L285,L293,L294)</f>
        <v>203864</v>
      </c>
    </row>
    <row r="296" spans="1:14" ht="13.5" thickTop="1" x14ac:dyDescent="0.2">
      <c r="A296" s="2263" t="s">
        <v>989</v>
      </c>
      <c r="B296" s="2264"/>
      <c r="C296" s="1673"/>
      <c r="D296" s="1675"/>
      <c r="E296" s="1673"/>
      <c r="F296" s="1673"/>
      <c r="G296" s="1673"/>
      <c r="H296" s="1707"/>
      <c r="I296" s="1673"/>
      <c r="J296" s="1673"/>
      <c r="K296" s="1689">
        <f>'Revenues 9-14'!G268-'Expenditures 15-22'!K295</f>
        <v>23299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1361</v>
      </c>
      <c r="F301" s="1573"/>
      <c r="G301" s="1573">
        <v>4434329</v>
      </c>
      <c r="H301" s="1573"/>
      <c r="I301" s="1574"/>
      <c r="J301" s="1574"/>
      <c r="K301" s="1672">
        <f>SUM(C301:J301)</f>
        <v>4435690</v>
      </c>
      <c r="L301" s="1574">
        <v>4435702</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1361</v>
      </c>
      <c r="F303" s="1681">
        <f t="shared" si="23"/>
        <v>0</v>
      </c>
      <c r="G303" s="1681">
        <f t="shared" si="23"/>
        <v>4434329</v>
      </c>
      <c r="H303" s="1681">
        <f t="shared" si="23"/>
        <v>0</v>
      </c>
      <c r="I303" s="1681">
        <f t="shared" si="23"/>
        <v>0</v>
      </c>
      <c r="J303" s="1681">
        <f t="shared" si="23"/>
        <v>0</v>
      </c>
      <c r="K303" s="1681">
        <f t="shared" si="23"/>
        <v>4435690</v>
      </c>
      <c r="L303" s="1681">
        <f t="shared" si="23"/>
        <v>4435702</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1361</v>
      </c>
      <c r="F312" s="1674">
        <f>SUM(F303)</f>
        <v>0</v>
      </c>
      <c r="G312" s="1674">
        <f>SUM(G303)</f>
        <v>4434329</v>
      </c>
      <c r="H312" s="1674">
        <f>SUM(H303,H310)</f>
        <v>0</v>
      </c>
      <c r="I312" s="1674">
        <f>SUM(I303)</f>
        <v>0</v>
      </c>
      <c r="J312" s="1674">
        <f>SUM(J303)</f>
        <v>0</v>
      </c>
      <c r="K312" s="1674">
        <f>SUM(K303,K310,K311)</f>
        <v>4435690</v>
      </c>
      <c r="L312" s="1674">
        <f>SUM(L303,L310,L311)</f>
        <v>4435702</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-4284909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76334</v>
      </c>
      <c r="F320" s="1574"/>
      <c r="G320" s="1574"/>
      <c r="H320" s="1574"/>
      <c r="I320" s="1574"/>
      <c r="J320" s="1574"/>
      <c r="K320" s="1672">
        <f t="shared" ref="K320:K327" si="24">SUM(C320:J320)</f>
        <v>76334</v>
      </c>
      <c r="L320" s="1574">
        <v>76334</v>
      </c>
      <c r="M320" s="539"/>
      <c r="N320" s="539"/>
    </row>
    <row r="321" spans="1:14" s="548" customFormat="1" x14ac:dyDescent="0.2">
      <c r="A321" s="1289" t="s">
        <v>297</v>
      </c>
      <c r="B321" s="567" t="s">
        <v>281</v>
      </c>
      <c r="C321" s="1574"/>
      <c r="D321" s="1574"/>
      <c r="E321" s="1574">
        <v>5637</v>
      </c>
      <c r="F321" s="1574"/>
      <c r="G321" s="1574"/>
      <c r="H321" s="1574"/>
      <c r="I321" s="1574"/>
      <c r="J321" s="1574"/>
      <c r="K321" s="1672">
        <f t="shared" si="24"/>
        <v>5637</v>
      </c>
      <c r="L321" s="1574">
        <v>5700</v>
      </c>
      <c r="M321" s="539"/>
      <c r="N321" s="539"/>
    </row>
    <row r="322" spans="1:14" s="548" customFormat="1" x14ac:dyDescent="0.2">
      <c r="A322" s="1289" t="s">
        <v>236</v>
      </c>
      <c r="B322" s="567" t="s">
        <v>282</v>
      </c>
      <c r="C322" s="1574"/>
      <c r="D322" s="1574"/>
      <c r="E322" s="1574">
        <v>110627</v>
      </c>
      <c r="F322" s="1574"/>
      <c r="G322" s="1574"/>
      <c r="H322" s="1574"/>
      <c r="I322" s="1574"/>
      <c r="J322" s="1574"/>
      <c r="K322" s="1672">
        <f t="shared" si="24"/>
        <v>110627</v>
      </c>
      <c r="L322" s="1574">
        <v>110300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205725</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169657</v>
      </c>
      <c r="D325" s="1574">
        <v>21736</v>
      </c>
      <c r="E325" s="1574">
        <v>35088</v>
      </c>
      <c r="F325" s="1574">
        <v>29348</v>
      </c>
      <c r="G325" s="1574">
        <v>14200</v>
      </c>
      <c r="H325" s="1574"/>
      <c r="I325" s="1574"/>
      <c r="J325" s="1574"/>
      <c r="K325" s="1672">
        <f t="shared" si="24"/>
        <v>270029</v>
      </c>
      <c r="L325" s="1574">
        <v>72550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9436</v>
      </c>
      <c r="F327" s="1574"/>
      <c r="G327" s="1574"/>
      <c r="H327" s="1574"/>
      <c r="I327" s="1574"/>
      <c r="J327" s="1574"/>
      <c r="K327" s="1672">
        <f t="shared" si="24"/>
        <v>9436</v>
      </c>
      <c r="L327" s="1574">
        <v>9500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169657</v>
      </c>
      <c r="D330" s="1674">
        <f t="shared" ref="D330:J330" si="25">SUM(D319:D329)</f>
        <v>21736</v>
      </c>
      <c r="E330" s="1674">
        <f t="shared" si="25"/>
        <v>237122</v>
      </c>
      <c r="F330" s="1674">
        <f t="shared" si="25"/>
        <v>29348</v>
      </c>
      <c r="G330" s="1674">
        <f t="shared" si="25"/>
        <v>14200</v>
      </c>
      <c r="H330" s="1674">
        <f t="shared" si="25"/>
        <v>0</v>
      </c>
      <c r="I330" s="1674">
        <f t="shared" si="25"/>
        <v>0</v>
      </c>
      <c r="J330" s="1674">
        <f t="shared" si="25"/>
        <v>0</v>
      </c>
      <c r="K330" s="1674">
        <f>SUM(K319:K329)</f>
        <v>472063</v>
      </c>
      <c r="L330" s="1674">
        <f>SUM(L319:L329)</f>
        <v>480109</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169657</v>
      </c>
      <c r="D342" s="1674">
        <f>SUM(D330)</f>
        <v>21736</v>
      </c>
      <c r="E342" s="1674">
        <f>SUM(E330)</f>
        <v>237122</v>
      </c>
      <c r="F342" s="1674">
        <f>SUM(F330)</f>
        <v>29348</v>
      </c>
      <c r="G342" s="1674">
        <f>SUM(G330)</f>
        <v>14200</v>
      </c>
      <c r="H342" s="1674">
        <f>SUM(H330,H334,H340)</f>
        <v>0</v>
      </c>
      <c r="I342" s="1674">
        <f>SUM(I330)</f>
        <v>0</v>
      </c>
      <c r="J342" s="1674">
        <f>SUM(J330)</f>
        <v>0</v>
      </c>
      <c r="K342" s="1674">
        <f>SUM(K330,K334,K340)</f>
        <v>472063</v>
      </c>
      <c r="L342" s="1681">
        <f>SUM(L330,L334,L340,L341)</f>
        <v>480109</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26443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28789</v>
      </c>
      <c r="F348" s="1573">
        <v>160</v>
      </c>
      <c r="G348" s="1573">
        <v>1122679</v>
      </c>
      <c r="H348" s="1573"/>
      <c r="I348" s="1574"/>
      <c r="J348" s="1574"/>
      <c r="K348" s="1672">
        <f>SUM(C348:J348)</f>
        <v>1151628</v>
      </c>
      <c r="L348" s="1573">
        <v>1171079</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28789</v>
      </c>
      <c r="F350" s="1674">
        <f t="shared" si="26"/>
        <v>160</v>
      </c>
      <c r="G350" s="1674">
        <f t="shared" si="26"/>
        <v>1122679</v>
      </c>
      <c r="H350" s="1674">
        <f t="shared" si="26"/>
        <v>0</v>
      </c>
      <c r="I350" s="1674">
        <f t="shared" si="26"/>
        <v>0</v>
      </c>
      <c r="J350" s="1674">
        <f t="shared" si="26"/>
        <v>0</v>
      </c>
      <c r="K350" s="1674">
        <f t="shared" si="26"/>
        <v>1151628</v>
      </c>
      <c r="L350" s="1674">
        <f t="shared" si="26"/>
        <v>1171079</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28789</v>
      </c>
      <c r="F352" s="1674">
        <f t="shared" si="27"/>
        <v>160</v>
      </c>
      <c r="G352" s="1674">
        <f t="shared" si="27"/>
        <v>1122679</v>
      </c>
      <c r="H352" s="1674">
        <f t="shared" si="27"/>
        <v>0</v>
      </c>
      <c r="I352" s="1674">
        <f t="shared" si="27"/>
        <v>0</v>
      </c>
      <c r="J352" s="1674">
        <f t="shared" si="27"/>
        <v>0</v>
      </c>
      <c r="K352" s="1674">
        <f t="shared" si="27"/>
        <v>1151628</v>
      </c>
      <c r="L352" s="1674">
        <f t="shared" si="27"/>
        <v>1171079</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28789</v>
      </c>
      <c r="F367" s="1674">
        <f t="shared" si="28"/>
        <v>160</v>
      </c>
      <c r="G367" s="1674">
        <f t="shared" si="28"/>
        <v>1122679</v>
      </c>
      <c r="H367" s="1674">
        <f t="shared" si="28"/>
        <v>0</v>
      </c>
      <c r="I367" s="1674">
        <f t="shared" si="28"/>
        <v>0</v>
      </c>
      <c r="J367" s="1674">
        <f t="shared" si="28"/>
        <v>0</v>
      </c>
      <c r="K367" s="1674">
        <f t="shared" si="28"/>
        <v>1151628</v>
      </c>
      <c r="L367" s="1674">
        <f t="shared" si="28"/>
        <v>1171079</v>
      </c>
    </row>
    <row r="368" spans="1:14" ht="13.5" thickTop="1" x14ac:dyDescent="0.2">
      <c r="A368" s="2263" t="s">
        <v>989</v>
      </c>
      <c r="B368" s="2264"/>
      <c r="C368" s="1694"/>
      <c r="D368" s="1694"/>
      <c r="E368" s="1677"/>
      <c r="F368" s="1677"/>
      <c r="G368" s="1677"/>
      <c r="H368" s="1677"/>
      <c r="I368" s="1677"/>
      <c r="J368" s="1676"/>
      <c r="K368" s="1672">
        <f>'Revenues 9-14'!K268-'Expenditures 15-22'!K367</f>
        <v>-1104755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1418368</v>
      </c>
      <c r="C4" s="1722">
        <v>14624</v>
      </c>
      <c r="D4" s="1723">
        <f>B4-C4</f>
        <v>1403744</v>
      </c>
      <c r="E4" s="1722">
        <v>1565937</v>
      </c>
      <c r="F4" s="1723">
        <f>E4-C4</f>
        <v>1551313</v>
      </c>
    </row>
    <row r="5" spans="1:8" ht="13.7" customHeight="1" x14ac:dyDescent="0.2">
      <c r="A5" s="579" t="s">
        <v>865</v>
      </c>
      <c r="B5" s="1724">
        <f>'Revenues 9-14'!D5</f>
        <v>344372</v>
      </c>
      <c r="C5" s="1664">
        <v>3532</v>
      </c>
      <c r="D5" s="1725">
        <f t="shared" ref="D5:D18" si="0">B5-C5</f>
        <v>340840</v>
      </c>
      <c r="E5" s="1664">
        <v>378246</v>
      </c>
      <c r="F5" s="1725">
        <f>E5-C5</f>
        <v>374714</v>
      </c>
    </row>
    <row r="6" spans="1:8" ht="13.7" customHeight="1" x14ac:dyDescent="0.2">
      <c r="A6" s="579" t="s">
        <v>408</v>
      </c>
      <c r="B6" s="1724">
        <f>'Revenues 9-14'!E5</f>
        <v>278855</v>
      </c>
      <c r="C6" s="1664">
        <v>2808</v>
      </c>
      <c r="D6" s="1725">
        <f t="shared" si="0"/>
        <v>276047</v>
      </c>
      <c r="E6" s="1664">
        <v>300705</v>
      </c>
      <c r="F6" s="1725">
        <f t="shared" ref="F6:F18" si="1">E6-C6</f>
        <v>297897</v>
      </c>
    </row>
    <row r="7" spans="1:8" ht="13.7" customHeight="1" x14ac:dyDescent="0.2">
      <c r="A7" s="579" t="s">
        <v>154</v>
      </c>
      <c r="B7" s="1724">
        <f>'Revenues 9-14'!F5</f>
        <v>137750</v>
      </c>
      <c r="C7" s="1664">
        <v>1413</v>
      </c>
      <c r="D7" s="1725">
        <f t="shared" si="0"/>
        <v>136337</v>
      </c>
      <c r="E7" s="1664">
        <v>151298</v>
      </c>
      <c r="F7" s="1725">
        <f t="shared" si="1"/>
        <v>149885</v>
      </c>
    </row>
    <row r="8" spans="1:8" ht="13.7" customHeight="1" x14ac:dyDescent="0.2">
      <c r="A8" s="579" t="s">
        <v>1169</v>
      </c>
      <c r="B8" s="1724">
        <f>'Revenues 9-14'!G5</f>
        <v>85166</v>
      </c>
      <c r="C8" s="1664">
        <v>946</v>
      </c>
      <c r="D8" s="1725">
        <f t="shared" si="0"/>
        <v>84220</v>
      </c>
      <c r="E8" s="1664">
        <v>101294</v>
      </c>
      <c r="F8" s="1725">
        <f t="shared" si="1"/>
        <v>100348</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34436</v>
      </c>
      <c r="C10" s="1664">
        <v>353</v>
      </c>
      <c r="D10" s="1725">
        <f t="shared" si="0"/>
        <v>34083</v>
      </c>
      <c r="E10" s="1664">
        <v>37825</v>
      </c>
      <c r="F10" s="1725">
        <f t="shared" si="1"/>
        <v>37472</v>
      </c>
    </row>
    <row r="11" spans="1:8" x14ac:dyDescent="0.2">
      <c r="A11" s="579" t="s">
        <v>406</v>
      </c>
      <c r="B11" s="1724">
        <f>'Revenues 9-14'!J5</f>
        <v>492515</v>
      </c>
      <c r="C11" s="1664">
        <v>5065</v>
      </c>
      <c r="D11" s="1725">
        <f t="shared" si="0"/>
        <v>487450</v>
      </c>
      <c r="E11" s="1664">
        <v>542404</v>
      </c>
      <c r="F11" s="1725">
        <f t="shared" si="1"/>
        <v>537339</v>
      </c>
    </row>
    <row r="12" spans="1:8" ht="13.7" customHeight="1" x14ac:dyDescent="0.2">
      <c r="A12" s="579" t="s">
        <v>156</v>
      </c>
      <c r="B12" s="1724">
        <f>'Revenues 9-14'!K5</f>
        <v>34436</v>
      </c>
      <c r="C12" s="1664">
        <v>353</v>
      </c>
      <c r="D12" s="1725">
        <f t="shared" si="0"/>
        <v>34083</v>
      </c>
      <c r="E12" s="1664">
        <v>37825</v>
      </c>
      <c r="F12" s="1725">
        <f t="shared" si="1"/>
        <v>37472</v>
      </c>
    </row>
    <row r="13" spans="1:8" ht="13.7" customHeight="1" x14ac:dyDescent="0.2">
      <c r="A13" s="579" t="s">
        <v>930</v>
      </c>
      <c r="B13" s="1724">
        <f>SUM('Revenues 9-14'!C6:D6)</f>
        <v>34436</v>
      </c>
      <c r="C13" s="1664">
        <v>353</v>
      </c>
      <c r="D13" s="1725">
        <f t="shared" si="0"/>
        <v>34083</v>
      </c>
      <c r="E13" s="1664">
        <v>37825</v>
      </c>
      <c r="F13" s="1725">
        <f t="shared" si="1"/>
        <v>37472</v>
      </c>
    </row>
    <row r="14" spans="1:8" ht="13.7" customHeight="1" x14ac:dyDescent="0.2">
      <c r="A14" s="579" t="s">
        <v>407</v>
      </c>
      <c r="B14" s="1724">
        <f>SUM('Revenues 9-14'!C7:D7,'Revenues 9-14'!F7:H7)</f>
        <v>27550</v>
      </c>
      <c r="C14" s="1664">
        <v>283</v>
      </c>
      <c r="D14" s="1725">
        <f t="shared" si="0"/>
        <v>27267</v>
      </c>
      <c r="E14" s="1664">
        <v>30260</v>
      </c>
      <c r="F14" s="1725">
        <f t="shared" si="1"/>
        <v>29977</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85166</v>
      </c>
      <c r="C16" s="1664">
        <v>946</v>
      </c>
      <c r="D16" s="1725">
        <f t="shared" si="0"/>
        <v>84220</v>
      </c>
      <c r="E16" s="1664">
        <v>101294</v>
      </c>
      <c r="F16" s="1725">
        <f t="shared" si="1"/>
        <v>100348</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2973050</v>
      </c>
      <c r="C19" s="1726">
        <f>SUM(C4:C18)</f>
        <v>30676</v>
      </c>
      <c r="D19" s="1726">
        <f>SUM(D4:D18)</f>
        <v>2942374</v>
      </c>
      <c r="E19" s="1726">
        <f>SUM(E4:E18)</f>
        <v>3284913</v>
      </c>
      <c r="F19" s="1726">
        <f>SUM(F4:F18)</f>
        <v>3254237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A37" sqref="A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1779</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13"/>
      <c r="D3" s="2314"/>
      <c r="E3" s="2314"/>
      <c r="F3" s="2315"/>
    </row>
    <row r="4" spans="1:7" ht="12.75" customHeight="1" thickBot="1" x14ac:dyDescent="0.25">
      <c r="A4" s="2307" t="s">
        <v>626</v>
      </c>
      <c r="B4" s="2308"/>
      <c r="C4" s="1656"/>
      <c r="D4" s="1656"/>
      <c r="E4" s="1656"/>
      <c r="F4" s="1732">
        <f>SUM(C4+D4)-E4</f>
        <v>0</v>
      </c>
    </row>
    <row r="5" spans="1:7" ht="15.75" customHeight="1" thickTop="1" x14ac:dyDescent="0.2">
      <c r="A5" s="2311" t="s">
        <v>1101</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6" t="s">
        <v>1102</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385</v>
      </c>
      <c r="B19" s="2299"/>
      <c r="C19" s="1733"/>
      <c r="D19" s="1664"/>
      <c r="E19" s="1733"/>
      <c r="F19" s="1732">
        <f>SUM(C19+D19)-E19</f>
        <v>0</v>
      </c>
    </row>
    <row r="20" spans="1:11" ht="12.75" customHeight="1" thickTop="1" thickBot="1" x14ac:dyDescent="0.25">
      <c r="A20" s="2298" t="s">
        <v>445</v>
      </c>
      <c r="B20" s="2299"/>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05" t="s">
        <v>1103</v>
      </c>
      <c r="B22" s="2306"/>
      <c r="C22" s="2300"/>
      <c r="D22" s="2301"/>
      <c r="E22" s="2301"/>
      <c r="F22" s="2302"/>
    </row>
    <row r="23" spans="1:11" ht="13.5" thickBot="1" x14ac:dyDescent="0.25">
      <c r="A23" s="2307" t="s">
        <v>629</v>
      </c>
      <c r="B23" s="2308"/>
      <c r="C23" s="1656"/>
      <c r="D23" s="1656"/>
      <c r="E23" s="1656"/>
      <c r="F23" s="1732">
        <f>SUM(C23+D23)-E23</f>
        <v>0</v>
      </c>
      <c r="G23" s="473"/>
    </row>
    <row r="24" spans="1:11" ht="15.75" customHeight="1" thickTop="1" x14ac:dyDescent="0.2">
      <c r="A24" s="2305" t="s">
        <v>2006</v>
      </c>
      <c r="B24" s="2306"/>
      <c r="C24" s="2300"/>
      <c r="D24" s="2301"/>
      <c r="E24" s="2301"/>
      <c r="F24" s="2302"/>
    </row>
    <row r="25" spans="1:11" ht="13.5" thickBot="1" x14ac:dyDescent="0.25">
      <c r="A25" s="2307" t="s">
        <v>2007</v>
      </c>
      <c r="B25" s="2308"/>
      <c r="C25" s="1656"/>
      <c r="D25" s="1656"/>
      <c r="E25" s="1656"/>
      <c r="F25" s="1732">
        <f>SUM(C25+D25)-E25</f>
        <v>0</v>
      </c>
      <c r="G25" s="473"/>
    </row>
    <row r="26" spans="1:11" ht="15.75" customHeight="1" thickTop="1" x14ac:dyDescent="0.2">
      <c r="A26" s="2311" t="s">
        <v>652</v>
      </c>
      <c r="B26" s="2306"/>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41710</v>
      </c>
      <c r="C31" s="1734">
        <v>150000</v>
      </c>
      <c r="D31" s="1735">
        <v>1</v>
      </c>
      <c r="E31" s="1734">
        <v>100000</v>
      </c>
      <c r="F31" s="1734"/>
      <c r="G31" s="1734"/>
      <c r="H31" s="1734">
        <v>10000</v>
      </c>
      <c r="I31" s="1736">
        <f>((E31+F31)-H31)+G31</f>
        <v>90000</v>
      </c>
      <c r="J31" s="1734"/>
      <c r="K31" s="596"/>
    </row>
    <row r="32" spans="1:11" ht="12" customHeight="1" x14ac:dyDescent="0.2">
      <c r="A32" s="594" t="s">
        <v>2069</v>
      </c>
      <c r="B32" s="595">
        <v>42416</v>
      </c>
      <c r="C32" s="1734">
        <v>847000</v>
      </c>
      <c r="D32" s="1735">
        <v>1</v>
      </c>
      <c r="E32" s="1734">
        <v>342000</v>
      </c>
      <c r="F32" s="1734"/>
      <c r="G32" s="1734"/>
      <c r="H32" s="1734">
        <v>276000</v>
      </c>
      <c r="I32" s="1736">
        <f>((E32+F32)-H32)+G32</f>
        <v>66000</v>
      </c>
      <c r="J32" s="1734"/>
      <c r="K32" s="596"/>
    </row>
    <row r="33" spans="1:11" ht="12" customHeight="1" x14ac:dyDescent="0.2">
      <c r="A33" s="594" t="s">
        <v>2070</v>
      </c>
      <c r="B33" s="595">
        <v>42562</v>
      </c>
      <c r="C33" s="1734">
        <v>692214</v>
      </c>
      <c r="D33" s="1735">
        <v>7</v>
      </c>
      <c r="E33" s="1734">
        <v>383634</v>
      </c>
      <c r="F33" s="1734"/>
      <c r="G33" s="1734"/>
      <c r="H33" s="1734">
        <v>101364</v>
      </c>
      <c r="I33" s="1736">
        <f t="shared" ref="I33:I48" si="1">((E33+F33)-H33)+G33</f>
        <v>282270</v>
      </c>
      <c r="J33" s="1734">
        <v>200095</v>
      </c>
      <c r="K33" s="596"/>
    </row>
    <row r="34" spans="1:11" ht="12" customHeight="1" x14ac:dyDescent="0.2">
      <c r="A34" s="594" t="s">
        <v>2071</v>
      </c>
      <c r="B34" s="595">
        <v>43584</v>
      </c>
      <c r="C34" s="1734">
        <v>2415000</v>
      </c>
      <c r="D34" s="1735">
        <v>1</v>
      </c>
      <c r="E34" s="1734">
        <v>2415000</v>
      </c>
      <c r="F34" s="1734"/>
      <c r="G34" s="1734"/>
      <c r="H34" s="1734"/>
      <c r="I34" s="1736">
        <f t="shared" si="1"/>
        <v>2415000</v>
      </c>
      <c r="J34" s="1734">
        <v>2415000</v>
      </c>
      <c r="K34" s="597"/>
    </row>
    <row r="35" spans="1:11" ht="12" customHeight="1" x14ac:dyDescent="0.2">
      <c r="A35" s="594" t="s">
        <v>2108</v>
      </c>
      <c r="B35" s="595">
        <v>43801</v>
      </c>
      <c r="C35" s="1737">
        <v>2440000</v>
      </c>
      <c r="D35" s="1735" t="s">
        <v>2072</v>
      </c>
      <c r="E35" s="1737"/>
      <c r="F35" s="1737">
        <v>2440000</v>
      </c>
      <c r="G35" s="1737"/>
      <c r="H35" s="1737"/>
      <c r="I35" s="1736">
        <f t="shared" si="1"/>
        <v>2440000</v>
      </c>
      <c r="J35" s="1737">
        <v>2440000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6544214</v>
      </c>
      <c r="D49" s="1742"/>
      <c r="E49" s="1736">
        <f t="shared" ref="E49:J49" si="2">SUM(E31:E48)</f>
        <v>3240634</v>
      </c>
      <c r="F49" s="1736">
        <f t="shared" si="2"/>
        <v>2440000</v>
      </c>
      <c r="G49" s="1736">
        <f t="shared" si="2"/>
        <v>0</v>
      </c>
      <c r="H49" s="1736">
        <f t="shared" si="2"/>
        <v>387364</v>
      </c>
      <c r="I49" s="1736">
        <f t="shared" si="2"/>
        <v>5293270</v>
      </c>
      <c r="J49" s="1736">
        <f t="shared" si="2"/>
        <v>5055095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8"/>
      <c r="I1" s="614"/>
      <c r="J1" s="400"/>
    </row>
    <row r="2" spans="1:11" ht="26.25" x14ac:dyDescent="0.2">
      <c r="A2" s="2340" t="s">
        <v>1658</v>
      </c>
      <c r="B2" s="2341"/>
      <c r="C2" s="2341"/>
      <c r="D2" s="2341"/>
      <c r="E2" s="2342"/>
      <c r="F2" s="615" t="s">
        <v>898</v>
      </c>
      <c r="G2" s="616" t="s">
        <v>1655</v>
      </c>
      <c r="H2" s="616" t="s">
        <v>407</v>
      </c>
      <c r="I2" s="616" t="s">
        <v>1148</v>
      </c>
      <c r="J2" s="616" t="s">
        <v>1789</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v>1561582</v>
      </c>
      <c r="K3" s="1745"/>
    </row>
    <row r="4" spans="1:11" x14ac:dyDescent="0.2">
      <c r="A4" s="2346" t="s">
        <v>366</v>
      </c>
      <c r="B4" s="2347"/>
      <c r="C4" s="2347"/>
      <c r="D4" s="2347"/>
      <c r="E4" s="2293"/>
      <c r="F4" s="620"/>
      <c r="G4" s="1746"/>
      <c r="H4" s="1747"/>
      <c r="I4" s="1746"/>
      <c r="J4" s="1748"/>
      <c r="K4" s="1748"/>
    </row>
    <row r="5" spans="1:11" x14ac:dyDescent="0.2">
      <c r="A5" s="2324" t="s">
        <v>1060</v>
      </c>
      <c r="B5" s="2325"/>
      <c r="C5" s="2325"/>
      <c r="D5" s="2325"/>
      <c r="E5" s="2326"/>
      <c r="F5" s="622" t="s">
        <v>843</v>
      </c>
      <c r="G5" s="1749"/>
      <c r="H5" s="1744">
        <v>27550</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5934</v>
      </c>
    </row>
    <row r="8" spans="1:11" x14ac:dyDescent="0.2">
      <c r="A8" s="629" t="s">
        <v>342</v>
      </c>
      <c r="B8" s="630"/>
      <c r="C8" s="630"/>
      <c r="D8" s="630"/>
      <c r="E8" s="631"/>
      <c r="F8" s="622" t="s">
        <v>846</v>
      </c>
      <c r="G8" s="1753"/>
      <c r="H8" s="1753"/>
      <c r="I8" s="1753"/>
      <c r="J8" s="1745">
        <v>98006</v>
      </c>
      <c r="K8" s="1748"/>
    </row>
    <row r="9" spans="1:11" x14ac:dyDescent="0.2">
      <c r="A9" s="629" t="s">
        <v>137</v>
      </c>
      <c r="B9" s="630"/>
      <c r="C9" s="630"/>
      <c r="D9" s="630"/>
      <c r="E9" s="631"/>
      <c r="F9" s="628" t="s">
        <v>848</v>
      </c>
      <c r="G9" s="1753"/>
      <c r="H9" s="1749"/>
      <c r="I9" s="1749"/>
      <c r="J9" s="1752"/>
      <c r="K9" s="1745">
        <v>5083</v>
      </c>
    </row>
    <row r="10" spans="1:11" x14ac:dyDescent="0.2">
      <c r="A10" s="2324" t="s">
        <v>1790</v>
      </c>
      <c r="B10" s="2325"/>
      <c r="C10" s="2325"/>
      <c r="D10" s="2325"/>
      <c r="E10" s="2327"/>
      <c r="F10" s="633" t="s">
        <v>857</v>
      </c>
      <c r="G10" s="1753"/>
      <c r="H10" s="1754"/>
      <c r="I10" s="1744"/>
      <c r="J10" s="1745"/>
      <c r="K10" s="1745"/>
    </row>
    <row r="11" spans="1:11" x14ac:dyDescent="0.2">
      <c r="A11" s="2324" t="s">
        <v>159</v>
      </c>
      <c r="B11" s="2325"/>
      <c r="C11" s="2325"/>
      <c r="D11" s="2325"/>
      <c r="E11" s="2326"/>
      <c r="F11" s="622" t="s">
        <v>847</v>
      </c>
      <c r="G11" s="1749"/>
      <c r="H11" s="1744"/>
      <c r="I11" s="1744"/>
      <c r="J11" s="1745"/>
      <c r="K11" s="1751"/>
    </row>
    <row r="12" spans="1:11" ht="13.5" thickBot="1" x14ac:dyDescent="0.25">
      <c r="A12" s="2351" t="s">
        <v>899</v>
      </c>
      <c r="B12" s="2352"/>
      <c r="C12" s="2352"/>
      <c r="D12" s="2352"/>
      <c r="E12" s="2353"/>
      <c r="F12" s="1433"/>
      <c r="G12" s="1755">
        <f>SUM(G5:G11)</f>
        <v>0</v>
      </c>
      <c r="H12" s="1755">
        <f>SUM(H5:H11)</f>
        <v>27550</v>
      </c>
      <c r="I12" s="1755">
        <f>SUM(I5:I11)</f>
        <v>0</v>
      </c>
      <c r="J12" s="1755">
        <f>SUM(J5:J11)</f>
        <v>98006</v>
      </c>
      <c r="K12" s="1755">
        <f>SUM(K5:K11)</f>
        <v>11017</v>
      </c>
    </row>
    <row r="13" spans="1:11" ht="13.5" thickTop="1" x14ac:dyDescent="0.2">
      <c r="A13" s="2348" t="s">
        <v>367</v>
      </c>
      <c r="B13" s="2349"/>
      <c r="C13" s="2349"/>
      <c r="D13" s="2349"/>
      <c r="E13" s="2350"/>
      <c r="F13" s="634"/>
      <c r="G13" s="1756"/>
      <c r="H13" s="1757"/>
      <c r="I13" s="1758"/>
      <c r="J13" s="1758"/>
      <c r="K13" s="1758"/>
    </row>
    <row r="14" spans="1:11" x14ac:dyDescent="0.2">
      <c r="A14" s="2331" t="s">
        <v>453</v>
      </c>
      <c r="B14" s="2331"/>
      <c r="C14" s="2331"/>
      <c r="D14" s="2331"/>
      <c r="E14" s="2332"/>
      <c r="F14" s="635" t="s">
        <v>849</v>
      </c>
      <c r="G14" s="1753"/>
      <c r="H14" s="1744">
        <v>27550</v>
      </c>
      <c r="I14" s="1749"/>
      <c r="J14" s="1751"/>
      <c r="K14" s="1745">
        <v>11017</v>
      </c>
    </row>
    <row r="15" spans="1:11" x14ac:dyDescent="0.2">
      <c r="A15" s="2325" t="s">
        <v>4</v>
      </c>
      <c r="B15" s="2325"/>
      <c r="C15" s="2325"/>
      <c r="D15" s="2325"/>
      <c r="E15" s="2326"/>
      <c r="F15" s="635" t="s">
        <v>850</v>
      </c>
      <c r="G15" s="1749"/>
      <c r="H15" s="1744"/>
      <c r="I15" s="1744"/>
      <c r="J15" s="1745">
        <v>1659588</v>
      </c>
      <c r="K15" s="1745"/>
    </row>
    <row r="16" spans="1:11" x14ac:dyDescent="0.2">
      <c r="A16" s="2325" t="s">
        <v>295</v>
      </c>
      <c r="B16" s="2325"/>
      <c r="C16" s="2325"/>
      <c r="D16" s="2325"/>
      <c r="E16" s="2326"/>
      <c r="F16" s="635" t="s">
        <v>917</v>
      </c>
      <c r="G16" s="1750"/>
      <c r="H16" s="1746"/>
      <c r="I16" s="1746"/>
      <c r="J16" s="1748"/>
      <c r="K16" s="1748"/>
    </row>
    <row r="17" spans="1:15" x14ac:dyDescent="0.2">
      <c r="A17" s="2358" t="s">
        <v>929</v>
      </c>
      <c r="B17" s="2358"/>
      <c r="C17" s="2358"/>
      <c r="D17" s="2358"/>
      <c r="E17" s="2359"/>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33" t="s">
        <v>1786</v>
      </c>
      <c r="B19" s="2333"/>
      <c r="C19" s="2333"/>
      <c r="D19" s="2333"/>
      <c r="E19" s="2334"/>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54" t="s">
        <v>633</v>
      </c>
      <c r="B21" s="2354"/>
      <c r="C21" s="2354"/>
      <c r="D21" s="2354"/>
      <c r="E21" s="2354"/>
      <c r="F21" s="1434"/>
      <c r="G21" s="1760"/>
      <c r="H21" s="1764"/>
      <c r="I21" s="1764"/>
      <c r="J21" s="1765">
        <f>SUM(J18:J20)</f>
        <v>0</v>
      </c>
      <c r="K21" s="1761"/>
    </row>
    <row r="22" spans="1:15" ht="13.5" thickTop="1" x14ac:dyDescent="0.2">
      <c r="A22" s="2325" t="s">
        <v>1792</v>
      </c>
      <c r="B22" s="2325"/>
      <c r="C22" s="2325"/>
      <c r="D22" s="2325"/>
      <c r="E22" s="2326"/>
      <c r="F22" s="635" t="s">
        <v>857</v>
      </c>
      <c r="G22" s="1753"/>
      <c r="H22" s="1744"/>
      <c r="I22" s="1744"/>
      <c r="J22" s="1766"/>
      <c r="K22" s="1745"/>
    </row>
    <row r="23" spans="1:15" ht="13.5" thickBot="1" x14ac:dyDescent="0.25">
      <c r="A23" s="2355" t="s">
        <v>900</v>
      </c>
      <c r="B23" s="2354"/>
      <c r="C23" s="2354"/>
      <c r="D23" s="2354"/>
      <c r="E23" s="2354"/>
      <c r="F23" s="1436"/>
      <c r="G23" s="1755">
        <f>SUM(G14:G16,G21,G22)</f>
        <v>0</v>
      </c>
      <c r="H23" s="1755">
        <f>SUM(H14:H16,H21,H22)</f>
        <v>27550</v>
      </c>
      <c r="I23" s="1755">
        <f>SUM(I14:I16,I21,I22)</f>
        <v>0</v>
      </c>
      <c r="J23" s="1755">
        <f>SUM(J14:J16,J21,J22)</f>
        <v>1659588</v>
      </c>
      <c r="K23" s="1755">
        <f>SUM(K14:K16,K21,K22)</f>
        <v>11017</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1159</v>
      </c>
      <c r="B33" s="341"/>
      <c r="C33" s="341"/>
      <c r="D33" s="341"/>
      <c r="E33" s="341"/>
      <c r="F33" s="341"/>
      <c r="G33" s="653"/>
      <c r="H33" s="2330"/>
      <c r="I33" s="2329"/>
      <c r="J33" s="2329"/>
      <c r="K33" s="232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4" activeCellId="1" sqref="L12 L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19178</v>
      </c>
      <c r="D5" s="1770"/>
      <c r="E5" s="1770"/>
      <c r="F5" s="1765">
        <f>(C5+D5)-E5</f>
        <v>19178</v>
      </c>
      <c r="G5" s="676"/>
      <c r="H5" s="680"/>
      <c r="I5" s="680"/>
      <c r="J5" s="680"/>
      <c r="K5" s="637"/>
      <c r="L5" s="1442">
        <f>F5-K5</f>
        <v>19178</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5791133</v>
      </c>
      <c r="D8" s="1771">
        <v>4434328</v>
      </c>
      <c r="E8" s="1771"/>
      <c r="F8" s="1765">
        <f>(C8+D8)-E8</f>
        <v>10225461</v>
      </c>
      <c r="G8" s="681">
        <v>50</v>
      </c>
      <c r="H8" s="619">
        <v>3568001</v>
      </c>
      <c r="I8" s="619">
        <v>178174</v>
      </c>
      <c r="J8" s="619"/>
      <c r="K8" s="1442">
        <f>(H8+I8)-J8</f>
        <v>3746175</v>
      </c>
      <c r="L8" s="1442">
        <f>F8-K8</f>
        <v>6479286</v>
      </c>
    </row>
    <row r="9" spans="1:14" ht="14.25" thickTop="1" thickBot="1" x14ac:dyDescent="0.25">
      <c r="A9" s="629" t="s">
        <v>1109</v>
      </c>
      <c r="B9" s="679">
        <v>232</v>
      </c>
      <c r="C9" s="1745">
        <v>95565</v>
      </c>
      <c r="D9" s="1745"/>
      <c r="E9" s="1745"/>
      <c r="F9" s="1765">
        <f>(C9+D9)-E9</f>
        <v>95565</v>
      </c>
      <c r="G9" s="681">
        <v>20</v>
      </c>
      <c r="H9" s="619">
        <v>33130</v>
      </c>
      <c r="I9" s="619">
        <v>3823</v>
      </c>
      <c r="J9" s="619"/>
      <c r="K9" s="1442">
        <f>(H9+I9)-J9</f>
        <v>36953</v>
      </c>
      <c r="L9" s="1442">
        <f>F9-K9</f>
        <v>58612</v>
      </c>
    </row>
    <row r="10" spans="1:14" ht="24" thickTop="1" thickBot="1" x14ac:dyDescent="0.25">
      <c r="A10" s="682" t="s">
        <v>1110</v>
      </c>
      <c r="B10" s="679">
        <v>240</v>
      </c>
      <c r="C10" s="1772">
        <v>179269</v>
      </c>
      <c r="D10" s="1772">
        <v>1122679</v>
      </c>
      <c r="E10" s="1772"/>
      <c r="F10" s="1773">
        <f>(C10+D10)-E10</f>
        <v>1301948</v>
      </c>
      <c r="G10" s="681">
        <v>20</v>
      </c>
      <c r="H10" s="683">
        <v>153708</v>
      </c>
      <c r="I10" s="683">
        <v>59373</v>
      </c>
      <c r="J10" s="683"/>
      <c r="K10" s="1442">
        <f>(H10+I10)-J10</f>
        <v>213081</v>
      </c>
      <c r="L10" s="1442">
        <f>F10-K10</f>
        <v>1088867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1240726</v>
      </c>
      <c r="D12" s="1771">
        <v>47971</v>
      </c>
      <c r="E12" s="1771"/>
      <c r="F12" s="1765">
        <f>(C12+D12)-E12</f>
        <v>1288697</v>
      </c>
      <c r="G12" s="681">
        <v>10</v>
      </c>
      <c r="H12" s="619">
        <v>992383</v>
      </c>
      <c r="I12" s="619">
        <v>52509</v>
      </c>
      <c r="J12" s="619"/>
      <c r="K12" s="1442">
        <f>(H12+I12)-J12</f>
        <v>1044892</v>
      </c>
      <c r="L12" s="1442">
        <f>F12-K12</f>
        <v>243805</v>
      </c>
    </row>
    <row r="13" spans="1:14" ht="14.25" thickTop="1" thickBot="1" x14ac:dyDescent="0.25">
      <c r="A13" s="684" t="s">
        <v>1112</v>
      </c>
      <c r="B13" s="679">
        <v>252</v>
      </c>
      <c r="C13" s="1771">
        <v>822421</v>
      </c>
      <c r="D13" s="1771">
        <v>76126</v>
      </c>
      <c r="E13" s="1771"/>
      <c r="F13" s="1765">
        <f>(C13+D13)-E13</f>
        <v>898547</v>
      </c>
      <c r="G13" s="681">
        <v>5</v>
      </c>
      <c r="H13" s="619">
        <v>244888</v>
      </c>
      <c r="I13" s="619">
        <v>134470</v>
      </c>
      <c r="J13" s="619"/>
      <c r="K13" s="1442">
        <f>(H13+I13)-J13</f>
        <v>379358</v>
      </c>
      <c r="L13" s="1442">
        <f>F13-K13</f>
        <v>519189</v>
      </c>
    </row>
    <row r="14" spans="1:14" ht="14.25" thickTop="1" thickBot="1" x14ac:dyDescent="0.25">
      <c r="A14" s="684" t="s">
        <v>1113</v>
      </c>
      <c r="B14" s="679">
        <v>253</v>
      </c>
      <c r="C14" s="1745">
        <v>22510</v>
      </c>
      <c r="D14" s="1745"/>
      <c r="E14" s="1745"/>
      <c r="F14" s="1765">
        <f>(C14+D14)-E14</f>
        <v>22510</v>
      </c>
      <c r="G14" s="681">
        <v>3</v>
      </c>
      <c r="H14" s="619">
        <v>22510</v>
      </c>
      <c r="I14" s="619"/>
      <c r="J14" s="619"/>
      <c r="K14" s="1442">
        <f>(H14+I14)-J14</f>
        <v>22510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8170802</v>
      </c>
      <c r="D16" s="1765">
        <f>SUM(D3,D5:D6,D8:D10,D12:D15)</f>
        <v>5681104</v>
      </c>
      <c r="E16" s="1765">
        <f>SUM(E3,E5:E6,E8:E10,E12:E15)</f>
        <v>0</v>
      </c>
      <c r="F16" s="1765">
        <f>SUM(F3,F5:F6,F8:F10,F12:F15)</f>
        <v>13851906</v>
      </c>
      <c r="G16" s="681"/>
      <c r="H16" s="1435">
        <f>SUM(H3,H6,H8:H10,H12:H14,)</f>
        <v>5014620</v>
      </c>
      <c r="I16" s="1435">
        <f>SUM(I3,I6,I8:I10,I12:I14,)</f>
        <v>428349</v>
      </c>
      <c r="J16" s="1435">
        <f>SUM(J3,J6,J8:J10,J12:J14,)</f>
        <v>0</v>
      </c>
      <c r="K16" s="1435">
        <f>(H16+I16)-J16</f>
        <v>5442969</v>
      </c>
      <c r="L16" s="1435">
        <f>F16-K16</f>
        <v>8408937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428349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4801737</v>
      </c>
      <c r="G8" s="701"/>
    </row>
    <row r="9" spans="1:9" x14ac:dyDescent="0.2">
      <c r="A9" s="705" t="s">
        <v>457</v>
      </c>
      <c r="B9" s="706" t="s">
        <v>1848</v>
      </c>
      <c r="C9" s="707"/>
      <c r="D9" s="705" t="s">
        <v>498</v>
      </c>
      <c r="E9" s="704"/>
      <c r="F9" s="1775">
        <f>'Expenditures 15-22'!K151</f>
        <v>385735</v>
      </c>
      <c r="G9" s="708"/>
    </row>
    <row r="10" spans="1:9" x14ac:dyDescent="0.2">
      <c r="A10" s="705" t="s">
        <v>496</v>
      </c>
      <c r="B10" s="706" t="s">
        <v>1849</v>
      </c>
      <c r="C10" s="707"/>
      <c r="D10" s="705" t="s">
        <v>498</v>
      </c>
      <c r="E10" s="704"/>
      <c r="F10" s="1775">
        <f>'Expenditures 15-22'!K174</f>
        <v>394781</v>
      </c>
      <c r="G10" s="708"/>
    </row>
    <row r="11" spans="1:9" x14ac:dyDescent="0.2">
      <c r="A11" s="705" t="s">
        <v>458</v>
      </c>
      <c r="B11" s="706" t="s">
        <v>1850</v>
      </c>
      <c r="C11" s="707"/>
      <c r="D11" s="705" t="s">
        <v>498</v>
      </c>
      <c r="E11" s="704"/>
      <c r="F11" s="1775">
        <f>'Expenditures 15-22'!K210</f>
        <v>407876</v>
      </c>
      <c r="G11" s="708"/>
    </row>
    <row r="12" spans="1:9" x14ac:dyDescent="0.2">
      <c r="A12" s="705" t="s">
        <v>459</v>
      </c>
      <c r="B12" s="706" t="s">
        <v>1851</v>
      </c>
      <c r="C12" s="707"/>
      <c r="D12" s="705" t="s">
        <v>498</v>
      </c>
      <c r="E12" s="704"/>
      <c r="F12" s="1775">
        <f>'Expenditures 15-22'!K295</f>
        <v>200213</v>
      </c>
      <c r="G12" s="708"/>
    </row>
    <row r="13" spans="1:9" x14ac:dyDescent="0.2">
      <c r="A13" s="705" t="s">
        <v>106</v>
      </c>
      <c r="B13" s="706" t="s">
        <v>1852</v>
      </c>
      <c r="C13" s="707"/>
      <c r="D13" s="705" t="s">
        <v>498</v>
      </c>
      <c r="E13" s="704"/>
      <c r="F13" s="1775">
        <f>'Expenditures 15-22'!K342</f>
        <v>472063</v>
      </c>
      <c r="G13" s="709"/>
    </row>
    <row r="14" spans="1:9" ht="12" customHeight="1" thickBot="1" x14ac:dyDescent="0.25">
      <c r="A14" s="1443"/>
      <c r="B14" s="1444"/>
      <c r="C14" s="1445"/>
      <c r="D14" s="1446" t="s">
        <v>498</v>
      </c>
      <c r="E14" s="1447" t="s">
        <v>952</v>
      </c>
      <c r="F14" s="1776">
        <f>SUM(F8:F13)</f>
        <v>6662405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2720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209322</v>
      </c>
      <c r="G53" s="701"/>
    </row>
    <row r="54" spans="1:7" x14ac:dyDescent="0.2">
      <c r="A54" s="705" t="s">
        <v>456</v>
      </c>
      <c r="B54" s="705" t="s">
        <v>1459</v>
      </c>
      <c r="C54" s="724" t="s">
        <v>975</v>
      </c>
      <c r="D54" s="720" t="s">
        <v>1086</v>
      </c>
      <c r="E54" s="704"/>
      <c r="F54" s="1782">
        <f>'Expenditures 15-22'!G114</f>
        <v>47971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286000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101364</v>
      </c>
      <c r="G64" s="701"/>
    </row>
    <row r="65" spans="1:9" x14ac:dyDescent="0.2">
      <c r="A65" s="705" t="s">
        <v>458</v>
      </c>
      <c r="B65" s="705" t="s">
        <v>1861</v>
      </c>
      <c r="C65" s="721" t="s">
        <v>975</v>
      </c>
      <c r="D65" s="720" t="s">
        <v>1086</v>
      </c>
      <c r="E65" s="704"/>
      <c r="F65" s="1782">
        <f>'Expenditures 15-22'!G210</f>
        <v>76126</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14200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737703</v>
      </c>
      <c r="G77" s="701"/>
    </row>
    <row r="78" spans="1:9" s="728" customFormat="1" ht="12" customHeight="1" thickTop="1" thickBot="1" x14ac:dyDescent="0.25">
      <c r="A78" s="1450"/>
      <c r="B78" s="1448"/>
      <c r="C78" s="1445"/>
      <c r="D78" s="1449" t="s">
        <v>2012</v>
      </c>
      <c r="E78" s="1447"/>
      <c r="F78" s="1788">
        <f>(F14-F77)</f>
        <v>5924702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588.70000000000005</v>
      </c>
      <c r="G79" s="733"/>
      <c r="H79" s="705"/>
      <c r="I79" s="705"/>
    </row>
    <row r="80" spans="1:9" s="728" customFormat="1" ht="12" customHeight="1" thickBot="1" x14ac:dyDescent="0.25">
      <c r="A80" s="1452"/>
      <c r="B80" s="1448"/>
      <c r="C80" s="1445"/>
      <c r="D80" s="1449" t="s">
        <v>2013</v>
      </c>
      <c r="E80" s="1447" t="s">
        <v>952</v>
      </c>
      <c r="F80" s="1790">
        <f>IF(F79&gt;0,F78/F79," Complete Line 79")</f>
        <v>10064.042806183115</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556</v>
      </c>
      <c r="G85" s="745"/>
    </row>
    <row r="86" spans="1:7" x14ac:dyDescent="0.2">
      <c r="A86" s="741" t="s">
        <v>458</v>
      </c>
      <c r="B86" s="741" t="s">
        <v>182</v>
      </c>
      <c r="C86" s="746">
        <f>'Revenues 9-14'!B44</f>
        <v>1413</v>
      </c>
      <c r="D86" s="744" t="str">
        <f>'Revenues 9-14'!A44</f>
        <v>Regular - Transp Fees from Other Sources (In State)</v>
      </c>
      <c r="E86" s="739"/>
      <c r="F86" s="1793">
        <f>'Revenues 9-14'!F44</f>
        <v>7873</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1560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30941</v>
      </c>
      <c r="G95" s="745"/>
    </row>
    <row r="96" spans="1:7" x14ac:dyDescent="0.2">
      <c r="A96" s="741" t="s">
        <v>139</v>
      </c>
      <c r="B96" s="741" t="s">
        <v>174</v>
      </c>
      <c r="C96" s="743">
        <v>1700</v>
      </c>
      <c r="D96" s="751" t="str">
        <f>'Revenues 9-14'!A82</f>
        <v>Total District/School Activity Income</v>
      </c>
      <c r="E96" s="739"/>
      <c r="F96" s="1793">
        <f>SUM('Revenues 9-14'!C82,'Revenues 9-14'!D82)</f>
        <v>124225</v>
      </c>
      <c r="G96" s="745"/>
    </row>
    <row r="97" spans="1:7" x14ac:dyDescent="0.2">
      <c r="A97" s="741" t="s">
        <v>456</v>
      </c>
      <c r="B97" s="741" t="s">
        <v>175</v>
      </c>
      <c r="C97" s="743">
        <f>'Revenues 9-14'!B84</f>
        <v>1811</v>
      </c>
      <c r="D97" s="744" t="str">
        <f>'Revenues 9-14'!A84</f>
        <v>Rentals - Regular Textbooks</v>
      </c>
      <c r="E97" s="739"/>
      <c r="F97" s="1793">
        <f>'Revenues 9-14'!C84</f>
        <v>45916</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810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53279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13636</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1461</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5083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190245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49940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125624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76504</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13996</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17279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15757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38203</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58252</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214261</v>
      </c>
      <c r="G172" s="760"/>
    </row>
    <row r="173" spans="1:7" x14ac:dyDescent="0.2">
      <c r="A173" s="1529" t="s">
        <v>659</v>
      </c>
      <c r="B173" s="1530" t="s">
        <v>1885</v>
      </c>
      <c r="C173" s="1531">
        <v>3300</v>
      </c>
      <c r="D173" s="1532" t="s">
        <v>1888</v>
      </c>
      <c r="E173" s="739"/>
      <c r="F173" s="1794">
        <v>303</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1086454</v>
      </c>
    </row>
    <row r="176" spans="1:7" ht="12" customHeight="1" x14ac:dyDescent="0.2">
      <c r="A176" s="1443"/>
      <c r="B176" s="1453"/>
      <c r="C176" s="1454"/>
      <c r="D176" s="1455" t="s">
        <v>2014</v>
      </c>
      <c r="E176" s="1456"/>
      <c r="F176" s="1793">
        <f>'PCTC-OEPP 27-28'!F78-F175</f>
        <v>4838248</v>
      </c>
    </row>
    <row r="177" spans="1:9" ht="12" customHeight="1" x14ac:dyDescent="0.2">
      <c r="A177" s="1443"/>
      <c r="B177" s="1453"/>
      <c r="C177" s="1454"/>
      <c r="D177" s="1455" t="s">
        <v>1794</v>
      </c>
      <c r="E177" s="1456"/>
      <c r="F177" s="1793">
        <f>'Cap Outlay Deprec 26'!I18</f>
        <v>428349</v>
      </c>
    </row>
    <row r="178" spans="1:9" ht="12" customHeight="1" x14ac:dyDescent="0.2">
      <c r="A178" s="1443"/>
      <c r="B178" s="1453"/>
      <c r="C178" s="1454"/>
      <c r="D178" s="1455" t="s">
        <v>2015</v>
      </c>
      <c r="E178" s="1456"/>
      <c r="F178" s="1793">
        <f>F176+F177</f>
        <v>5266597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588.70000000000005</v>
      </c>
      <c r="G179" s="763"/>
      <c r="I179" s="701"/>
    </row>
    <row r="180" spans="1:9" ht="12" customHeight="1" thickBot="1" x14ac:dyDescent="0.25">
      <c r="A180" s="1443"/>
      <c r="B180" s="1457"/>
      <c r="C180" s="1454"/>
      <c r="D180" s="1455" t="s">
        <v>2017</v>
      </c>
      <c r="E180" s="1456" t="s">
        <v>1528</v>
      </c>
      <c r="F180" s="1798">
        <f>F178/F179</f>
        <v>8946.1474435196196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2073</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8" sqref="E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3539802</v>
      </c>
      <c r="F19" s="1802"/>
      <c r="G19" s="1804">
        <f>'Expenditures 15-22'!K33-SUM('Expenditures 15-22'!G33,'Expenditures 15-22'!I33)+'Expenditures 15-22'!D229</f>
        <v>3539802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192234</v>
      </c>
      <c r="F21" s="1805"/>
      <c r="G21" s="1808">
        <f>'Expenditures 15-22'!K42-SUM('Expenditures 15-22'!G42,'Expenditures 15-22'!I42)+'Expenditures 15-22'!K120-SUM('Expenditures 15-22'!G120,'Expenditures 15-22'!I120)+'Expenditures 15-22'!K180-SUM('Expenditures 15-22'!G180,'Expenditures 15-22'!I180)+'Expenditures 15-22'!D238</f>
        <v>192234</v>
      </c>
      <c r="H21" s="817"/>
      <c r="I21" s="157"/>
    </row>
    <row r="22" spans="1:9" s="542" customFormat="1" ht="12" customHeight="1" x14ac:dyDescent="0.2">
      <c r="A22" s="824" t="s">
        <v>560</v>
      </c>
      <c r="B22" s="825"/>
      <c r="C22" s="823">
        <v>2200</v>
      </c>
      <c r="D22" s="1805"/>
      <c r="E22" s="1807">
        <f>'Expenditures 15-22'!K47-SUM('Expenditures 15-22'!G47,'Expenditures 15-22'!I47)+'Expenditures 15-22'!D243</f>
        <v>200467</v>
      </c>
      <c r="F22" s="1805"/>
      <c r="G22" s="1808">
        <f>'Expenditures 15-22'!K47-SUM('Expenditures 15-22'!G47,'Expenditures 15-22'!I47)+'Expenditures 15-22'!D243</f>
        <v>200467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613667</v>
      </c>
      <c r="F23" s="1805"/>
      <c r="G23" s="1807">
        <f>'Expenditures 15-22'!K53-SUM('Expenditures 15-22'!G53,'Expenditures 15-22'!I53)+'Expenditures 15-22'!D257+'Expenditures 15-22'!K330-SUM('Expenditures 15-22'!G330,'Expenditures 15-22'!I330)</f>
        <v>613667</v>
      </c>
      <c r="H23" s="817"/>
      <c r="I23" s="157"/>
    </row>
    <row r="24" spans="1:9" s="542" customFormat="1" ht="12" customHeight="1" x14ac:dyDescent="0.2">
      <c r="A24" s="824" t="s">
        <v>562</v>
      </c>
      <c r="B24" s="825"/>
      <c r="C24" s="823">
        <v>2400</v>
      </c>
      <c r="D24" s="1805"/>
      <c r="E24" s="1807">
        <f>'Expenditures 15-22'!K57-SUM('Expenditures 15-22'!G57,'Expenditures 15-22'!I57)+'Expenditures 15-22'!D261</f>
        <v>319307</v>
      </c>
      <c r="F24" s="1805"/>
      <c r="G24" s="1808">
        <f>'Expenditures 15-22'!K57-SUM('Expenditures 15-22'!G57,'Expenditures 15-22'!I57)+'Expenditures 15-22'!D261</f>
        <v>319307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99621</v>
      </c>
      <c r="E27" s="1807">
        <f>E8</f>
        <v>0</v>
      </c>
      <c r="F27" s="1807">
        <f>'Expenditures 15-22'!K60-SUM('Expenditures 15-22'!G60,'Expenditures 15-22'!I60)+'Expenditures 15-22'!D264-E8</f>
        <v>99621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417252</v>
      </c>
      <c r="F28" s="1809">
        <f>'Expenditures 15-22'!K61-SUM('Expenditures 15-22'!G61,'Expenditures 15-22'!I61)+'Expenditures 15-22'!K124-SUM('Expenditures 15-22'!G124,'Expenditures 15-22'!I124)+'Expenditures 15-22'!D266-E9</f>
        <v>417252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256763</v>
      </c>
      <c r="F29" s="1805"/>
      <c r="G29" s="1808">
        <f>'Expenditures 15-22'!K62-SUM('Expenditures 15-22'!G62,'Expenditures 15-22'!I62)+'Expenditures 15-22'!K125-SUM('Expenditures 15-22'!G125,'Expenditures 15-22'!I125)+'Expenditures 15-22'!K182-SUM('Expenditures 15-22'!G182,'Expenditures 15-22'!I182)+'Expenditures 15-22'!D267</f>
        <v>256763</v>
      </c>
      <c r="H29" s="815"/>
    </row>
    <row r="30" spans="1:9" ht="12" customHeight="1" x14ac:dyDescent="0.2">
      <c r="A30" s="824" t="s">
        <v>100</v>
      </c>
      <c r="B30" s="827"/>
      <c r="C30" s="823">
        <v>2560</v>
      </c>
      <c r="D30" s="1805"/>
      <c r="E30" s="1807">
        <f>'Expenditures 15-22'!K63-SUM('Expenditures 15-22'!G63,'Expenditures 15-22'!I63)+'Expenditures 15-22'!D268-E10</f>
        <v>179528</v>
      </c>
      <c r="F30" s="1805"/>
      <c r="G30" s="1807">
        <f>'Expenditures 15-22'!K63-SUM('Expenditures 15-22'!G63,'Expenditures 15-22'!I63)+'Expenditures 15-22'!D268-E10</f>
        <v>179528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99621</v>
      </c>
      <c r="E41" s="1809">
        <f>SUM(E19:E40)</f>
        <v>5719020</v>
      </c>
      <c r="F41" s="1809">
        <f>SUM(F19:F39)</f>
        <v>516873</v>
      </c>
      <c r="G41" s="1809">
        <f>SUM(G19:G40)</f>
        <v>5301768</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99621</v>
      </c>
      <c r="F43" s="1458" t="s">
        <v>470</v>
      </c>
      <c r="G43" s="1810">
        <f>F41</f>
        <v>516873</v>
      </c>
    </row>
    <row r="44" spans="1:7" ht="12" customHeight="1" x14ac:dyDescent="0.2">
      <c r="A44" s="817"/>
      <c r="B44" s="157"/>
      <c r="C44" s="831"/>
      <c r="D44" s="1458" t="s">
        <v>471</v>
      </c>
      <c r="E44" s="1810">
        <f>E41</f>
        <v>5719020</v>
      </c>
      <c r="F44" s="1458" t="s">
        <v>471</v>
      </c>
      <c r="G44" s="1810">
        <f>G41</f>
        <v>5301768</v>
      </c>
    </row>
    <row r="45" spans="1:7" ht="12" customHeight="1" x14ac:dyDescent="0.2">
      <c r="A45" s="817"/>
      <c r="B45" s="157"/>
      <c r="C45" s="157"/>
      <c r="D45" s="1459" t="s">
        <v>999</v>
      </c>
      <c r="E45" s="1811">
        <f>(E43/E44)</f>
        <v>1.7419243157044389E-2</v>
      </c>
      <c r="F45" s="1459" t="s">
        <v>999</v>
      </c>
      <c r="G45" s="1811">
        <f>(G43/G44)</f>
        <v>9.7490686125835765E-2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1363</v>
      </c>
      <c r="B1" s="2413"/>
      <c r="C1" s="2413"/>
      <c r="D1" s="2413"/>
      <c r="E1" s="2413"/>
      <c r="F1" s="241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1529</v>
      </c>
      <c r="B5" s="2415"/>
      <c r="C5" s="2416"/>
      <c r="D5" s="2416"/>
      <c r="E5" s="2416"/>
      <c r="F5" s="2416"/>
      <c r="G5" s="1507"/>
      <c r="L5" s="1507"/>
      <c r="M5" s="1855"/>
      <c r="N5" s="1855"/>
      <c r="O5" s="1855"/>
    </row>
    <row r="6" spans="1:15" ht="12" customHeight="1" x14ac:dyDescent="0.25">
      <c r="A6" s="1480"/>
      <c r="B6" s="1481"/>
      <c r="C6" s="2417" t="str">
        <f>COVER!A17</f>
        <v xml:space="preserve">  Villa Grove CUSD 302</v>
      </c>
      <c r="D6" s="2417"/>
      <c r="E6" s="2417"/>
      <c r="F6" s="1482"/>
      <c r="G6" s="1507"/>
      <c r="L6" s="1507"/>
      <c r="M6" s="1855"/>
      <c r="N6" s="1855"/>
      <c r="O6" s="1855"/>
    </row>
    <row r="7" spans="1:15" ht="11.25" customHeight="1" thickBot="1" x14ac:dyDescent="0.3">
      <c r="A7" s="1480"/>
      <c r="B7" s="1481"/>
      <c r="C7" s="2418">
        <f>COVER!A13</f>
        <v>11021302026</v>
      </c>
      <c r="D7" s="2418"/>
      <c r="E7" s="241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2074</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1375</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9" t="str">
        <f>COVER!A17</f>
        <v xml:space="preserve">  Villa Grove CUSD 302</v>
      </c>
      <c r="K6" s="2439"/>
      <c r="L6" s="2453"/>
      <c r="M6" s="838"/>
      <c r="N6" s="1999"/>
    </row>
    <row r="7" spans="1:14" x14ac:dyDescent="0.2">
      <c r="A7" s="2454" t="s">
        <v>864</v>
      </c>
      <c r="B7" s="2455"/>
      <c r="C7" s="2455"/>
      <c r="D7" s="2455"/>
      <c r="E7" s="2456"/>
      <c r="F7" s="839"/>
      <c r="G7" s="838"/>
      <c r="H7" s="838"/>
      <c r="I7" s="1925" t="s">
        <v>369</v>
      </c>
      <c r="J7" s="2441">
        <f>COVER!A13</f>
        <v>11021302026</v>
      </c>
      <c r="K7" s="2441"/>
      <c r="L7" s="2441"/>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7" t="s">
        <v>478</v>
      </c>
      <c r="B11" s="2458"/>
      <c r="C11" s="245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72359</v>
      </c>
      <c r="F12" s="1943"/>
      <c r="G12" s="1969">
        <f>G68</f>
        <v>18206</v>
      </c>
      <c r="H12" s="1945">
        <f t="shared" ref="H12:H18" si="0">SUM(E12:G12)</f>
        <v>90565</v>
      </c>
      <c r="I12" s="1944">
        <v>146410</v>
      </c>
      <c r="J12" s="1943"/>
      <c r="K12" s="1944"/>
      <c r="L12" s="1945">
        <f t="shared" ref="L12:L18" si="1">SUM(I12:K12)</f>
        <v>146410</v>
      </c>
      <c r="M12" s="838"/>
      <c r="N12" s="1999"/>
    </row>
    <row r="13" spans="1:14" x14ac:dyDescent="0.2">
      <c r="A13" s="2004">
        <v>2</v>
      </c>
      <c r="B13" s="1941" t="s">
        <v>42</v>
      </c>
      <c r="C13" s="842"/>
      <c r="D13" s="1942">
        <v>2330</v>
      </c>
      <c r="E13" s="1945">
        <f>'Expenditures 15-22'!K51</f>
        <v>9224</v>
      </c>
      <c r="F13" s="1943"/>
      <c r="G13" s="1969">
        <f>H68</f>
        <v>0</v>
      </c>
      <c r="H13" s="1945">
        <f t="shared" si="0"/>
        <v>9224</v>
      </c>
      <c r="I13" s="1944">
        <v>10000</v>
      </c>
      <c r="J13" s="1943"/>
      <c r="K13" s="1944"/>
      <c r="L13" s="1945">
        <f t="shared" si="1"/>
        <v>10000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0" t="s">
        <v>7</v>
      </c>
      <c r="C18" s="2461"/>
      <c r="D18" s="246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81583</v>
      </c>
      <c r="F19" s="1951">
        <f t="shared" si="2"/>
        <v>0</v>
      </c>
      <c r="G19" s="1951">
        <f t="shared" ref="G19" si="3">SUM(G12:G17)-G18</f>
        <v>18206</v>
      </c>
      <c r="H19" s="1951">
        <f t="shared" si="2"/>
        <v>99789</v>
      </c>
      <c r="I19" s="1951">
        <f t="shared" si="2"/>
        <v>156410</v>
      </c>
      <c r="J19" s="1951">
        <f t="shared" si="2"/>
        <v>0</v>
      </c>
      <c r="K19" s="1951">
        <f t="shared" si="2"/>
        <v>0</v>
      </c>
      <c r="L19" s="1951">
        <f t="shared" si="2"/>
        <v>156410</v>
      </c>
      <c r="M19" s="838"/>
      <c r="N19" s="1999"/>
    </row>
    <row r="20" spans="1:14" ht="13.5" thickTop="1" x14ac:dyDescent="0.2">
      <c r="A20" s="2004">
        <v>9</v>
      </c>
      <c r="B20" s="2463" t="s">
        <v>2021</v>
      </c>
      <c r="C20" s="2463"/>
      <c r="D20" s="2464"/>
      <c r="E20" s="1952"/>
      <c r="F20" s="1952"/>
      <c r="G20" s="1952"/>
      <c r="H20" s="1952"/>
      <c r="I20" s="1952"/>
      <c r="J20" s="1952"/>
      <c r="K20" s="1952"/>
      <c r="L20" s="1953">
        <f>IF(AND(H19&gt;0,L19&gt;0),(((L19-H19)/H19)),"Enter Budget Data")</f>
        <v>0.56740722925372533</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5"/>
      <c r="D27" s="2465"/>
      <c r="E27" s="843"/>
      <c r="F27" s="2466"/>
      <c r="G27" s="2466"/>
      <c r="H27" s="2466"/>
      <c r="I27" s="838"/>
      <c r="J27" s="838"/>
      <c r="K27" s="838"/>
      <c r="L27" s="838"/>
      <c r="M27" s="838"/>
      <c r="N27" s="1999"/>
    </row>
    <row r="28" spans="1:14" x14ac:dyDescent="0.2">
      <c r="A28" s="1998"/>
      <c r="B28" s="2008"/>
      <c r="C28" s="1958" t="s">
        <v>1026</v>
      </c>
      <c r="D28" s="844"/>
      <c r="E28" s="1959"/>
      <c r="F28" s="2467" t="s">
        <v>1492</v>
      </c>
      <c r="G28" s="2467"/>
      <c r="H28" s="2467"/>
      <c r="I28" s="838"/>
      <c r="J28" s="838"/>
      <c r="K28" s="838"/>
      <c r="L28" s="838"/>
      <c r="M28" s="838"/>
      <c r="N28" s="1999"/>
    </row>
    <row r="29" spans="1:14" x14ac:dyDescent="0.2">
      <c r="A29" s="1998"/>
      <c r="B29" s="2008"/>
      <c r="C29" s="2468"/>
      <c r="D29" s="2468"/>
      <c r="E29" s="845"/>
      <c r="F29" s="2468"/>
      <c r="G29" s="2468"/>
      <c r="H29" s="2468"/>
      <c r="I29" s="838"/>
      <c r="J29" s="838"/>
      <c r="K29" s="838"/>
      <c r="L29" s="838"/>
      <c r="M29" s="838"/>
      <c r="N29" s="1999"/>
    </row>
    <row r="30" spans="1:14" x14ac:dyDescent="0.2">
      <c r="A30" s="1998"/>
      <c r="B30" s="2008"/>
      <c r="C30" s="1961" t="s">
        <v>1544</v>
      </c>
      <c r="D30" s="838"/>
      <c r="E30" s="1960"/>
      <c r="F30" s="2452" t="s">
        <v>1493</v>
      </c>
      <c r="G30" s="2452"/>
      <c r="H30" s="245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9" t="s">
        <v>2024</v>
      </c>
      <c r="D34" s="2430"/>
      <c r="E34" s="2430"/>
      <c r="F34" s="2430"/>
      <c r="G34" s="2430"/>
      <c r="H34" s="2430"/>
      <c r="I34" s="2430"/>
      <c r="J34" s="2430"/>
      <c r="K34" s="2017"/>
      <c r="L34" s="838"/>
      <c r="M34" s="838"/>
      <c r="N34" s="1999"/>
    </row>
    <row r="35" spans="1:14" x14ac:dyDescent="0.2">
      <c r="A35" s="1998"/>
      <c r="B35" s="838"/>
      <c r="C35" s="2430"/>
      <c r="D35" s="2430"/>
      <c r="E35" s="2430"/>
      <c r="F35" s="2430"/>
      <c r="G35" s="2430"/>
      <c r="H35" s="2430"/>
      <c r="I35" s="2430"/>
      <c r="J35" s="2430"/>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9" t="s">
        <v>2025</v>
      </c>
      <c r="D37" s="2430"/>
      <c r="E37" s="2430"/>
      <c r="F37" s="2430"/>
      <c r="G37" s="2430"/>
      <c r="H37" s="2430"/>
      <c r="I37" s="2430"/>
      <c r="J37" s="2430"/>
      <c r="K37" s="2017"/>
      <c r="L37" s="2019"/>
      <c r="M37" s="838"/>
      <c r="N37" s="1999"/>
    </row>
    <row r="38" spans="1:14" x14ac:dyDescent="0.2">
      <c r="A38" s="1998"/>
      <c r="B38" s="838"/>
      <c r="C38" s="2430"/>
      <c r="D38" s="2430"/>
      <c r="E38" s="2430"/>
      <c r="F38" s="2430"/>
      <c r="G38" s="2430"/>
      <c r="H38" s="2430"/>
      <c r="I38" s="2430"/>
      <c r="J38" s="2430"/>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1" t="s">
        <v>2026</v>
      </c>
      <c r="D40" s="2432"/>
      <c r="E40" s="2432"/>
      <c r="F40" s="2432"/>
      <c r="G40" s="2432"/>
      <c r="H40" s="2432"/>
      <c r="I40" s="2432"/>
      <c r="J40" s="2432"/>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3" t="s">
        <v>2027</v>
      </c>
      <c r="B43" s="2434"/>
      <c r="C43" s="2434"/>
      <c r="D43" s="2434"/>
      <c r="E43" s="2434"/>
      <c r="F43" s="2434"/>
      <c r="G43" s="2434"/>
      <c r="H43" s="2434"/>
      <c r="I43" s="2434"/>
      <c r="J43" s="2434"/>
      <c r="K43" s="2434"/>
      <c r="L43" s="2434"/>
      <c r="M43" s="2434"/>
      <c r="N43" s="2435"/>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6" t="s">
        <v>2029</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9" t="str">
        <f>J6</f>
        <v xml:space="preserve">  Villa Grove CUSD 302</v>
      </c>
      <c r="M52" s="2439"/>
      <c r="N52" s="2440"/>
    </row>
    <row r="53" spans="1:14" x14ac:dyDescent="0.2">
      <c r="A53" s="1983"/>
      <c r="B53" s="1984"/>
      <c r="C53" s="1984"/>
      <c r="D53" s="1984"/>
      <c r="E53" s="1984"/>
      <c r="F53" s="1984"/>
      <c r="G53" s="1984"/>
      <c r="H53" s="1984"/>
      <c r="I53" s="1984"/>
      <c r="J53" s="1984"/>
      <c r="K53" s="1925" t="s">
        <v>369</v>
      </c>
      <c r="L53" s="2441">
        <f>J7</f>
        <v>11021302026</v>
      </c>
      <c r="M53" s="2441"/>
      <c r="N53" s="244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3"/>
      <c r="B55" s="2444"/>
      <c r="C55" s="2444"/>
      <c r="D55" s="1971"/>
      <c r="E55" s="1971"/>
      <c r="F55" s="1971"/>
      <c r="G55" s="2445" t="s">
        <v>2030</v>
      </c>
      <c r="H55" s="2445"/>
      <c r="I55" s="2445"/>
      <c r="J55" s="2445"/>
      <c r="K55" s="2445"/>
      <c r="L55" s="2445"/>
      <c r="M55" s="2445"/>
      <c r="N55" s="2446"/>
    </row>
    <row r="56" spans="1:14" ht="63.75" x14ac:dyDescent="0.2">
      <c r="A56" s="2447" t="s">
        <v>2031</v>
      </c>
      <c r="B56" s="2448"/>
      <c r="C56" s="244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0" t="s">
        <v>296</v>
      </c>
      <c r="B57" s="2451"/>
      <c r="C57" s="245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7" t="s">
        <v>2041</v>
      </c>
      <c r="B58" s="2428"/>
      <c r="C58" s="2428"/>
      <c r="D58" s="1968">
        <v>2362</v>
      </c>
      <c r="E58" s="1978">
        <f>'Expenditures 15-22'!K320</f>
        <v>76334</v>
      </c>
      <c r="F58" s="1973"/>
      <c r="G58" s="2032"/>
      <c r="H58" s="2033"/>
      <c r="I58" s="2033"/>
      <c r="J58" s="2033"/>
      <c r="K58" s="2033"/>
      <c r="L58" s="2033"/>
      <c r="M58" s="2033">
        <v>76334</v>
      </c>
      <c r="N58" s="1976">
        <f>IF((SUM(G58:M58))=E58,SUM(G58:M58),"Column N does not agree with Column E")</f>
        <v>76334</v>
      </c>
    </row>
    <row r="59" spans="1:14" ht="24.75" customHeight="1" x14ac:dyDescent="0.2">
      <c r="A59" s="2421" t="s">
        <v>297</v>
      </c>
      <c r="B59" s="2422"/>
      <c r="C59" s="2422"/>
      <c r="D59" s="1968">
        <v>2363</v>
      </c>
      <c r="E59" s="1978">
        <f>'Expenditures 15-22'!K321</f>
        <v>5637</v>
      </c>
      <c r="F59" s="1973"/>
      <c r="G59" s="2032"/>
      <c r="H59" s="2033"/>
      <c r="I59" s="2033"/>
      <c r="J59" s="2033"/>
      <c r="K59" s="2033"/>
      <c r="L59" s="2033"/>
      <c r="M59" s="2033">
        <v>5637</v>
      </c>
      <c r="N59" s="1976">
        <f>IF((SUM(G59:M59))=E59,SUM(G59:M59),"Column N does not agree with Column E")</f>
        <v>5637</v>
      </c>
    </row>
    <row r="60" spans="1:14" ht="24" customHeight="1" x14ac:dyDescent="0.2">
      <c r="A60" s="2421" t="s">
        <v>236</v>
      </c>
      <c r="B60" s="2422"/>
      <c r="C60" s="2422"/>
      <c r="D60" s="1968">
        <v>2364</v>
      </c>
      <c r="E60" s="1978">
        <f>'Expenditures 15-22'!K322</f>
        <v>110627</v>
      </c>
      <c r="F60" s="1973"/>
      <c r="G60" s="2032"/>
      <c r="H60" s="2033"/>
      <c r="I60" s="2033"/>
      <c r="J60" s="2033"/>
      <c r="K60" s="2033"/>
      <c r="L60" s="2033"/>
      <c r="M60" s="2033">
        <v>110627</v>
      </c>
      <c r="N60" s="1976">
        <f t="shared" ref="N60:N67" si="4">IF((SUM(G60:M60))=E60,SUM(G60:M60),"Column N does not agree with Column E")</f>
        <v>110627</v>
      </c>
    </row>
    <row r="61" spans="1:14" ht="24.75" customHeight="1" x14ac:dyDescent="0.2">
      <c r="A61" s="2421" t="s">
        <v>697</v>
      </c>
      <c r="B61" s="2422"/>
      <c r="C61" s="2422"/>
      <c r="D61" s="1968">
        <v>2365</v>
      </c>
      <c r="E61" s="1978">
        <f>'Expenditures 15-22'!K323</f>
        <v>0</v>
      </c>
      <c r="F61" s="1973"/>
      <c r="G61" s="2032"/>
      <c r="H61" s="2033"/>
      <c r="I61" s="2033"/>
      <c r="J61" s="2033"/>
      <c r="K61" s="2033"/>
      <c r="L61" s="2033"/>
      <c r="M61" s="2033"/>
      <c r="N61" s="1976">
        <f t="shared" si="4"/>
        <v>0</v>
      </c>
    </row>
    <row r="62" spans="1:14" ht="24" customHeight="1" x14ac:dyDescent="0.2">
      <c r="A62" s="2421" t="s">
        <v>237</v>
      </c>
      <c r="B62" s="2422"/>
      <c r="C62" s="2422"/>
      <c r="D62" s="1968">
        <v>2366</v>
      </c>
      <c r="E62" s="1978">
        <f>'Expenditures 15-22'!K324</f>
        <v>0</v>
      </c>
      <c r="F62" s="1973"/>
      <c r="G62" s="2032"/>
      <c r="H62" s="2033"/>
      <c r="I62" s="2033"/>
      <c r="J62" s="2033"/>
      <c r="K62" s="2033"/>
      <c r="L62" s="2033"/>
      <c r="M62" s="2033"/>
      <c r="N62" s="1976">
        <f t="shared" si="4"/>
        <v>0</v>
      </c>
    </row>
    <row r="63" spans="1:14" ht="24" customHeight="1" x14ac:dyDescent="0.2">
      <c r="A63" s="2427" t="s">
        <v>1022</v>
      </c>
      <c r="B63" s="2428"/>
      <c r="C63" s="2428"/>
      <c r="D63" s="1968">
        <v>2367</v>
      </c>
      <c r="E63" s="1978">
        <f>'Expenditures 15-22'!K325</f>
        <v>270029</v>
      </c>
      <c r="F63" s="1973"/>
      <c r="G63" s="2032">
        <v>18206</v>
      </c>
      <c r="H63" s="2033"/>
      <c r="I63" s="2033"/>
      <c r="J63" s="2033"/>
      <c r="K63" s="2033"/>
      <c r="L63" s="2033"/>
      <c r="M63" s="2033">
        <v>251823</v>
      </c>
      <c r="N63" s="1976">
        <f t="shared" si="4"/>
        <v>270029</v>
      </c>
    </row>
    <row r="64" spans="1:14" ht="24" customHeight="1" x14ac:dyDescent="0.2">
      <c r="A64" s="2421" t="s">
        <v>1023</v>
      </c>
      <c r="B64" s="2422"/>
      <c r="C64" s="2422"/>
      <c r="D64" s="1968">
        <v>2368</v>
      </c>
      <c r="E64" s="1978">
        <f>'Expenditures 15-22'!K326</f>
        <v>0</v>
      </c>
      <c r="F64" s="1973"/>
      <c r="G64" s="2032"/>
      <c r="H64" s="2033"/>
      <c r="I64" s="2033"/>
      <c r="J64" s="2033"/>
      <c r="K64" s="2033"/>
      <c r="L64" s="2033"/>
      <c r="M64" s="2033"/>
      <c r="N64" s="1976">
        <f t="shared" si="4"/>
        <v>0</v>
      </c>
    </row>
    <row r="65" spans="1:14" ht="24" customHeight="1" x14ac:dyDescent="0.2">
      <c r="A65" s="2421" t="s">
        <v>965</v>
      </c>
      <c r="B65" s="2422"/>
      <c r="C65" s="2422"/>
      <c r="D65" s="1968">
        <v>2369</v>
      </c>
      <c r="E65" s="1978">
        <f>'Expenditures 15-22'!K327</f>
        <v>9436</v>
      </c>
      <c r="F65" s="1973"/>
      <c r="G65" s="2032"/>
      <c r="H65" s="2033"/>
      <c r="I65" s="2033"/>
      <c r="J65" s="2033"/>
      <c r="K65" s="2033"/>
      <c r="L65" s="2033"/>
      <c r="M65" s="2033">
        <v>9436</v>
      </c>
      <c r="N65" s="1976">
        <f t="shared" si="4"/>
        <v>9436</v>
      </c>
    </row>
    <row r="66" spans="1:14" ht="24" customHeight="1" x14ac:dyDescent="0.2">
      <c r="A66" s="2421" t="s">
        <v>469</v>
      </c>
      <c r="B66" s="2422"/>
      <c r="C66" s="2422"/>
      <c r="D66" s="1968">
        <v>2371</v>
      </c>
      <c r="E66" s="1978">
        <f>'Expenditures 15-22'!K328</f>
        <v>0</v>
      </c>
      <c r="F66" s="1973"/>
      <c r="G66" s="2032"/>
      <c r="H66" s="2033"/>
      <c r="I66" s="2033"/>
      <c r="J66" s="2033"/>
      <c r="K66" s="2033"/>
      <c r="L66" s="2033"/>
      <c r="M66" s="2033"/>
      <c r="N66" s="1976">
        <f t="shared" si="4"/>
        <v>0</v>
      </c>
    </row>
    <row r="67" spans="1:14" ht="24.75" customHeight="1" x14ac:dyDescent="0.2">
      <c r="A67" s="2423" t="s">
        <v>2042</v>
      </c>
      <c r="B67" s="2424"/>
      <c r="C67" s="2424"/>
      <c r="D67" s="1970">
        <v>2372</v>
      </c>
      <c r="E67" s="1979">
        <f>'Expenditures 15-22'!K329</f>
        <v>0</v>
      </c>
      <c r="F67" s="1973"/>
      <c r="G67" s="2034"/>
      <c r="H67" s="2035"/>
      <c r="I67" s="2035"/>
      <c r="J67" s="2035"/>
      <c r="K67" s="2035"/>
      <c r="L67" s="2035"/>
      <c r="M67" s="2035"/>
      <c r="N67" s="1976">
        <f t="shared" si="4"/>
        <v>0</v>
      </c>
    </row>
    <row r="68" spans="1:14" x14ac:dyDescent="0.2">
      <c r="A68" s="2425" t="s">
        <v>1151</v>
      </c>
      <c r="B68" s="2426"/>
      <c r="C68" s="2426"/>
      <c r="D68" s="1971"/>
      <c r="E68" s="1975">
        <f>SUM(E57:E67)</f>
        <v>472063</v>
      </c>
      <c r="F68" s="1974"/>
      <c r="G68" s="1975">
        <f t="shared" ref="G68:N68" si="5">SUM(G57:G67)</f>
        <v>18206</v>
      </c>
      <c r="H68" s="1975">
        <f t="shared" si="5"/>
        <v>0</v>
      </c>
      <c r="I68" s="1975">
        <f t="shared" si="5"/>
        <v>0</v>
      </c>
      <c r="J68" s="1975">
        <f t="shared" si="5"/>
        <v>0</v>
      </c>
      <c r="K68" s="1975">
        <f t="shared" si="5"/>
        <v>0</v>
      </c>
      <c r="L68" s="1975">
        <f t="shared" si="5"/>
        <v>0</v>
      </c>
      <c r="M68" s="1975">
        <f t="shared" si="5"/>
        <v>453857</v>
      </c>
      <c r="N68" s="1989">
        <f t="shared" si="5"/>
        <v>472063</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5"/>
  <sheetViews>
    <sheetView showGridLines="0" topLeftCell="A37"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8" t="s">
        <v>2075</v>
      </c>
    </row>
    <row r="6" spans="1:2" x14ac:dyDescent="0.2">
      <c r="A6" s="847"/>
      <c r="B6" s="2037" t="s">
        <v>2076</v>
      </c>
    </row>
    <row r="7" spans="1:2" x14ac:dyDescent="0.2">
      <c r="A7" s="847"/>
      <c r="B7" s="307" t="s">
        <v>2077</v>
      </c>
    </row>
    <row r="8" spans="1:2" x14ac:dyDescent="0.2">
      <c r="A8" s="847"/>
      <c r="B8" s="307" t="s">
        <v>2078</v>
      </c>
    </row>
    <row r="9" spans="1:2" x14ac:dyDescent="0.2">
      <c r="A9" s="847"/>
    </row>
    <row r="10" spans="1:2" x14ac:dyDescent="0.2">
      <c r="A10" s="847">
        <v>2</v>
      </c>
      <c r="B10" s="2038" t="s">
        <v>2079</v>
      </c>
    </row>
    <row r="11" spans="1:2" x14ac:dyDescent="0.2">
      <c r="A11" s="847"/>
      <c r="B11" s="2037" t="s">
        <v>2080</v>
      </c>
    </row>
    <row r="12" spans="1:2" x14ac:dyDescent="0.2">
      <c r="A12" s="847"/>
      <c r="B12" s="307" t="s">
        <v>2081</v>
      </c>
    </row>
    <row r="13" spans="1:2" x14ac:dyDescent="0.2">
      <c r="A13" s="847"/>
    </row>
    <row r="14" spans="1:2" x14ac:dyDescent="0.2">
      <c r="A14" s="847">
        <v>3</v>
      </c>
      <c r="B14" s="2038" t="s">
        <v>2082</v>
      </c>
    </row>
    <row r="15" spans="1:2" x14ac:dyDescent="0.2">
      <c r="A15" s="847"/>
      <c r="B15" s="2037" t="s">
        <v>2084</v>
      </c>
    </row>
    <row r="16" spans="1:2" x14ac:dyDescent="0.2">
      <c r="A16" s="847"/>
      <c r="B16" s="307" t="s">
        <v>2083</v>
      </c>
    </row>
    <row r="17" spans="1:2" x14ac:dyDescent="0.2">
      <c r="A17" s="847"/>
    </row>
    <row r="18" spans="1:2" x14ac:dyDescent="0.2">
      <c r="A18" s="847"/>
      <c r="B18" s="2037" t="s">
        <v>2085</v>
      </c>
    </row>
    <row r="19" spans="1:2" x14ac:dyDescent="0.2">
      <c r="A19" s="847"/>
      <c r="B19" s="307" t="s">
        <v>2086</v>
      </c>
    </row>
    <row r="20" spans="1:2" x14ac:dyDescent="0.2">
      <c r="A20" s="847"/>
    </row>
    <row r="21" spans="1:2" x14ac:dyDescent="0.2">
      <c r="A21" s="847">
        <v>4</v>
      </c>
      <c r="B21" s="2038" t="s">
        <v>2087</v>
      </c>
    </row>
    <row r="22" spans="1:2" x14ac:dyDescent="0.2">
      <c r="A22" s="848"/>
      <c r="B22" s="2037" t="s">
        <v>2080</v>
      </c>
    </row>
    <row r="23" spans="1:2" x14ac:dyDescent="0.2">
      <c r="A23" s="848"/>
      <c r="B23" s="307" t="s">
        <v>2088</v>
      </c>
    </row>
    <row r="24" spans="1:2" x14ac:dyDescent="0.2">
      <c r="A24" s="848"/>
    </row>
    <row r="25" spans="1:2" x14ac:dyDescent="0.2">
      <c r="A25" s="847">
        <v>5</v>
      </c>
      <c r="B25" s="2038" t="s">
        <v>2089</v>
      </c>
    </row>
    <row r="26" spans="1:2" x14ac:dyDescent="0.2">
      <c r="A26" s="847"/>
      <c r="B26" s="2037" t="s">
        <v>2080</v>
      </c>
    </row>
    <row r="27" spans="1:2" x14ac:dyDescent="0.2">
      <c r="A27" s="847"/>
      <c r="B27" s="307" t="s">
        <v>2090</v>
      </c>
    </row>
    <row r="28" spans="1:2" x14ac:dyDescent="0.2">
      <c r="A28" s="847"/>
    </row>
    <row r="29" spans="1:2" x14ac:dyDescent="0.2">
      <c r="A29" s="847">
        <v>6</v>
      </c>
      <c r="B29" s="2038" t="s">
        <v>2091</v>
      </c>
    </row>
    <row r="30" spans="1:2" x14ac:dyDescent="0.2">
      <c r="A30" s="848"/>
      <c r="B30" s="2037" t="s">
        <v>2080</v>
      </c>
    </row>
    <row r="31" spans="1:2" x14ac:dyDescent="0.2">
      <c r="A31" s="848"/>
      <c r="B31" s="307" t="s">
        <v>2092</v>
      </c>
    </row>
    <row r="32" spans="1:2" x14ac:dyDescent="0.2">
      <c r="A32" s="848"/>
    </row>
    <row r="33" spans="1:2" x14ac:dyDescent="0.2">
      <c r="A33" s="847">
        <v>7</v>
      </c>
      <c r="B33" s="2038" t="s">
        <v>2093</v>
      </c>
    </row>
    <row r="34" spans="1:2" x14ac:dyDescent="0.2">
      <c r="A34" s="847"/>
      <c r="B34" s="2037" t="s">
        <v>2080</v>
      </c>
    </row>
    <row r="35" spans="1:2" x14ac:dyDescent="0.2">
      <c r="A35" s="847"/>
      <c r="B35" s="307" t="s">
        <v>2094</v>
      </c>
    </row>
    <row r="36" spans="1:2" x14ac:dyDescent="0.2">
      <c r="A36" s="847"/>
    </row>
    <row r="37" spans="1:2" x14ac:dyDescent="0.2">
      <c r="A37" s="847"/>
      <c r="B37" s="2037" t="s">
        <v>2095</v>
      </c>
    </row>
    <row r="38" spans="1:2" x14ac:dyDescent="0.2">
      <c r="A38" s="847"/>
      <c r="B38" s="307" t="s">
        <v>2096</v>
      </c>
    </row>
    <row r="39" spans="1:2" x14ac:dyDescent="0.2">
      <c r="A39" s="847"/>
    </row>
    <row r="40" spans="1:2" x14ac:dyDescent="0.2">
      <c r="A40" s="847"/>
      <c r="B40" s="2037" t="s">
        <v>2097</v>
      </c>
    </row>
    <row r="41" spans="1:2" x14ac:dyDescent="0.2">
      <c r="A41" s="847"/>
      <c r="B41" s="307" t="s">
        <v>2098</v>
      </c>
    </row>
    <row r="42" spans="1:2" x14ac:dyDescent="0.2">
      <c r="A42" s="847"/>
    </row>
    <row r="43" spans="1:2" x14ac:dyDescent="0.2">
      <c r="A43" s="847">
        <v>8</v>
      </c>
      <c r="B43" s="2038" t="s">
        <v>2099</v>
      </c>
    </row>
    <row r="44" spans="1:2" x14ac:dyDescent="0.2">
      <c r="A44" s="848"/>
      <c r="B44" s="2037" t="s">
        <v>2080</v>
      </c>
    </row>
    <row r="45" spans="1:2" x14ac:dyDescent="0.2">
      <c r="A45" s="848"/>
      <c r="B45" s="307" t="s">
        <v>2100</v>
      </c>
    </row>
    <row r="46" spans="1:2" x14ac:dyDescent="0.2">
      <c r="A46" s="848"/>
    </row>
    <row r="47" spans="1:2" x14ac:dyDescent="0.2">
      <c r="A47" s="847">
        <v>9</v>
      </c>
      <c r="B47" s="2038" t="s">
        <v>2101</v>
      </c>
    </row>
    <row r="48" spans="1:2" x14ac:dyDescent="0.2">
      <c r="A48" s="848"/>
      <c r="B48" s="307" t="s">
        <v>2102</v>
      </c>
    </row>
    <row r="49" spans="1:2" x14ac:dyDescent="0.2">
      <c r="A49" s="848"/>
    </row>
    <row r="50" spans="1:2" x14ac:dyDescent="0.2">
      <c r="A50" s="847">
        <v>10</v>
      </c>
      <c r="B50" s="2038" t="s">
        <v>2103</v>
      </c>
    </row>
    <row r="51" spans="1:2" x14ac:dyDescent="0.2">
      <c r="A51" s="848"/>
      <c r="B51" s="307" t="s">
        <v>2104</v>
      </c>
    </row>
    <row r="52" spans="1:2" x14ac:dyDescent="0.2">
      <c r="A52" s="848"/>
    </row>
    <row r="53" spans="1:2" x14ac:dyDescent="0.2">
      <c r="A53" s="847">
        <v>11</v>
      </c>
      <c r="B53" s="2038" t="s">
        <v>2105</v>
      </c>
    </row>
    <row r="54" spans="1:2" x14ac:dyDescent="0.2">
      <c r="A54" s="848"/>
      <c r="B54" s="307" t="s">
        <v>2106</v>
      </c>
    </row>
    <row r="55" spans="1:2" x14ac:dyDescent="0.2">
      <c r="A55" s="848"/>
      <c r="B55" s="307" t="s">
        <v>2107</v>
      </c>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c r="B74" s="253" t="str">
        <f>COVER!A17</f>
        <v xml:space="preserve">  Villa Grove CUSD 302</v>
      </c>
    </row>
    <row r="75" spans="1:2" x14ac:dyDescent="0.2">
      <c r="B75" s="849">
        <f>COVER!A13</f>
        <v>11021302026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4895305</v>
      </c>
      <c r="C8" s="1813">
        <f>'Acct Summary 7-8'!D8</f>
        <v>441991</v>
      </c>
      <c r="D8" s="1813">
        <f>'Acct Summary 7-8'!F8</f>
        <v>356131</v>
      </c>
      <c r="E8" s="1813">
        <f>'Acct Summary 7-8'!I8</f>
        <v>67837</v>
      </c>
      <c r="F8" s="1813">
        <f>SUM(B8:E8)</f>
        <v>5761264</v>
      </c>
    </row>
    <row r="9" spans="1:8" s="858" customFormat="1" ht="14.25" customHeight="1" thickBot="1" x14ac:dyDescent="0.25">
      <c r="A9" s="857" t="s">
        <v>1353</v>
      </c>
      <c r="B9" s="1814">
        <f>'Acct Summary 7-8'!C17</f>
        <v>4801737</v>
      </c>
      <c r="C9" s="1814">
        <f>'Acct Summary 7-8'!D17</f>
        <v>385735</v>
      </c>
      <c r="D9" s="1814">
        <f>'Acct Summary 7-8'!F17</f>
        <v>407876</v>
      </c>
      <c r="E9" s="1813"/>
      <c r="F9" s="1813">
        <f>SUM(B9:E9)</f>
        <v>5595348</v>
      </c>
    </row>
    <row r="10" spans="1:8" s="858" customFormat="1" ht="14.25" thickTop="1" thickBot="1" x14ac:dyDescent="0.25">
      <c r="A10" s="859" t="s">
        <v>1354</v>
      </c>
      <c r="B10" s="1815">
        <f>(B8-B9)</f>
        <v>93568</v>
      </c>
      <c r="C10" s="1815">
        <f>(C8-C9)</f>
        <v>56256</v>
      </c>
      <c r="D10" s="1815">
        <f>(D8-D9)</f>
        <v>-51745</v>
      </c>
      <c r="E10" s="1814">
        <f>(E8-E9)</f>
        <v>67837</v>
      </c>
      <c r="F10" s="1816">
        <f>SUM(F8-F9)</f>
        <v>165916</v>
      </c>
    </row>
    <row r="11" spans="1:8" s="858" customFormat="1" ht="14.25" thickTop="1" thickBot="1" x14ac:dyDescent="0.25">
      <c r="A11" s="860" t="s">
        <v>1903</v>
      </c>
      <c r="B11" s="1817">
        <f>'Acct Summary 7-8'!C81</f>
        <v>1531931</v>
      </c>
      <c r="C11" s="1817">
        <f>'Acct Summary 7-8'!D81</f>
        <v>374171</v>
      </c>
      <c r="D11" s="1817">
        <f>'Acct Summary 7-8'!F81</f>
        <v>462586</v>
      </c>
      <c r="E11" s="1817">
        <f>'Acct Summary 7-8'!I81</f>
        <v>703538</v>
      </c>
      <c r="F11" s="1818">
        <f>SUM(B11:E11)</f>
        <v>3072226</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ERROR!</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11021302026</v>
      </c>
      <c r="E2" s="1542">
        <v>2020</v>
      </c>
      <c r="F2" s="1542">
        <v>1</v>
      </c>
      <c r="G2" s="1899">
        <v>101000300</v>
      </c>
    </row>
    <row r="3" spans="1:7" ht="15" x14ac:dyDescent="0.25">
      <c r="A3" t="s">
        <v>950</v>
      </c>
      <c r="B3" s="135" t="str">
        <f>COVER!A15</f>
        <v>DOUGLAS</v>
      </c>
      <c r="E3" s="1830" t="s">
        <v>1971</v>
      </c>
      <c r="F3" s="1830" t="s">
        <v>1970</v>
      </c>
      <c r="G3" s="1899">
        <v>101000400</v>
      </c>
    </row>
    <row r="4" spans="1:7" ht="15" x14ac:dyDescent="0.25">
      <c r="A4" t="s">
        <v>1000</v>
      </c>
      <c r="B4" s="135" t="str">
        <f>COVER!A17</f>
        <v xml:space="preserve">  Villa Grove CUSD 302</v>
      </c>
      <c r="E4" s="1828">
        <v>44119</v>
      </c>
      <c r="F4" s="1829">
        <v>44151</v>
      </c>
      <c r="G4" s="1899">
        <v>101000600</v>
      </c>
    </row>
    <row r="5" spans="1:7" ht="15" x14ac:dyDescent="0.25">
      <c r="A5" t="s">
        <v>699</v>
      </c>
      <c r="B5" s="135" t="str">
        <f>COVER!A38</f>
        <v>Norm Tracy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3369</v>
      </c>
      <c r="D76" s="2" t="str">
        <f t="shared" si="0"/>
        <v>Error?</v>
      </c>
      <c r="G76" s="1899">
        <v>102570600</v>
      </c>
    </row>
    <row r="77" spans="1:7" ht="15" x14ac:dyDescent="0.25">
      <c r="A77" s="5">
        <v>16</v>
      </c>
      <c r="B77" s="1832">
        <f>'Assets-Liab 5-6'!C13</f>
        <v>1531931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1531931</v>
      </c>
      <c r="D92" s="2" t="str">
        <f t="shared" si="0"/>
        <v>Error?</v>
      </c>
      <c r="G92" s="1899">
        <v>102640600</v>
      </c>
    </row>
    <row r="93" spans="1:7" ht="15" x14ac:dyDescent="0.25">
      <c r="A93" s="5">
        <v>32</v>
      </c>
      <c r="B93" s="1832">
        <f>'Assets-Liab 5-6'!C41</f>
        <v>1531931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374171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374171</v>
      </c>
      <c r="D123" s="2" t="str">
        <f t="shared" si="0"/>
        <v>Error?</v>
      </c>
      <c r="G123" s="1899">
        <v>203000400</v>
      </c>
    </row>
    <row r="124" spans="1:7" ht="15" x14ac:dyDescent="0.25">
      <c r="A124" s="5">
        <v>63</v>
      </c>
      <c r="B124" s="1832">
        <f>'Assets-Liab 5-6'!D41</f>
        <v>374171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238175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238175</v>
      </c>
      <c r="D140" s="2" t="str">
        <f t="shared" si="1"/>
        <v>Error?</v>
      </c>
    </row>
    <row r="141" spans="1:7" x14ac:dyDescent="0.2">
      <c r="A141" s="5">
        <v>80</v>
      </c>
      <c r="B141" s="1832">
        <f>'Assets-Liab 5-6'!E41</f>
        <v>238175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462586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462586</v>
      </c>
      <c r="D170" s="2" t="str">
        <f t="shared" si="1"/>
        <v>Error?</v>
      </c>
    </row>
    <row r="171" spans="1:4" x14ac:dyDescent="0.2">
      <c r="A171" s="5">
        <v>110</v>
      </c>
      <c r="B171" s="1832">
        <f>'Assets-Liab 5-6'!F41</f>
        <v>462586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5884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-13290</v>
      </c>
      <c r="D189" s="2" t="str">
        <f t="shared" si="1"/>
        <v>Error?</v>
      </c>
    </row>
    <row r="190" spans="1:4" x14ac:dyDescent="0.2">
      <c r="A190" s="5">
        <v>129</v>
      </c>
      <c r="B190" s="1832">
        <f>'Assets-Liab 5-6'!G41</f>
        <v>5884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1850781</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1850781</v>
      </c>
      <c r="D212" s="2" t="str">
        <f t="shared" si="2"/>
        <v>Error?</v>
      </c>
    </row>
    <row r="213" spans="1:4" x14ac:dyDescent="0.2">
      <c r="A213" s="12">
        <v>152</v>
      </c>
      <c r="B213" s="1832">
        <f>'Assets-Liab 5-6'!H41</f>
        <v>1850781</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19178</v>
      </c>
      <c r="D273" s="2" t="str">
        <f t="shared" si="3"/>
        <v>Error?</v>
      </c>
    </row>
    <row r="274" spans="1:4" x14ac:dyDescent="0.2">
      <c r="A274" s="5">
        <v>213</v>
      </c>
      <c r="B274" s="1832">
        <f>'Assets-Liab 5-6'!M17</f>
        <v>10321026</v>
      </c>
      <c r="D274" s="2" t="str">
        <f t="shared" si="3"/>
        <v>Error?</v>
      </c>
    </row>
    <row r="275" spans="1:4" x14ac:dyDescent="0.2">
      <c r="A275" s="5">
        <v>214</v>
      </c>
      <c r="B275" s="1832">
        <f>'Assets-Liab 5-6'!M18</f>
        <v>1301948</v>
      </c>
      <c r="D275" s="2" t="str">
        <f t="shared" si="3"/>
        <v>Error?</v>
      </c>
    </row>
    <row r="276" spans="1:4" x14ac:dyDescent="0.2">
      <c r="A276" s="5">
        <v>215</v>
      </c>
      <c r="B276" s="1832">
        <f>'Assets-Liab 5-6'!M19</f>
        <v>2209754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13851906</v>
      </c>
      <c r="C279" s="2" t="s">
        <v>569</v>
      </c>
      <c r="D279" s="2" t="str">
        <f t="shared" si="3"/>
        <v>Error?</v>
      </c>
    </row>
    <row r="280" spans="1:4" x14ac:dyDescent="0.2">
      <c r="A280" s="5">
        <v>219</v>
      </c>
      <c r="B280" s="1832">
        <f>'Assets-Liab 5-6'!M40</f>
        <v>13851906</v>
      </c>
      <c r="D280" s="2" t="str">
        <f t="shared" si="3"/>
        <v>Error?</v>
      </c>
    </row>
    <row r="281" spans="1:4" x14ac:dyDescent="0.2">
      <c r="A281" s="5">
        <v>220</v>
      </c>
      <c r="B281" s="1832">
        <f>'Assets-Liab 5-6'!M41</f>
        <v>13851906</v>
      </c>
      <c r="C281" s="2" t="s">
        <v>569</v>
      </c>
      <c r="D281" s="2" t="str">
        <f t="shared" si="3"/>
        <v>Error?</v>
      </c>
    </row>
    <row r="282" spans="1:4" x14ac:dyDescent="0.2">
      <c r="A282" s="5">
        <v>221</v>
      </c>
      <c r="B282" s="1832">
        <f>'Assets-Liab 5-6'!N21</f>
        <v>238175</v>
      </c>
      <c r="D282" s="2" t="str">
        <f t="shared" si="3"/>
        <v>Error?</v>
      </c>
    </row>
    <row r="283" spans="1:4" x14ac:dyDescent="0.2">
      <c r="A283" s="5">
        <v>222</v>
      </c>
      <c r="B283" s="1832">
        <f>'Assets-Liab 5-6'!N22</f>
        <v>5055095</v>
      </c>
      <c r="D283" s="2" t="str">
        <f t="shared" si="3"/>
        <v>Error?</v>
      </c>
    </row>
    <row r="284" spans="1:4" x14ac:dyDescent="0.2">
      <c r="A284" s="5">
        <v>223</v>
      </c>
      <c r="B284" s="1832">
        <f>'Assets-Liab 5-6'!N23</f>
        <v>5293270</v>
      </c>
      <c r="C284" s="2" t="s">
        <v>569</v>
      </c>
      <c r="D284" s="2" t="str">
        <f t="shared" si="3"/>
        <v>Error?</v>
      </c>
    </row>
    <row r="285" spans="1:4" x14ac:dyDescent="0.2">
      <c r="A285" s="5">
        <v>224</v>
      </c>
      <c r="B285" s="1832">
        <f>'Assets-Liab 5-6'!N36</f>
        <v>5293270</v>
      </c>
      <c r="D285" s="2" t="str">
        <f t="shared" si="3"/>
        <v>Error?</v>
      </c>
    </row>
    <row r="286" spans="1:4" x14ac:dyDescent="0.2">
      <c r="A286" s="10">
        <v>225</v>
      </c>
      <c r="B286" s="1832"/>
      <c r="D286" s="2" t="str">
        <f t="shared" si="3"/>
        <v>OK</v>
      </c>
    </row>
    <row r="287" spans="1:4" x14ac:dyDescent="0.2">
      <c r="A287" s="5">
        <v>226</v>
      </c>
      <c r="B287" s="1832">
        <f>'Assets-Liab 5-6'!N37</f>
        <v>5293270</v>
      </c>
      <c r="C287" s="2" t="s">
        <v>569</v>
      </c>
      <c r="D287" s="2" t="str">
        <f t="shared" si="3"/>
        <v>Error?</v>
      </c>
    </row>
    <row r="288" spans="1:4" x14ac:dyDescent="0.2">
      <c r="A288" s="5">
        <v>227</v>
      </c>
      <c r="B288" s="1832">
        <f>'Assets-Liab 5-6'!N41</f>
        <v>5293270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25000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1320000</v>
      </c>
      <c r="D651" s="2" t="str">
        <f t="shared" si="9"/>
        <v>Error?</v>
      </c>
    </row>
    <row r="652" spans="1:4" x14ac:dyDescent="0.2">
      <c r="A652" s="5">
        <v>591</v>
      </c>
      <c r="B652" s="1832">
        <f>'Acct Summary 7-8'!I34</f>
        <v>117768</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1630902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122793</v>
      </c>
      <c r="D717" s="2" t="str">
        <f t="shared" si="10"/>
        <v>Error?</v>
      </c>
    </row>
    <row r="718" spans="1:4" x14ac:dyDescent="0.2">
      <c r="A718" s="5">
        <v>657</v>
      </c>
      <c r="B718" s="1832">
        <f>'Expenditures 15-22'!C14</f>
        <v>189019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2546189</v>
      </c>
      <c r="C720" s="2" t="s">
        <v>569</v>
      </c>
      <c r="D720" s="2" t="str">
        <f t="shared" si="10"/>
        <v>Error?</v>
      </c>
    </row>
    <row r="721" spans="1:4" x14ac:dyDescent="0.2">
      <c r="A721" s="5">
        <v>660</v>
      </c>
      <c r="B721" s="1832">
        <f>'Expenditures 15-22'!C36</f>
        <v>37988</v>
      </c>
      <c r="D721" s="2" t="str">
        <f t="shared" si="10"/>
        <v>Error?</v>
      </c>
    </row>
    <row r="722" spans="1:4" x14ac:dyDescent="0.2">
      <c r="A722" s="5">
        <v>661</v>
      </c>
      <c r="B722" s="1832">
        <f>'Expenditures 15-22'!C37</f>
        <v>32732</v>
      </c>
      <c r="D722" s="2" t="str">
        <f t="shared" si="10"/>
        <v>Error?</v>
      </c>
    </row>
    <row r="723" spans="1:4" x14ac:dyDescent="0.2">
      <c r="A723" s="5">
        <v>662</v>
      </c>
      <c r="B723" s="1832">
        <f>'Expenditures 15-22'!C38</f>
        <v>23744</v>
      </c>
      <c r="D723" s="2" t="str">
        <f t="shared" si="10"/>
        <v>Error?</v>
      </c>
    </row>
    <row r="724" spans="1:4" x14ac:dyDescent="0.2">
      <c r="A724" s="5">
        <v>663</v>
      </c>
      <c r="B724" s="1832">
        <f>'Expenditures 15-22'!C39</f>
        <v>49375</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6804</v>
      </c>
      <c r="D726" s="2" t="str">
        <f t="shared" si="10"/>
        <v>Error?</v>
      </c>
    </row>
    <row r="727" spans="1:4" x14ac:dyDescent="0.2">
      <c r="A727" s="5">
        <v>666</v>
      </c>
      <c r="B727" s="1832">
        <f>'Expenditures 15-22'!C42</f>
        <v>150643</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82160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82160</v>
      </c>
      <c r="C731" s="2" t="s">
        <v>569</v>
      </c>
      <c r="D731" s="2" t="str">
        <f t="shared" si="10"/>
        <v>Error?</v>
      </c>
    </row>
    <row r="732" spans="1:4" x14ac:dyDescent="0.2">
      <c r="A732" s="5">
        <v>671</v>
      </c>
      <c r="B732" s="1832">
        <f>'Expenditures 15-22'!C49</f>
        <v>1388</v>
      </c>
      <c r="D732" s="2" t="str">
        <f t="shared" si="10"/>
        <v>Error?</v>
      </c>
    </row>
    <row r="733" spans="1:4" x14ac:dyDescent="0.2">
      <c r="A733" s="5">
        <v>672</v>
      </c>
      <c r="B733" s="1832">
        <f>'Expenditures 15-22'!C50</f>
        <v>70013</v>
      </c>
      <c r="D733" s="2" t="str">
        <f t="shared" si="10"/>
        <v>Error?</v>
      </c>
    </row>
    <row r="734" spans="1:4" x14ac:dyDescent="0.2">
      <c r="A734" s="5">
        <v>673</v>
      </c>
      <c r="B734" s="1832">
        <f>'Expenditures 15-22'!C53</f>
        <v>71401</v>
      </c>
      <c r="C734" s="2" t="s">
        <v>569</v>
      </c>
      <c r="D734" s="2" t="str">
        <f t="shared" si="10"/>
        <v>Error?</v>
      </c>
    </row>
    <row r="735" spans="1:4" x14ac:dyDescent="0.2">
      <c r="A735" s="5">
        <v>674</v>
      </c>
      <c r="B735" s="1832">
        <f>'Expenditures 15-22'!C55</f>
        <v>251889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251889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81612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69387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150999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707092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3253281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516809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15652</v>
      </c>
      <c r="D775" s="2" t="str">
        <f t="shared" si="11"/>
        <v>Error?</v>
      </c>
    </row>
    <row r="776" spans="1:4" x14ac:dyDescent="0.2">
      <c r="A776" s="5">
        <v>715</v>
      </c>
      <c r="B776" s="1832">
        <f>'Expenditures 15-22'!D14</f>
        <v>27591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713808</v>
      </c>
      <c r="C778" s="2" t="s">
        <v>569</v>
      </c>
      <c r="D778" s="2" t="str">
        <f t="shared" si="11"/>
        <v>Error?</v>
      </c>
    </row>
    <row r="779" spans="1:4" x14ac:dyDescent="0.2">
      <c r="A779" s="5">
        <v>718</v>
      </c>
      <c r="B779" s="1832">
        <f>'Expenditures 15-22'!D36</f>
        <v>5657</v>
      </c>
      <c r="D779" s="2" t="str">
        <f t="shared" si="11"/>
        <v>Error?</v>
      </c>
    </row>
    <row r="780" spans="1:4" x14ac:dyDescent="0.2">
      <c r="A780" s="5">
        <v>719</v>
      </c>
      <c r="B780" s="1832">
        <f>'Expenditures 15-22'!D37</f>
        <v>16606</v>
      </c>
      <c r="D780" s="2" t="str">
        <f t="shared" si="11"/>
        <v>Error?</v>
      </c>
    </row>
    <row r="781" spans="1:4" x14ac:dyDescent="0.2">
      <c r="A781" s="5">
        <v>720</v>
      </c>
      <c r="B781" s="1832">
        <f>'Expenditures 15-22'!D38</f>
        <v>6260</v>
      </c>
      <c r="D781" s="2" t="str">
        <f t="shared" si="11"/>
        <v>Error?</v>
      </c>
    </row>
    <row r="782" spans="1:4" x14ac:dyDescent="0.2">
      <c r="A782" s="5">
        <v>721</v>
      </c>
      <c r="B782" s="1832">
        <f>'Expenditures 15-22'!D39</f>
        <v>424</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238</v>
      </c>
      <c r="D784" s="2" t="str">
        <f t="shared" si="11"/>
        <v>Error?</v>
      </c>
    </row>
    <row r="785" spans="1:4" x14ac:dyDescent="0.2">
      <c r="A785" s="5">
        <v>724</v>
      </c>
      <c r="B785" s="1832">
        <f>'Expenditures 15-22'!D42</f>
        <v>29185</v>
      </c>
      <c r="C785" s="2" t="s">
        <v>569</v>
      </c>
      <c r="D785" s="2" t="str">
        <f t="shared" si="11"/>
        <v>Error?</v>
      </c>
    </row>
    <row r="786" spans="1:4" x14ac:dyDescent="0.2">
      <c r="A786" s="5">
        <v>725</v>
      </c>
      <c r="B786" s="1832">
        <f>'Expenditures 15-22'!D44</f>
        <v>1392</v>
      </c>
      <c r="D786" s="2" t="str">
        <f t="shared" si="11"/>
        <v>Error?</v>
      </c>
    </row>
    <row r="787" spans="1:4" x14ac:dyDescent="0.2">
      <c r="A787" s="5">
        <v>726</v>
      </c>
      <c r="B787" s="1832">
        <f>'Expenditures 15-22'!D45</f>
        <v>19681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21073</v>
      </c>
      <c r="C789" s="2" t="s">
        <v>569</v>
      </c>
      <c r="D789" s="2" t="str">
        <f t="shared" si="11"/>
        <v>Error?</v>
      </c>
    </row>
    <row r="790" spans="1:4" x14ac:dyDescent="0.2">
      <c r="A790" s="5">
        <v>729</v>
      </c>
      <c r="B790" s="1832">
        <f>'Expenditures 15-22'!D49</f>
        <v>1203</v>
      </c>
      <c r="D790" s="2" t="str">
        <f t="shared" si="11"/>
        <v>Error?</v>
      </c>
    </row>
    <row r="791" spans="1:4" x14ac:dyDescent="0.2">
      <c r="A791" s="5">
        <v>730</v>
      </c>
      <c r="B791" s="1832">
        <f>'Expenditures 15-22'!D50</f>
        <v>652</v>
      </c>
      <c r="D791" s="2" t="str">
        <f t="shared" si="11"/>
        <v>Error?</v>
      </c>
    </row>
    <row r="792" spans="1:4" x14ac:dyDescent="0.2">
      <c r="A792" s="5">
        <v>731</v>
      </c>
      <c r="B792" s="1832">
        <f>'Expenditures 15-22'!D53</f>
        <v>1855</v>
      </c>
      <c r="C792" s="2" t="s">
        <v>569</v>
      </c>
      <c r="D792" s="2" t="str">
        <f t="shared" si="11"/>
        <v>Error?</v>
      </c>
    </row>
    <row r="793" spans="1:4" x14ac:dyDescent="0.2">
      <c r="A793" s="5">
        <v>732</v>
      </c>
      <c r="B793" s="1832">
        <f>'Expenditures 15-22'!D55</f>
        <v>39859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39859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300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15960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16260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108232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822040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2786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235</v>
      </c>
      <c r="D833" s="2" t="str">
        <f t="shared" si="12"/>
        <v>Error?</v>
      </c>
    </row>
    <row r="834" spans="1:4" x14ac:dyDescent="0.2">
      <c r="A834" s="5">
        <v>773</v>
      </c>
      <c r="B834" s="1832">
        <f>'Expenditures 15-22'!E14</f>
        <v>55851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71215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330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330</v>
      </c>
      <c r="C843" s="2" t="s">
        <v>569</v>
      </c>
      <c r="D843" s="2" t="str">
        <f t="shared" si="12"/>
        <v>Error?</v>
      </c>
    </row>
    <row r="844" spans="1:4" x14ac:dyDescent="0.2">
      <c r="A844" s="5">
        <v>783</v>
      </c>
      <c r="B844" s="1832">
        <f>'Expenditures 15-22'!E44</f>
        <v>21005</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21005</v>
      </c>
      <c r="C847" s="2" t="s">
        <v>569</v>
      </c>
      <c r="D847" s="2" t="str">
        <f t="shared" si="12"/>
        <v>Error?</v>
      </c>
    </row>
    <row r="848" spans="1:4" x14ac:dyDescent="0.2">
      <c r="A848" s="5">
        <v>787</v>
      </c>
      <c r="B848" s="1832">
        <f>'Expenditures 15-22'!E49</f>
        <v>61028</v>
      </c>
      <c r="D848" s="2" t="str">
        <f t="shared" si="12"/>
        <v>Error?</v>
      </c>
    </row>
    <row r="849" spans="1:4" x14ac:dyDescent="0.2">
      <c r="A849" s="5">
        <v>788</v>
      </c>
      <c r="B849" s="1832">
        <f>'Expenditures 15-22'!E50</f>
        <v>136</v>
      </c>
      <c r="D849" s="2" t="str">
        <f t="shared" si="12"/>
        <v>Error?</v>
      </c>
    </row>
    <row r="850" spans="1:4" x14ac:dyDescent="0.2">
      <c r="A850" s="5">
        <v>789</v>
      </c>
      <c r="B850" s="1832">
        <f>'Expenditures 15-22'!E53</f>
        <v>61164</v>
      </c>
      <c r="C850" s="2" t="s">
        <v>569</v>
      </c>
      <c r="D850" s="2" t="str">
        <f t="shared" si="12"/>
        <v>Error?</v>
      </c>
    </row>
    <row r="851" spans="1:4" x14ac:dyDescent="0.2">
      <c r="A851" s="5">
        <v>790</v>
      </c>
      <c r="B851" s="1832">
        <f>'Expenditures 15-22'!E55</f>
        <v>715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715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2585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5576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8161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91375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351637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60004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6598</v>
      </c>
      <c r="D891" s="2" t="str">
        <f t="shared" si="12"/>
        <v>Error?</v>
      </c>
    </row>
    <row r="892" spans="1:4" x14ac:dyDescent="0.2">
      <c r="A892" s="5">
        <v>831</v>
      </c>
      <c r="B892" s="1832">
        <f>'Expenditures 15-22'!F14</f>
        <v>14543</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92292</v>
      </c>
      <c r="C894" s="2" t="s">
        <v>569</v>
      </c>
      <c r="D894" s="2" t="str">
        <f t="shared" si="12"/>
        <v>Error?</v>
      </c>
    </row>
    <row r="895" spans="1:4" x14ac:dyDescent="0.2">
      <c r="A895" s="5">
        <v>834</v>
      </c>
      <c r="B895" s="1832">
        <f>'Expenditures 15-22'!F36</f>
        <v>347</v>
      </c>
      <c r="D895" s="2" t="str">
        <f t="shared" ref="D895:D958" si="13">IF(ISBLANK(B895),"OK",IF(A895-B895=0,"OK","Error?"))</f>
        <v>Error?</v>
      </c>
    </row>
    <row r="896" spans="1:4" x14ac:dyDescent="0.2">
      <c r="A896" s="5">
        <v>835</v>
      </c>
      <c r="B896" s="1832">
        <f>'Expenditures 15-22'!F37</f>
        <v>114</v>
      </c>
      <c r="D896" s="2" t="str">
        <f t="shared" si="13"/>
        <v>Error?</v>
      </c>
    </row>
    <row r="897" spans="1:4" x14ac:dyDescent="0.2">
      <c r="A897" s="5">
        <v>836</v>
      </c>
      <c r="B897" s="1832">
        <f>'Expenditures 15-22'!F38</f>
        <v>1172</v>
      </c>
      <c r="D897" s="2" t="str">
        <f t="shared" si="13"/>
        <v>Error?</v>
      </c>
    </row>
    <row r="898" spans="1:4" x14ac:dyDescent="0.2">
      <c r="A898" s="5">
        <v>837</v>
      </c>
      <c r="B898" s="1832">
        <f>'Expenditures 15-22'!F39</f>
        <v>928</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2254</v>
      </c>
      <c r="D900" s="2" t="str">
        <f t="shared" si="13"/>
        <v>Error?</v>
      </c>
    </row>
    <row r="901" spans="1:4" x14ac:dyDescent="0.2">
      <c r="A901" s="5">
        <v>840</v>
      </c>
      <c r="B901" s="1832">
        <f>'Expenditures 15-22'!F42</f>
        <v>4815</v>
      </c>
      <c r="C901" s="2" t="s">
        <v>569</v>
      </c>
      <c r="D901" s="2" t="str">
        <f t="shared" si="13"/>
        <v>Error?</v>
      </c>
    </row>
    <row r="902" spans="1:4" x14ac:dyDescent="0.2">
      <c r="A902" s="5">
        <v>841</v>
      </c>
      <c r="B902" s="1832">
        <f>'Expenditures 15-22'!F44</f>
        <v>11941</v>
      </c>
      <c r="D902" s="2" t="str">
        <f t="shared" si="13"/>
        <v>Error?</v>
      </c>
    </row>
    <row r="903" spans="1:4" x14ac:dyDescent="0.2">
      <c r="A903" s="5">
        <v>842</v>
      </c>
      <c r="B903" s="1832">
        <f>'Expenditures 15-22'!F45</f>
        <v>14092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26033</v>
      </c>
      <c r="C905" s="2" t="s">
        <v>569</v>
      </c>
      <c r="D905" s="2" t="str">
        <f t="shared" si="13"/>
        <v>Error?</v>
      </c>
    </row>
    <row r="906" spans="1:4" x14ac:dyDescent="0.2">
      <c r="A906" s="5">
        <v>845</v>
      </c>
      <c r="B906" s="1832">
        <f>'Expenditures 15-22'!F49</f>
        <v>2132</v>
      </c>
      <c r="D906" s="2" t="str">
        <f t="shared" si="13"/>
        <v>Error?</v>
      </c>
    </row>
    <row r="907" spans="1:4" x14ac:dyDescent="0.2">
      <c r="A907" s="5">
        <v>846</v>
      </c>
      <c r="B907" s="1832">
        <f>'Expenditures 15-22'!F50</f>
        <v>149</v>
      </c>
      <c r="D907" s="2" t="str">
        <f t="shared" si="13"/>
        <v>Error?</v>
      </c>
    </row>
    <row r="908" spans="1:4" x14ac:dyDescent="0.2">
      <c r="A908" s="5">
        <v>847</v>
      </c>
      <c r="B908" s="1832">
        <f>'Expenditures 15-22'!F53</f>
        <v>11505</v>
      </c>
      <c r="C908" s="2" t="s">
        <v>569</v>
      </c>
      <c r="D908" s="2" t="str">
        <f t="shared" si="13"/>
        <v>Error?</v>
      </c>
    </row>
    <row r="909" spans="1:4" x14ac:dyDescent="0.2">
      <c r="A909" s="5">
        <v>848</v>
      </c>
      <c r="B909" s="1832">
        <f>'Expenditures 15-22'!F55</f>
        <v>1755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1755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1589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77153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78742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122850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215142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9603</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4894</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14497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680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680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21319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21319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1049</v>
      </c>
      <c r="D965" s="2" t="str">
        <f t="shared" si="14"/>
        <v>Error?</v>
      </c>
    </row>
    <row r="966" spans="1:4" x14ac:dyDescent="0.2">
      <c r="A966" s="5">
        <v>905</v>
      </c>
      <c r="B966" s="1832">
        <f>'Expenditures 15-22'!G53</f>
        <v>1049</v>
      </c>
      <c r="C966" s="2" t="s">
        <v>569</v>
      </c>
      <c r="D966" s="2" t="str">
        <f t="shared" si="14"/>
        <v>Error?</v>
      </c>
    </row>
    <row r="967" spans="1:4" x14ac:dyDescent="0.2">
      <c r="A967" s="5">
        <v>906</v>
      </c>
      <c r="B967" s="1832">
        <f>'Expenditures 15-22'!G55</f>
        <v>6849</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6849</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761</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2816</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3577</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33474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47971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12218</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7456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27749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2798</v>
      </c>
      <c r="D1018" s="2" t="str">
        <f t="shared" si="14"/>
        <v>Error?</v>
      </c>
    </row>
    <row r="1019" spans="1:4" x14ac:dyDescent="0.2">
      <c r="A1019" s="5">
        <v>958</v>
      </c>
      <c r="B1019" s="1832">
        <f>'Expenditures 15-22'!H45</f>
        <v>42728</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45526</v>
      </c>
      <c r="C1021" s="2" t="s">
        <v>569</v>
      </c>
      <c r="D1021" s="2" t="str">
        <f t="shared" si="14"/>
        <v>Error?</v>
      </c>
    </row>
    <row r="1022" spans="1:4" x14ac:dyDescent="0.2">
      <c r="A1022" s="5">
        <v>961</v>
      </c>
      <c r="B1022" s="1832">
        <f>'Expenditures 15-22'!H49</f>
        <v>8398</v>
      </c>
      <c r="D1022" s="2" t="str">
        <f t="shared" si="14"/>
        <v>Error?</v>
      </c>
    </row>
    <row r="1023" spans="1:4" x14ac:dyDescent="0.2">
      <c r="A1023" s="5">
        <v>962</v>
      </c>
      <c r="B1023" s="1832">
        <f>'Expenditures 15-22'!H50</f>
        <v>360</v>
      </c>
      <c r="D1023" s="2" t="str">
        <f t="shared" ref="D1023:D1086" si="15">IF(ISBLANK(B1023),"OK",IF(A1023-B1023=0,"OK","Error?"))</f>
        <v>Error?</v>
      </c>
    </row>
    <row r="1024" spans="1:4" x14ac:dyDescent="0.2">
      <c r="A1024" s="5">
        <v>963</v>
      </c>
      <c r="B1024" s="1832">
        <f>'Expenditures 15-22'!H53</f>
        <v>8758</v>
      </c>
      <c r="C1024" s="2" t="s">
        <v>569</v>
      </c>
      <c r="D1024" s="2" t="str">
        <f t="shared" si="15"/>
        <v>Error?</v>
      </c>
    </row>
    <row r="1025" spans="1:4" x14ac:dyDescent="0.2">
      <c r="A1025" s="5">
        <v>964</v>
      </c>
      <c r="B1025" s="1832">
        <f>'Expenditures 15-22'!H55</f>
        <v>4102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4102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4359</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4359</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62745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20275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110769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2233219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150172</v>
      </c>
      <c r="C1105" s="2" t="s">
        <v>569</v>
      </c>
      <c r="D1105" s="2" t="str">
        <f t="shared" si="16"/>
        <v>Error?</v>
      </c>
    </row>
    <row r="1106" spans="1:4" x14ac:dyDescent="0.2">
      <c r="A1106" s="5">
        <v>1045</v>
      </c>
      <c r="B1106" s="1832">
        <f>'Expenditures 15-22'!K14</f>
        <v>294460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3466647</v>
      </c>
      <c r="C1108" s="2" t="s">
        <v>569</v>
      </c>
      <c r="D1108" s="2" t="str">
        <f t="shared" si="16"/>
        <v>Error?</v>
      </c>
    </row>
    <row r="1109" spans="1:4" x14ac:dyDescent="0.2">
      <c r="A1109" s="5">
        <v>1048</v>
      </c>
      <c r="B1109" s="1832">
        <f>'Expenditures 15-22'!K36</f>
        <v>43992</v>
      </c>
      <c r="C1109" s="2" t="s">
        <v>569</v>
      </c>
      <c r="D1109" s="2" t="str">
        <f t="shared" si="16"/>
        <v>Error?</v>
      </c>
    </row>
    <row r="1110" spans="1:4" x14ac:dyDescent="0.2">
      <c r="A1110" s="5">
        <v>1049</v>
      </c>
      <c r="B1110" s="1832">
        <f>'Expenditures 15-22'!K37</f>
        <v>49452</v>
      </c>
      <c r="C1110" s="2" t="s">
        <v>569</v>
      </c>
      <c r="D1110" s="2" t="str">
        <f t="shared" si="16"/>
        <v>Error?</v>
      </c>
    </row>
    <row r="1111" spans="1:4" x14ac:dyDescent="0.2">
      <c r="A1111" s="5">
        <v>1050</v>
      </c>
      <c r="B1111" s="1832">
        <f>'Expenditures 15-22'!K38</f>
        <v>32186</v>
      </c>
      <c r="C1111" s="2" t="s">
        <v>569</v>
      </c>
      <c r="D1111" s="2" t="str">
        <f t="shared" si="16"/>
        <v>Error?</v>
      </c>
    </row>
    <row r="1112" spans="1:4" x14ac:dyDescent="0.2">
      <c r="A1112" s="5">
        <v>1051</v>
      </c>
      <c r="B1112" s="1832">
        <f>'Expenditures 15-22'!K39</f>
        <v>50727</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9296</v>
      </c>
      <c r="C1114" s="2" t="s">
        <v>569</v>
      </c>
      <c r="D1114" s="2" t="str">
        <f t="shared" si="16"/>
        <v>Error?</v>
      </c>
    </row>
    <row r="1115" spans="1:4" x14ac:dyDescent="0.2">
      <c r="A1115" s="5">
        <v>1054</v>
      </c>
      <c r="B1115" s="1832">
        <f>'Expenditures 15-22'!K42</f>
        <v>185653</v>
      </c>
      <c r="C1115" s="2" t="s">
        <v>569</v>
      </c>
      <c r="D1115" s="2" t="str">
        <f t="shared" si="16"/>
        <v>Error?</v>
      </c>
    </row>
    <row r="1116" spans="1:4" x14ac:dyDescent="0.2">
      <c r="A1116" s="5">
        <v>1055</v>
      </c>
      <c r="B1116" s="1832">
        <f>'Expenditures 15-22'!K44</f>
        <v>37136</v>
      </c>
      <c r="C1116" s="2" t="s">
        <v>569</v>
      </c>
      <c r="D1116" s="2" t="str">
        <f t="shared" si="16"/>
        <v>Error?</v>
      </c>
    </row>
    <row r="1117" spans="1:4" x14ac:dyDescent="0.2">
      <c r="A1117" s="5">
        <v>1056</v>
      </c>
      <c r="B1117" s="1832">
        <f>'Expenditures 15-22'!K45</f>
        <v>179980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217116</v>
      </c>
      <c r="C1119" s="2" t="s">
        <v>569</v>
      </c>
      <c r="D1119" s="2" t="str">
        <f t="shared" si="16"/>
        <v>Error?</v>
      </c>
    </row>
    <row r="1120" spans="1:4" x14ac:dyDescent="0.2">
      <c r="A1120" s="5">
        <v>1059</v>
      </c>
      <c r="B1120" s="1832">
        <f>'Expenditures 15-22'!K49</f>
        <v>74149</v>
      </c>
      <c r="C1120" s="2" t="s">
        <v>569</v>
      </c>
      <c r="D1120" s="2" t="str">
        <f t="shared" si="16"/>
        <v>Error?</v>
      </c>
    </row>
    <row r="1121" spans="1:4" x14ac:dyDescent="0.2">
      <c r="A1121" s="5">
        <v>1060</v>
      </c>
      <c r="B1121" s="1832">
        <f>'Expenditures 15-22'!K50</f>
        <v>72359</v>
      </c>
      <c r="C1121" s="2" t="s">
        <v>569</v>
      </c>
      <c r="D1121" s="2" t="str">
        <f t="shared" si="16"/>
        <v>Error?</v>
      </c>
    </row>
    <row r="1122" spans="1:4" x14ac:dyDescent="0.2">
      <c r="A1122" s="5">
        <v>1061</v>
      </c>
      <c r="B1122" s="1832">
        <f>'Expenditures 15-22'!K53</f>
        <v>155732</v>
      </c>
      <c r="C1122" s="2" t="s">
        <v>569</v>
      </c>
      <c r="D1122" s="2" t="str">
        <f t="shared" si="16"/>
        <v>Error?</v>
      </c>
    </row>
    <row r="1123" spans="1:4" x14ac:dyDescent="0.2">
      <c r="A1123" s="5">
        <v>1062</v>
      </c>
      <c r="B1123" s="1832">
        <f>'Expenditures 15-22'!K55</f>
        <v>305169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305169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88621</v>
      </c>
      <c r="C1127" s="2" t="s">
        <v>569</v>
      </c>
      <c r="D1127" s="2" t="str">
        <f t="shared" si="16"/>
        <v>Error?</v>
      </c>
    </row>
    <row r="1128" spans="1:4" x14ac:dyDescent="0.2">
      <c r="A1128" s="5">
        <v>1067</v>
      </c>
      <c r="B1128" s="1832">
        <f>'Expenditures 15-22'!K61</f>
        <v>2585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170892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262098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1125768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209322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4801737</v>
      </c>
      <c r="C1152" s="2" t="s">
        <v>569</v>
      </c>
      <c r="D1152" s="2" t="str">
        <f t="shared" si="17"/>
        <v>Error?</v>
      </c>
    </row>
    <row r="1153" spans="1:4" x14ac:dyDescent="0.2">
      <c r="A1153" s="5">
        <v>1092</v>
      </c>
      <c r="B1153" s="1832">
        <f>'Expenditures 15-22'!K115</f>
        <v>93568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176873</v>
      </c>
      <c r="D1221" s="2" t="str">
        <f t="shared" si="18"/>
        <v>Error?</v>
      </c>
    </row>
    <row r="1222" spans="1:4" x14ac:dyDescent="0.2">
      <c r="A1222" s="10">
        <v>1161</v>
      </c>
      <c r="B1222" s="1832"/>
      <c r="D1222" s="2" t="str">
        <f t="shared" si="18"/>
        <v>OK</v>
      </c>
    </row>
    <row r="1223" spans="1:4" x14ac:dyDescent="0.2">
      <c r="A1223" s="5">
        <v>1162</v>
      </c>
      <c r="B1223" s="1832">
        <f>'Expenditures 15-22'!C127</f>
        <v>176873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176873</v>
      </c>
      <c r="C1225" s="2" t="s">
        <v>569</v>
      </c>
      <c r="D1225" s="2" t="str">
        <f t="shared" si="18"/>
        <v>Error?</v>
      </c>
    </row>
    <row r="1226" spans="1:4" x14ac:dyDescent="0.2">
      <c r="A1226" s="5">
        <v>1165</v>
      </c>
      <c r="B1226" s="1832">
        <f>'Expenditures 15-22'!C151</f>
        <v>176873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24492</v>
      </c>
      <c r="D1229" s="2" t="str">
        <f t="shared" si="18"/>
        <v>Error?</v>
      </c>
    </row>
    <row r="1230" spans="1:4" x14ac:dyDescent="0.2">
      <c r="A1230" s="10">
        <v>1169</v>
      </c>
      <c r="B1230" s="1832"/>
      <c r="D1230" s="2" t="str">
        <f t="shared" si="18"/>
        <v>OK</v>
      </c>
    </row>
    <row r="1231" spans="1:4" x14ac:dyDescent="0.2">
      <c r="A1231" s="5">
        <v>1170</v>
      </c>
      <c r="B1231" s="1832">
        <f>'Expenditures 15-22'!D127</f>
        <v>24492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24492</v>
      </c>
      <c r="C1233" s="2" t="s">
        <v>569</v>
      </c>
      <c r="D1233" s="2" t="str">
        <f t="shared" si="18"/>
        <v>Error?</v>
      </c>
    </row>
    <row r="1234" spans="1:4" x14ac:dyDescent="0.2">
      <c r="A1234" s="5">
        <v>1173</v>
      </c>
      <c r="B1234" s="1832">
        <f>'Expenditures 15-22'!D151</f>
        <v>24492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68498</v>
      </c>
      <c r="D1237" s="2" t="str">
        <f t="shared" si="18"/>
        <v>Error?</v>
      </c>
    </row>
    <row r="1238" spans="1:4" x14ac:dyDescent="0.2">
      <c r="A1238" s="10">
        <v>1177</v>
      </c>
      <c r="B1238" s="1832"/>
      <c r="D1238" s="2" t="str">
        <f t="shared" si="18"/>
        <v>OK</v>
      </c>
    </row>
    <row r="1239" spans="1:4" x14ac:dyDescent="0.2">
      <c r="A1239" s="5">
        <v>1178</v>
      </c>
      <c r="B1239" s="1832">
        <f>'Expenditures 15-22'!E127</f>
        <v>68498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68498</v>
      </c>
      <c r="C1241" s="2" t="s">
        <v>569</v>
      </c>
      <c r="D1241" s="2" t="str">
        <f t="shared" si="18"/>
        <v>Error?</v>
      </c>
    </row>
    <row r="1242" spans="1:4" x14ac:dyDescent="0.2">
      <c r="A1242" s="5">
        <v>1181</v>
      </c>
      <c r="B1242" s="1832">
        <f>'Expenditures 15-22'!E151</f>
        <v>68498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115872</v>
      </c>
      <c r="D1245" s="2" t="str">
        <f t="shared" si="18"/>
        <v>Error?</v>
      </c>
    </row>
    <row r="1246" spans="1:4" x14ac:dyDescent="0.2">
      <c r="A1246" s="10">
        <v>1185</v>
      </c>
      <c r="B1246" s="1832"/>
      <c r="D1246" s="2" t="str">
        <f t="shared" si="18"/>
        <v>OK</v>
      </c>
    </row>
    <row r="1247" spans="1:4" x14ac:dyDescent="0.2">
      <c r="A1247" s="5">
        <v>1186</v>
      </c>
      <c r="B1247" s="1832">
        <f>'Expenditures 15-22'!F127</f>
        <v>115872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115872</v>
      </c>
      <c r="C1249" s="2" t="s">
        <v>569</v>
      </c>
      <c r="D1249" s="2" t="str">
        <f t="shared" si="18"/>
        <v>Error?</v>
      </c>
    </row>
    <row r="1250" spans="1:4" x14ac:dyDescent="0.2">
      <c r="A1250" s="5">
        <v>1189</v>
      </c>
      <c r="B1250" s="1832">
        <f>'Expenditures 15-22'!F151</f>
        <v>115872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385735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385735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385735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385735</v>
      </c>
      <c r="C1288" s="2" t="s">
        <v>569</v>
      </c>
      <c r="D1288" s="2" t="str">
        <f t="shared" si="19"/>
        <v>Error?</v>
      </c>
    </row>
    <row r="1289" spans="1:4" x14ac:dyDescent="0.2">
      <c r="A1289" s="5">
        <v>1228</v>
      </c>
      <c r="B1289" s="1832">
        <f>'Expenditures 15-22'!K152</f>
        <v>56256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107681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286000</v>
      </c>
      <c r="D1315" s="2" t="str">
        <f t="shared" si="19"/>
        <v>Error?</v>
      </c>
    </row>
    <row r="1316" spans="1:4" x14ac:dyDescent="0.2">
      <c r="A1316" s="5">
        <v>1255</v>
      </c>
      <c r="B1316" s="1832">
        <f>'Expenditures 15-22'!H171</f>
        <v>1100</v>
      </c>
      <c r="D1316" s="2" t="str">
        <f t="shared" si="19"/>
        <v>Error?</v>
      </c>
    </row>
    <row r="1317" spans="1:4" x14ac:dyDescent="0.2">
      <c r="A1317" s="5">
        <v>1256</v>
      </c>
      <c r="B1317" s="1832">
        <f>'Expenditures 15-22'!H172</f>
        <v>394781</v>
      </c>
      <c r="C1317" s="2" t="s">
        <v>569</v>
      </c>
      <c r="D1317" s="2" t="str">
        <f t="shared" si="19"/>
        <v>Error?</v>
      </c>
    </row>
    <row r="1318" spans="1:4" x14ac:dyDescent="0.2">
      <c r="A1318" s="5">
        <v>1257</v>
      </c>
      <c r="B1318" s="1832">
        <f>'Expenditures 15-22'!H174</f>
        <v>394781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107681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286000</v>
      </c>
      <c r="C1329" s="2" t="s">
        <v>569</v>
      </c>
      <c r="D1329" s="2" t="str">
        <f t="shared" si="19"/>
        <v>Error?</v>
      </c>
    </row>
    <row r="1330" spans="1:4" x14ac:dyDescent="0.2">
      <c r="A1330" s="5">
        <v>1269</v>
      </c>
      <c r="B1330" s="1832">
        <f>'Expenditures 15-22'!K171</f>
        <v>1100</v>
      </c>
      <c r="C1330" s="2" t="s">
        <v>569</v>
      </c>
      <c r="D1330" s="2" t="str">
        <f t="shared" si="19"/>
        <v>Error?</v>
      </c>
    </row>
    <row r="1331" spans="1:4" x14ac:dyDescent="0.2">
      <c r="A1331" s="5">
        <v>1270</v>
      </c>
      <c r="B1331" s="1832">
        <f>'Expenditures 15-22'!K172</f>
        <v>394781</v>
      </c>
      <c r="C1331" s="2" t="s">
        <v>569</v>
      </c>
      <c r="D1331" s="2" t="str">
        <f t="shared" si="19"/>
        <v>Error?</v>
      </c>
    </row>
    <row r="1332" spans="1:4" x14ac:dyDescent="0.2">
      <c r="A1332" s="5">
        <v>1271</v>
      </c>
      <c r="B1332" s="1832">
        <f>'Expenditures 15-22'!K174</f>
        <v>394781</v>
      </c>
      <c r="C1332" s="2" t="s">
        <v>569</v>
      </c>
      <c r="D1332" s="2" t="str">
        <f t="shared" si="19"/>
        <v>Error?</v>
      </c>
    </row>
    <row r="1333" spans="1:4" x14ac:dyDescent="0.2">
      <c r="A1333" s="5">
        <v>1272</v>
      </c>
      <c r="B1333" s="1832">
        <f>'Expenditures 15-22'!K175</f>
        <v>188284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177455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177455</v>
      </c>
      <c r="C1339" s="2" t="s">
        <v>569</v>
      </c>
      <c r="D1339" s="2" t="str">
        <f t="shared" si="19"/>
        <v>Error?</v>
      </c>
    </row>
    <row r="1340" spans="1:4" x14ac:dyDescent="0.2">
      <c r="A1340" s="5">
        <v>1279</v>
      </c>
      <c r="B1340" s="1832">
        <f>'Expenditures 15-22'!C210</f>
        <v>177455</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14355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14355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14355</v>
      </c>
      <c r="C1353" s="2" t="s">
        <v>569</v>
      </c>
      <c r="D1353" s="2" t="str">
        <f t="shared" si="20"/>
        <v>Error?</v>
      </c>
    </row>
    <row r="1354" spans="1:4" x14ac:dyDescent="0.2">
      <c r="A1354" s="5">
        <v>1293</v>
      </c>
      <c r="B1354" s="1832">
        <f>'Expenditures 15-22'!F182</f>
        <v>38576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38576</v>
      </c>
      <c r="C1358" s="2" t="s">
        <v>569</v>
      </c>
      <c r="D1358" s="2" t="str">
        <f t="shared" si="20"/>
        <v>Error?</v>
      </c>
    </row>
    <row r="1359" spans="1:4" x14ac:dyDescent="0.2">
      <c r="A1359" s="5">
        <v>1298</v>
      </c>
      <c r="B1359" s="1832">
        <f>'Expenditures 15-22'!F210</f>
        <v>38576</v>
      </c>
      <c r="C1359" s="2" t="s">
        <v>569</v>
      </c>
      <c r="D1359" s="2" t="str">
        <f t="shared" si="20"/>
        <v>Error?</v>
      </c>
    </row>
    <row r="1360" spans="1:4" x14ac:dyDescent="0.2">
      <c r="A1360" s="5">
        <v>1299</v>
      </c>
      <c r="B1360" s="1832">
        <f>'Expenditures 15-22'!G182</f>
        <v>76126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76126</v>
      </c>
      <c r="C1364" s="2" t="s">
        <v>569</v>
      </c>
      <c r="D1364" s="2" t="str">
        <f t="shared" si="20"/>
        <v>Error?</v>
      </c>
    </row>
    <row r="1365" spans="1:4" x14ac:dyDescent="0.2">
      <c r="A1365" s="5">
        <v>1304</v>
      </c>
      <c r="B1365" s="1832">
        <f>'Expenditures 15-22'!G210</f>
        <v>76126</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101364</v>
      </c>
      <c r="C1375" s="2" t="s">
        <v>569</v>
      </c>
      <c r="D1375" s="2" t="str">
        <f t="shared" si="20"/>
        <v>Error?</v>
      </c>
    </row>
    <row r="1376" spans="1:4" x14ac:dyDescent="0.2">
      <c r="A1376" s="5">
        <v>1315</v>
      </c>
      <c r="B1376" s="1832">
        <f>'Expenditures 15-22'!H210</f>
        <v>101364</v>
      </c>
      <c r="C1376" s="2" t="s">
        <v>569</v>
      </c>
      <c r="D1376" s="2" t="str">
        <f t="shared" si="20"/>
        <v>Error?</v>
      </c>
    </row>
    <row r="1377" spans="1:4" x14ac:dyDescent="0.2">
      <c r="A1377" s="5">
        <v>1316</v>
      </c>
      <c r="B1377" s="1832">
        <f>'Expenditures 15-22'!K182</f>
        <v>306512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306512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101364</v>
      </c>
      <c r="C1387" s="2" t="s">
        <v>569</v>
      </c>
      <c r="D1387" s="2" t="str">
        <f t="shared" si="20"/>
        <v>Error?</v>
      </c>
    </row>
    <row r="1388" spans="1:4" x14ac:dyDescent="0.2">
      <c r="A1388" s="5">
        <v>1327</v>
      </c>
      <c r="B1388" s="1832">
        <f>'Expenditures 15-22'!K210</f>
        <v>407876</v>
      </c>
      <c r="C1388" s="2" t="s">
        <v>569</v>
      </c>
      <c r="D1388" s="2" t="str">
        <f t="shared" si="20"/>
        <v>Error?</v>
      </c>
    </row>
    <row r="1389" spans="1:4" x14ac:dyDescent="0.2">
      <c r="A1389" s="5">
        <v>1328</v>
      </c>
      <c r="B1389" s="1832">
        <f>'Expenditures 15-22'!K211</f>
        <v>-51745</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1935</v>
      </c>
      <c r="D1407" s="2" t="str">
        <f t="shared" ref="D1407:D1470" si="21">IF(ISBLANK(B1407),"OK",IF(A1407-B1407=0,"OK","Error?"))</f>
        <v>Error?</v>
      </c>
    </row>
    <row r="1408" spans="1:4" x14ac:dyDescent="0.2">
      <c r="A1408" s="5">
        <v>1347</v>
      </c>
      <c r="B1408" s="1832">
        <f>'Expenditures 15-22'!D223</f>
        <v>6304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87652</v>
      </c>
      <c r="C1410" s="2" t="s">
        <v>569</v>
      </c>
      <c r="D1410" s="2" t="str">
        <f t="shared" si="21"/>
        <v>Error?</v>
      </c>
    </row>
    <row r="1411" spans="1:4" x14ac:dyDescent="0.2">
      <c r="A1411" s="5">
        <v>1350</v>
      </c>
      <c r="B1411" s="1832">
        <f>'Expenditures 15-22'!D232</f>
        <v>620</v>
      </c>
      <c r="D1411" s="2" t="str">
        <f t="shared" si="21"/>
        <v>Error?</v>
      </c>
    </row>
    <row r="1412" spans="1:4" x14ac:dyDescent="0.2">
      <c r="A1412" s="5">
        <v>1351</v>
      </c>
      <c r="B1412" s="1832">
        <f>'Expenditures 15-22'!D233</f>
        <v>690</v>
      </c>
      <c r="D1412" s="2" t="str">
        <f t="shared" si="21"/>
        <v>Error?</v>
      </c>
    </row>
    <row r="1413" spans="1:4" x14ac:dyDescent="0.2">
      <c r="A1413" s="5">
        <v>1352</v>
      </c>
      <c r="B1413" s="1832">
        <f>'Expenditures 15-22'!D234</f>
        <v>4436</v>
      </c>
      <c r="D1413" s="2" t="str">
        <f t="shared" si="21"/>
        <v>Error?</v>
      </c>
    </row>
    <row r="1414" spans="1:4" x14ac:dyDescent="0.2">
      <c r="A1414" s="5">
        <v>1353</v>
      </c>
      <c r="B1414" s="1832">
        <f>'Expenditures 15-22'!D235</f>
        <v>716</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799</v>
      </c>
      <c r="D1416" s="2" t="str">
        <f t="shared" si="21"/>
        <v>Error?</v>
      </c>
    </row>
    <row r="1417" spans="1:4" x14ac:dyDescent="0.2">
      <c r="A1417" s="5">
        <v>1356</v>
      </c>
      <c r="B1417" s="1832">
        <f>'Expenditures 15-22'!D238</f>
        <v>7261</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4670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4670</v>
      </c>
      <c r="C1421" s="2" t="s">
        <v>569</v>
      </c>
      <c r="D1421" s="2" t="str">
        <f t="shared" si="21"/>
        <v>Error?</v>
      </c>
    </row>
    <row r="1422" spans="1:4" x14ac:dyDescent="0.2">
      <c r="A1422" s="5">
        <v>1361</v>
      </c>
      <c r="B1422" s="1832">
        <f>'Expenditures 15-22'!D245</f>
        <v>106</v>
      </c>
      <c r="D1422" s="2" t="str">
        <f t="shared" si="21"/>
        <v>Error?</v>
      </c>
    </row>
    <row r="1423" spans="1:4" x14ac:dyDescent="0.2">
      <c r="A1423" s="5">
        <v>1362</v>
      </c>
      <c r="B1423" s="1832">
        <f>'Expenditures 15-22'!D246</f>
        <v>1015</v>
      </c>
      <c r="D1423" s="2" t="str">
        <f t="shared" si="21"/>
        <v>Error?</v>
      </c>
    </row>
    <row r="1424" spans="1:4" x14ac:dyDescent="0.2">
      <c r="A1424" s="5">
        <v>1363</v>
      </c>
      <c r="B1424" s="1832">
        <f>'Expenditures 15-22'!D257</f>
        <v>1121</v>
      </c>
      <c r="C1424" s="2" t="s">
        <v>569</v>
      </c>
      <c r="D1424" s="2" t="str">
        <f t="shared" si="21"/>
        <v>Error?</v>
      </c>
    </row>
    <row r="1425" spans="1:4" x14ac:dyDescent="0.2">
      <c r="A1425" s="5">
        <v>1364</v>
      </c>
      <c r="B1425" s="1832">
        <f>'Expenditures 15-22'!D259</f>
        <v>20987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20987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11761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28932</v>
      </c>
      <c r="D1431" s="2" t="str">
        <f t="shared" si="21"/>
        <v>Error?</v>
      </c>
    </row>
    <row r="1432" spans="1:4" x14ac:dyDescent="0.2">
      <c r="A1432" s="5">
        <v>1371</v>
      </c>
      <c r="B1432" s="1832">
        <f>'Expenditures 15-22'!D267</f>
        <v>26377</v>
      </c>
      <c r="D1432" s="2" t="str">
        <f t="shared" si="21"/>
        <v>Error?</v>
      </c>
    </row>
    <row r="1433" spans="1:4" x14ac:dyDescent="0.2">
      <c r="A1433" s="5">
        <v>1372</v>
      </c>
      <c r="B1433" s="1832">
        <f>'Expenditures 15-22'!D268</f>
        <v>11452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78522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112561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200213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1935</v>
      </c>
      <c r="C1471" s="2" t="s">
        <v>569</v>
      </c>
      <c r="D1471" s="2" t="str">
        <f t="shared" ref="D1471:D1534" si="22">IF(ISBLANK(B1471),"OK",IF(A1471-B1471=0,"OK","Error?"))</f>
        <v>Error?</v>
      </c>
    </row>
    <row r="1472" spans="1:4" x14ac:dyDescent="0.2">
      <c r="A1472" s="5">
        <v>1411</v>
      </c>
      <c r="B1472" s="1832">
        <f>'Expenditures 15-22'!K223</f>
        <v>6304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87652</v>
      </c>
      <c r="C1474" s="2" t="s">
        <v>569</v>
      </c>
      <c r="D1474" s="2" t="str">
        <f t="shared" si="22"/>
        <v>Error?</v>
      </c>
    </row>
    <row r="1475" spans="1:4" x14ac:dyDescent="0.2">
      <c r="A1475" s="5">
        <v>1414</v>
      </c>
      <c r="B1475" s="1832">
        <f>'Expenditures 15-22'!K232</f>
        <v>620</v>
      </c>
      <c r="C1475" s="2" t="s">
        <v>569</v>
      </c>
      <c r="D1475" s="2" t="str">
        <f t="shared" si="22"/>
        <v>Error?</v>
      </c>
    </row>
    <row r="1476" spans="1:4" x14ac:dyDescent="0.2">
      <c r="A1476" s="5">
        <v>1415</v>
      </c>
      <c r="B1476" s="1832">
        <f>'Expenditures 15-22'!K233</f>
        <v>690</v>
      </c>
      <c r="C1476" s="2" t="s">
        <v>569</v>
      </c>
      <c r="D1476" s="2" t="str">
        <f t="shared" si="22"/>
        <v>Error?</v>
      </c>
    </row>
    <row r="1477" spans="1:4" x14ac:dyDescent="0.2">
      <c r="A1477" s="5">
        <v>1416</v>
      </c>
      <c r="B1477" s="1832">
        <f>'Expenditures 15-22'!K234</f>
        <v>4436</v>
      </c>
      <c r="C1477" s="2" t="s">
        <v>569</v>
      </c>
      <c r="D1477" s="2" t="str">
        <f t="shared" si="22"/>
        <v>Error?</v>
      </c>
    </row>
    <row r="1478" spans="1:4" x14ac:dyDescent="0.2">
      <c r="A1478" s="5">
        <v>1417</v>
      </c>
      <c r="B1478" s="1832">
        <f>'Expenditures 15-22'!K235</f>
        <v>716</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799</v>
      </c>
      <c r="C1480" s="2" t="s">
        <v>569</v>
      </c>
      <c r="D1480" s="2" t="str">
        <f t="shared" si="22"/>
        <v>Error?</v>
      </c>
    </row>
    <row r="1481" spans="1:4" x14ac:dyDescent="0.2">
      <c r="A1481" s="5">
        <v>1420</v>
      </c>
      <c r="B1481" s="1832">
        <f>'Expenditures 15-22'!K238</f>
        <v>7261</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4670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4670</v>
      </c>
      <c r="C1485" s="2" t="s">
        <v>569</v>
      </c>
      <c r="D1485" s="2" t="str">
        <f t="shared" si="22"/>
        <v>Error?</v>
      </c>
    </row>
    <row r="1486" spans="1:4" x14ac:dyDescent="0.2">
      <c r="A1486" s="5">
        <v>1425</v>
      </c>
      <c r="B1486" s="1832">
        <f>'Expenditures 15-22'!K245</f>
        <v>106</v>
      </c>
      <c r="C1486" s="2" t="s">
        <v>569</v>
      </c>
      <c r="D1486" s="2" t="str">
        <f t="shared" si="22"/>
        <v>Error?</v>
      </c>
    </row>
    <row r="1487" spans="1:4" x14ac:dyDescent="0.2">
      <c r="A1487" s="5">
        <v>1426</v>
      </c>
      <c r="B1487" s="1832">
        <f>'Expenditures 15-22'!K246</f>
        <v>1015</v>
      </c>
      <c r="C1487" s="2" t="s">
        <v>569</v>
      </c>
      <c r="D1487" s="2" t="str">
        <f t="shared" si="22"/>
        <v>Error?</v>
      </c>
    </row>
    <row r="1488" spans="1:4" x14ac:dyDescent="0.2">
      <c r="A1488" s="5">
        <v>1427</v>
      </c>
      <c r="B1488" s="1832">
        <f>'Expenditures 15-22'!K257</f>
        <v>1121</v>
      </c>
      <c r="C1488" s="2" t="s">
        <v>569</v>
      </c>
      <c r="D1488" s="2" t="str">
        <f t="shared" si="22"/>
        <v>Error?</v>
      </c>
    </row>
    <row r="1489" spans="1:4" x14ac:dyDescent="0.2">
      <c r="A1489" s="5">
        <v>1428</v>
      </c>
      <c r="B1489" s="1832">
        <f>'Expenditures 15-22'!K259</f>
        <v>20987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20987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11761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28932</v>
      </c>
      <c r="C1495" s="2" t="s">
        <v>569</v>
      </c>
      <c r="D1495" s="2" t="str">
        <f t="shared" si="22"/>
        <v>Error?</v>
      </c>
    </row>
    <row r="1496" spans="1:4" x14ac:dyDescent="0.2">
      <c r="A1496" s="5">
        <v>1435</v>
      </c>
      <c r="B1496" s="1832">
        <f>'Expenditures 15-22'!K267</f>
        <v>26377</v>
      </c>
      <c r="C1496" s="2" t="s">
        <v>569</v>
      </c>
      <c r="D1496" s="2" t="str">
        <f t="shared" si="22"/>
        <v>Error?</v>
      </c>
    </row>
    <row r="1497" spans="1:4" x14ac:dyDescent="0.2">
      <c r="A1497" s="5">
        <v>1436</v>
      </c>
      <c r="B1497" s="1832">
        <f>'Expenditures 15-22'!K268</f>
        <v>11452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78522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112561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200213</v>
      </c>
      <c r="C1517" s="2" t="s">
        <v>569</v>
      </c>
      <c r="D1517" s="2" t="str">
        <f t="shared" si="22"/>
        <v>Error?</v>
      </c>
    </row>
    <row r="1518" spans="1:4" x14ac:dyDescent="0.2">
      <c r="A1518" s="5">
        <v>1457</v>
      </c>
      <c r="B1518" s="1832">
        <f>'Expenditures 15-22'!K296</f>
        <v>23299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1361</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1361</v>
      </c>
      <c r="C1535" s="2" t="s">
        <v>569</v>
      </c>
      <c r="D1535" s="2" t="str">
        <f t="shared" ref="D1535:D1598" si="23">IF(ISBLANK(B1535),"OK",IF(A1535-B1535=0,"OK","Error?"))</f>
        <v>Error?</v>
      </c>
    </row>
    <row r="1536" spans="1:4" x14ac:dyDescent="0.2">
      <c r="A1536" s="5">
        <v>1475</v>
      </c>
      <c r="B1536" s="1832">
        <f>'Expenditures 15-22'!E312</f>
        <v>1361</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4434329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4434329</v>
      </c>
      <c r="C1547" s="2" t="s">
        <v>569</v>
      </c>
      <c r="D1547" s="2" t="str">
        <f t="shared" si="23"/>
        <v>Error?</v>
      </c>
    </row>
    <row r="1548" spans="1:4" x14ac:dyDescent="0.2">
      <c r="A1548" s="5">
        <v>1487</v>
      </c>
      <c r="B1548" s="1832">
        <f>'Expenditures 15-22'!G312</f>
        <v>4434329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4435690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4435690</v>
      </c>
      <c r="C1559" s="2" t="s">
        <v>569</v>
      </c>
      <c r="D1559" s="2" t="str">
        <f t="shared" si="23"/>
        <v>Error?</v>
      </c>
    </row>
    <row r="1560" spans="1:4" x14ac:dyDescent="0.2">
      <c r="A1560" s="5">
        <v>1499</v>
      </c>
      <c r="B1560" s="1832">
        <f>'Expenditures 15-22'!K312</f>
        <v>4435690</v>
      </c>
      <c r="C1560" s="2" t="s">
        <v>569</v>
      </c>
      <c r="D1560" s="2" t="str">
        <f t="shared" si="23"/>
        <v>Error?</v>
      </c>
    </row>
    <row r="1561" spans="1:4" x14ac:dyDescent="0.2">
      <c r="A1561" s="5">
        <v>1500</v>
      </c>
      <c r="B1561" s="1832">
        <f>'Expenditures 15-22'!K313</f>
        <v>-4284909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1438363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1531931</v>
      </c>
      <c r="C1630" s="2" t="s">
        <v>569</v>
      </c>
      <c r="D1630" s="2" t="str">
        <f t="shared" si="24"/>
        <v>Error?</v>
      </c>
    </row>
    <row r="1631" spans="1:4" x14ac:dyDescent="0.2">
      <c r="A1631" s="5">
        <v>1570</v>
      </c>
      <c r="B1631" s="1832">
        <f>'Acct Summary 7-8'!D79</f>
        <v>292915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374171</v>
      </c>
      <c r="C1644" s="2" t="s">
        <v>569</v>
      </c>
      <c r="D1644" s="2" t="str">
        <f t="shared" si="24"/>
        <v>Error?</v>
      </c>
    </row>
    <row r="1645" spans="1:4" x14ac:dyDescent="0.2">
      <c r="A1645" s="5">
        <v>1584</v>
      </c>
      <c r="B1645" s="1832">
        <f>'Acct Summary 7-8'!E79</f>
        <v>49891</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238175</v>
      </c>
      <c r="C1658" s="2" t="s">
        <v>569</v>
      </c>
      <c r="D1658" s="2" t="str">
        <f t="shared" si="24"/>
        <v>Error?</v>
      </c>
    </row>
    <row r="1659" spans="1:4" x14ac:dyDescent="0.2">
      <c r="A1659" s="5">
        <v>1598</v>
      </c>
      <c r="B1659" s="1832">
        <f>'Acct Summary 7-8'!F79</f>
        <v>514331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462586</v>
      </c>
      <c r="C1672" s="2" t="s">
        <v>569</v>
      </c>
      <c r="D1672" s="2" t="str">
        <f t="shared" si="25"/>
        <v>Error?</v>
      </c>
    </row>
    <row r="1673" spans="1:4" x14ac:dyDescent="0.2">
      <c r="A1673" s="5">
        <v>1612</v>
      </c>
      <c r="B1673" s="1832">
        <f>'Acct Summary 7-8'!G79</f>
        <v>-17415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5884</v>
      </c>
      <c r="C1686" s="2" t="s">
        <v>569</v>
      </c>
      <c r="D1686" s="2" t="str">
        <f t="shared" si="25"/>
        <v>Error?</v>
      </c>
    </row>
    <row r="1687" spans="1:4" x14ac:dyDescent="0.2">
      <c r="A1687" s="5">
        <v>1626</v>
      </c>
      <c r="B1687" s="1832">
        <f>'Acct Summary 7-8'!H79</f>
        <v>4135517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1850781</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1418368</v>
      </c>
      <c r="C1744" s="2" t="s">
        <v>569</v>
      </c>
      <c r="D1744" s="2" t="str">
        <f t="shared" si="26"/>
        <v>Error?</v>
      </c>
    </row>
    <row r="1745" spans="1:5" x14ac:dyDescent="0.2">
      <c r="A1745" s="5">
        <v>1684</v>
      </c>
      <c r="B1745" s="1832">
        <f>'Tax Sched 23'!B5</f>
        <v>344372</v>
      </c>
      <c r="C1745" s="2" t="s">
        <v>569</v>
      </c>
      <c r="D1745" s="2" t="str">
        <f t="shared" si="26"/>
        <v>Error?</v>
      </c>
    </row>
    <row r="1746" spans="1:5" x14ac:dyDescent="0.2">
      <c r="A1746" s="5">
        <v>1685</v>
      </c>
      <c r="B1746" s="1832">
        <f>'Tax Sched 23'!B6</f>
        <v>278855</v>
      </c>
      <c r="C1746" s="2" t="s">
        <v>569</v>
      </c>
      <c r="D1746" s="2" t="str">
        <f t="shared" si="26"/>
        <v>Error?</v>
      </c>
    </row>
    <row r="1747" spans="1:5" x14ac:dyDescent="0.2">
      <c r="A1747" s="5">
        <v>1686</v>
      </c>
      <c r="B1747" s="1832">
        <f>'Tax Sched 23'!B7</f>
        <v>137750</v>
      </c>
      <c r="C1747" s="2" t="s">
        <v>569</v>
      </c>
      <c r="D1747" s="2" t="str">
        <f t="shared" si="26"/>
        <v>Error?</v>
      </c>
    </row>
    <row r="1748" spans="1:5" x14ac:dyDescent="0.2">
      <c r="A1748" s="5">
        <v>1687</v>
      </c>
      <c r="B1748" s="1832">
        <f>'Tax Sched 23'!B8</f>
        <v>85166</v>
      </c>
      <c r="C1748" s="2" t="s">
        <v>569</v>
      </c>
      <c r="D1748" s="2" t="str">
        <f t="shared" si="26"/>
        <v>Error?</v>
      </c>
    </row>
    <row r="1749" spans="1:5" x14ac:dyDescent="0.2">
      <c r="A1749" s="5">
        <v>1688</v>
      </c>
      <c r="B1749" s="1832">
        <f>'Tax Sched 23'!B10</f>
        <v>34436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492515</v>
      </c>
      <c r="C1752" s="2" t="s">
        <v>569</v>
      </c>
      <c r="D1752" s="2" t="str">
        <f t="shared" si="26"/>
        <v>Error?</v>
      </c>
    </row>
    <row r="1753" spans="1:5" x14ac:dyDescent="0.2">
      <c r="A1753" s="5">
        <v>1692</v>
      </c>
      <c r="B1753" s="1832">
        <f>'Tax Sched 23'!B12</f>
        <v>34436</v>
      </c>
      <c r="C1753" s="2" t="s">
        <v>569</v>
      </c>
      <c r="D1753" s="2" t="str">
        <f t="shared" si="26"/>
        <v>Error?</v>
      </c>
    </row>
    <row r="1754" spans="1:5" x14ac:dyDescent="0.2">
      <c r="A1754" s="5">
        <v>1693</v>
      </c>
      <c r="B1754" s="1832">
        <f>'Tax Sched 23'!B14</f>
        <v>27550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2973050</v>
      </c>
      <c r="C1759" s="2" t="s">
        <v>569</v>
      </c>
      <c r="D1759" s="2" t="str">
        <f t="shared" si="26"/>
        <v>Error?</v>
      </c>
    </row>
    <row r="1760" spans="1:5" x14ac:dyDescent="0.2">
      <c r="A1760" s="5">
        <v>1699</v>
      </c>
      <c r="B1760" s="1832">
        <f>'Tax Sched 23'!D4</f>
        <v>1403744</v>
      </c>
      <c r="C1760" s="2" t="s">
        <v>569</v>
      </c>
      <c r="D1760" s="2" t="str">
        <f t="shared" si="26"/>
        <v>Error?</v>
      </c>
    </row>
    <row r="1761" spans="1:7" x14ac:dyDescent="0.2">
      <c r="A1761" s="5">
        <v>1700</v>
      </c>
      <c r="B1761" s="1832">
        <f>'Tax Sched 23'!D5</f>
        <v>340840</v>
      </c>
      <c r="C1761" s="2" t="s">
        <v>569</v>
      </c>
      <c r="D1761" s="2" t="str">
        <f t="shared" si="26"/>
        <v>Error?</v>
      </c>
    </row>
    <row r="1762" spans="1:7" s="8" customFormat="1" x14ac:dyDescent="0.2">
      <c r="A1762" s="5">
        <v>1701</v>
      </c>
      <c r="B1762" s="1832">
        <f>'Tax Sched 23'!D6</f>
        <v>276047</v>
      </c>
      <c r="C1762" s="2" t="s">
        <v>569</v>
      </c>
      <c r="D1762" s="2" t="str">
        <f t="shared" si="26"/>
        <v>Error?</v>
      </c>
      <c r="E1762" s="9"/>
      <c r="G1762"/>
    </row>
    <row r="1763" spans="1:7" x14ac:dyDescent="0.2">
      <c r="A1763" s="5">
        <v>1702</v>
      </c>
      <c r="B1763" s="1832">
        <f>'Tax Sched 23'!D7</f>
        <v>136337</v>
      </c>
      <c r="C1763" s="2" t="s">
        <v>569</v>
      </c>
      <c r="D1763" s="2" t="str">
        <f t="shared" si="26"/>
        <v>Error?</v>
      </c>
    </row>
    <row r="1764" spans="1:7" x14ac:dyDescent="0.2">
      <c r="A1764" s="5">
        <v>1703</v>
      </c>
      <c r="B1764" s="1832">
        <f>'Tax Sched 23'!D8</f>
        <v>84220</v>
      </c>
      <c r="C1764" s="2" t="s">
        <v>569</v>
      </c>
      <c r="D1764" s="2" t="str">
        <f t="shared" si="26"/>
        <v>Error?</v>
      </c>
    </row>
    <row r="1765" spans="1:7" x14ac:dyDescent="0.2">
      <c r="A1765" s="5">
        <v>1704</v>
      </c>
      <c r="B1765" s="1832">
        <f>'Tax Sched 23'!D10</f>
        <v>34083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487450</v>
      </c>
      <c r="C1768" s="2" t="s">
        <v>569</v>
      </c>
      <c r="D1768" s="2" t="str">
        <f t="shared" si="26"/>
        <v>Error?</v>
      </c>
    </row>
    <row r="1769" spans="1:7" x14ac:dyDescent="0.2">
      <c r="A1769" s="5">
        <v>1708</v>
      </c>
      <c r="B1769" s="1832">
        <f>'Tax Sched 23'!D12</f>
        <v>34083</v>
      </c>
      <c r="C1769" s="2" t="s">
        <v>569</v>
      </c>
      <c r="D1769" s="2" t="str">
        <f t="shared" si="26"/>
        <v>Error?</v>
      </c>
    </row>
    <row r="1770" spans="1:7" x14ac:dyDescent="0.2">
      <c r="A1770" s="5">
        <v>1709</v>
      </c>
      <c r="B1770" s="1832">
        <f>'Tax Sched 23'!D14</f>
        <v>27267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2942374</v>
      </c>
      <c r="C1775" s="2" t="s">
        <v>569</v>
      </c>
      <c r="D1775" s="2" t="str">
        <f t="shared" si="26"/>
        <v>Error?</v>
      </c>
    </row>
    <row r="1776" spans="1:7" x14ac:dyDescent="0.2">
      <c r="A1776" s="5">
        <v>1715</v>
      </c>
      <c r="B1776" s="1832">
        <f>'Tax Sched 23'!C4</f>
        <v>14624</v>
      </c>
      <c r="D1776" s="2" t="str">
        <f t="shared" si="26"/>
        <v>Error?</v>
      </c>
    </row>
    <row r="1777" spans="1:4" x14ac:dyDescent="0.2">
      <c r="A1777" s="5">
        <v>1716</v>
      </c>
      <c r="B1777" s="1832">
        <f>'Tax Sched 23'!C5</f>
        <v>3532</v>
      </c>
      <c r="D1777" s="2" t="str">
        <f t="shared" si="26"/>
        <v>Error?</v>
      </c>
    </row>
    <row r="1778" spans="1:4" x14ac:dyDescent="0.2">
      <c r="A1778" s="5">
        <v>1717</v>
      </c>
      <c r="B1778" s="1832">
        <f>'Tax Sched 23'!C6</f>
        <v>2808</v>
      </c>
      <c r="D1778" s="2" t="str">
        <f t="shared" si="26"/>
        <v>Error?</v>
      </c>
    </row>
    <row r="1779" spans="1:4" x14ac:dyDescent="0.2">
      <c r="A1779" s="5">
        <v>1718</v>
      </c>
      <c r="B1779" s="1832">
        <f>'Tax Sched 23'!C7</f>
        <v>1413</v>
      </c>
      <c r="D1779" s="2" t="str">
        <f t="shared" si="26"/>
        <v>Error?</v>
      </c>
    </row>
    <row r="1780" spans="1:4" x14ac:dyDescent="0.2">
      <c r="A1780" s="5">
        <v>1719</v>
      </c>
      <c r="B1780" s="1832">
        <f>'Tax Sched 23'!C8</f>
        <v>946</v>
      </c>
      <c r="D1780" s="2" t="str">
        <f t="shared" si="26"/>
        <v>Error?</v>
      </c>
    </row>
    <row r="1781" spans="1:4" x14ac:dyDescent="0.2">
      <c r="A1781" s="5">
        <v>1720</v>
      </c>
      <c r="B1781" s="1832">
        <f>'Tax Sched 23'!C10</f>
        <v>353</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5065</v>
      </c>
      <c r="D1784" s="2" t="str">
        <f t="shared" si="26"/>
        <v>Error?</v>
      </c>
    </row>
    <row r="1785" spans="1:4" x14ac:dyDescent="0.2">
      <c r="A1785" s="5">
        <v>1724</v>
      </c>
      <c r="B1785" s="1832">
        <f>'Tax Sched 23'!C12</f>
        <v>353</v>
      </c>
      <c r="D1785" s="2" t="str">
        <f t="shared" si="26"/>
        <v>Error?</v>
      </c>
    </row>
    <row r="1786" spans="1:4" x14ac:dyDescent="0.2">
      <c r="A1786" s="5">
        <v>1725</v>
      </c>
      <c r="B1786" s="1832">
        <f>'Tax Sched 23'!C14</f>
        <v>283</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30676</v>
      </c>
      <c r="C1791" s="2" t="s">
        <v>569</v>
      </c>
      <c r="D1791" s="2" t="str">
        <f t="shared" ref="D1791:D1854" si="27">IF(ISBLANK(B1791),"OK",IF(A1791-B1791=0,"OK","Error?"))</f>
        <v>Error?</v>
      </c>
    </row>
    <row r="1792" spans="1:4" x14ac:dyDescent="0.2">
      <c r="A1792" s="5">
        <v>1731</v>
      </c>
      <c r="B1792" s="1832">
        <f>'Tax Sched 23'!F4</f>
        <v>1551313</v>
      </c>
      <c r="C1792" s="2" t="s">
        <v>569</v>
      </c>
      <c r="D1792" s="2" t="str">
        <f t="shared" si="27"/>
        <v>Error?</v>
      </c>
    </row>
    <row r="1793" spans="1:4" x14ac:dyDescent="0.2">
      <c r="A1793" s="5">
        <v>1732</v>
      </c>
      <c r="B1793" s="1832">
        <f>'Tax Sched 23'!F5</f>
        <v>374714</v>
      </c>
      <c r="C1793" s="2" t="s">
        <v>569</v>
      </c>
      <c r="D1793" s="2" t="str">
        <f t="shared" si="27"/>
        <v>Error?</v>
      </c>
    </row>
    <row r="1794" spans="1:4" x14ac:dyDescent="0.2">
      <c r="A1794" s="5">
        <v>1733</v>
      </c>
      <c r="B1794" s="1832">
        <f>'Tax Sched 23'!F6</f>
        <v>297897</v>
      </c>
      <c r="C1794" s="2" t="s">
        <v>569</v>
      </c>
      <c r="D1794" s="2" t="str">
        <f t="shared" si="27"/>
        <v>Error?</v>
      </c>
    </row>
    <row r="1795" spans="1:4" x14ac:dyDescent="0.2">
      <c r="A1795" s="5">
        <v>1734</v>
      </c>
      <c r="B1795" s="1832">
        <f>'Tax Sched 23'!F7</f>
        <v>149885</v>
      </c>
      <c r="C1795" s="2" t="s">
        <v>569</v>
      </c>
      <c r="D1795" s="2" t="str">
        <f t="shared" si="27"/>
        <v>Error?</v>
      </c>
    </row>
    <row r="1796" spans="1:4" x14ac:dyDescent="0.2">
      <c r="A1796" s="5">
        <v>1735</v>
      </c>
      <c r="B1796" s="1832">
        <f>'Tax Sched 23'!F8</f>
        <v>100348</v>
      </c>
      <c r="C1796" s="2" t="s">
        <v>569</v>
      </c>
      <c r="D1796" s="2" t="str">
        <f t="shared" si="27"/>
        <v>Error?</v>
      </c>
    </row>
    <row r="1797" spans="1:4" x14ac:dyDescent="0.2">
      <c r="A1797" s="5">
        <v>1736</v>
      </c>
      <c r="B1797" s="1832">
        <f>'Tax Sched 23'!F10</f>
        <v>37472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537339</v>
      </c>
      <c r="C1800" s="2" t="s">
        <v>569</v>
      </c>
      <c r="D1800" s="2" t="str">
        <f t="shared" si="27"/>
        <v>Error?</v>
      </c>
    </row>
    <row r="1801" spans="1:4" x14ac:dyDescent="0.2">
      <c r="A1801" s="5">
        <v>1740</v>
      </c>
      <c r="B1801" s="1832">
        <f>'Tax Sched 23'!F12</f>
        <v>37472</v>
      </c>
      <c r="C1801" s="2" t="s">
        <v>569</v>
      </c>
      <c r="D1801" s="2" t="str">
        <f t="shared" si="27"/>
        <v>Error?</v>
      </c>
    </row>
    <row r="1802" spans="1:4" x14ac:dyDescent="0.2">
      <c r="A1802" s="5">
        <v>1741</v>
      </c>
      <c r="B1802" s="1832">
        <f>'Tax Sched 23'!F14</f>
        <v>29977</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3254237</v>
      </c>
      <c r="C1807" s="2" t="s">
        <v>569</v>
      </c>
      <c r="D1807" s="2" t="str">
        <f t="shared" si="27"/>
        <v>Error?</v>
      </c>
    </row>
    <row r="1808" spans="1:4" x14ac:dyDescent="0.2">
      <c r="A1808" s="5">
        <v>1747</v>
      </c>
      <c r="B1808" s="1832">
        <f>'Tax Sched 23'!E4</f>
        <v>1565937</v>
      </c>
      <c r="D1808" s="2" t="str">
        <f t="shared" si="27"/>
        <v>Error?</v>
      </c>
    </row>
    <row r="1809" spans="1:4" x14ac:dyDescent="0.2">
      <c r="A1809" s="5">
        <v>1748</v>
      </c>
      <c r="B1809" s="1832">
        <f>'Tax Sched 23'!E5</f>
        <v>378246</v>
      </c>
      <c r="D1809" s="2" t="str">
        <f t="shared" si="27"/>
        <v>Error?</v>
      </c>
    </row>
    <row r="1810" spans="1:4" x14ac:dyDescent="0.2">
      <c r="A1810" s="5">
        <v>1749</v>
      </c>
      <c r="B1810" s="1832">
        <f>'Tax Sched 23'!E6</f>
        <v>300705</v>
      </c>
      <c r="D1810" s="2" t="str">
        <f t="shared" si="27"/>
        <v>Error?</v>
      </c>
    </row>
    <row r="1811" spans="1:4" x14ac:dyDescent="0.2">
      <c r="A1811" s="5">
        <v>1750</v>
      </c>
      <c r="B1811" s="1832">
        <f>'Tax Sched 23'!E7</f>
        <v>151298</v>
      </c>
      <c r="D1811" s="2" t="str">
        <f t="shared" si="27"/>
        <v>Error?</v>
      </c>
    </row>
    <row r="1812" spans="1:4" x14ac:dyDescent="0.2">
      <c r="A1812" s="5">
        <v>1751</v>
      </c>
      <c r="B1812" s="1832">
        <f>'Tax Sched 23'!E8</f>
        <v>101294</v>
      </c>
      <c r="D1812" s="2" t="str">
        <f t="shared" si="27"/>
        <v>Error?</v>
      </c>
    </row>
    <row r="1813" spans="1:4" x14ac:dyDescent="0.2">
      <c r="A1813" s="5">
        <v>1752</v>
      </c>
      <c r="B1813" s="1832">
        <f>'Tax Sched 23'!E10</f>
        <v>37825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542404</v>
      </c>
      <c r="D1816" s="2" t="str">
        <f t="shared" si="27"/>
        <v>Error?</v>
      </c>
    </row>
    <row r="1817" spans="1:4" x14ac:dyDescent="0.2">
      <c r="A1817" s="5">
        <v>1756</v>
      </c>
      <c r="B1817" s="1832">
        <f>'Tax Sched 23'!E12</f>
        <v>37825</v>
      </c>
      <c r="D1817" s="2" t="str">
        <f t="shared" si="27"/>
        <v>Error?</v>
      </c>
    </row>
    <row r="1818" spans="1:4" x14ac:dyDescent="0.2">
      <c r="A1818" s="5">
        <v>1757</v>
      </c>
      <c r="B1818" s="1832">
        <f>'Tax Sched 23'!E14</f>
        <v>30260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3284913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3240634</v>
      </c>
      <c r="C1939" s="2" t="s">
        <v>569</v>
      </c>
      <c r="D1939" s="2" t="str">
        <f t="shared" si="29"/>
        <v>Error?</v>
      </c>
    </row>
    <row r="1940" spans="1:5" x14ac:dyDescent="0.2">
      <c r="A1940" s="5">
        <v>1879</v>
      </c>
      <c r="B1940" s="1832">
        <f>'Short-Term Long-Term Debt 24'!F49</f>
        <v>2440000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27550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27550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27550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19178</v>
      </c>
      <c r="D2008" s="2" t="str">
        <f t="shared" si="30"/>
        <v>Error?</v>
      </c>
    </row>
    <row r="2009" spans="1:4" x14ac:dyDescent="0.2">
      <c r="A2009" s="5">
        <v>1948</v>
      </c>
      <c r="B2009" s="1832">
        <f>'Cap Outlay Deprec 26'!C8</f>
        <v>5791133</v>
      </c>
      <c r="D2009" s="2" t="str">
        <f t="shared" si="30"/>
        <v>Error?</v>
      </c>
    </row>
    <row r="2010" spans="1:4" x14ac:dyDescent="0.2">
      <c r="A2010" s="5">
        <v>1949</v>
      </c>
      <c r="B2010" s="1832">
        <f>'Cap Outlay Deprec 26'!C10</f>
        <v>179269</v>
      </c>
      <c r="D2010" s="2" t="str">
        <f t="shared" si="30"/>
        <v>Error?</v>
      </c>
    </row>
    <row r="2011" spans="1:4" x14ac:dyDescent="0.2">
      <c r="A2011" s="5">
        <v>1950</v>
      </c>
      <c r="B2011" s="1832">
        <f>'Cap Outlay Deprec 26'!C12</f>
        <v>1240726</v>
      </c>
      <c r="D2011" s="2" t="str">
        <f t="shared" si="30"/>
        <v>Error?</v>
      </c>
    </row>
    <row r="2012" spans="1:4" x14ac:dyDescent="0.2">
      <c r="A2012" s="5">
        <v>1951</v>
      </c>
      <c r="B2012" s="1832">
        <f>'Cap Outlay Deprec 26'!C13</f>
        <v>822421</v>
      </c>
      <c r="D2012" s="2" t="str">
        <f t="shared" si="30"/>
        <v>Error?</v>
      </c>
    </row>
    <row r="2013" spans="1:4" x14ac:dyDescent="0.2">
      <c r="A2013" s="5">
        <v>1952</v>
      </c>
      <c r="B2013" s="1832">
        <f>'Cap Outlay Deprec 26'!C16</f>
        <v>8170802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4434328</v>
      </c>
      <c r="D2015" s="2" t="str">
        <f t="shared" si="30"/>
        <v>Error?</v>
      </c>
    </row>
    <row r="2016" spans="1:4" x14ac:dyDescent="0.2">
      <c r="A2016" s="5">
        <v>1955</v>
      </c>
      <c r="B2016" s="1832">
        <f>'Cap Outlay Deprec 26'!D10</f>
        <v>1122679</v>
      </c>
      <c r="D2016" s="2" t="str">
        <f t="shared" si="30"/>
        <v>Error?</v>
      </c>
    </row>
    <row r="2017" spans="1:4" x14ac:dyDescent="0.2">
      <c r="A2017" s="5">
        <v>1956</v>
      </c>
      <c r="B2017" s="1832">
        <f>'Cap Outlay Deprec 26'!D12</f>
        <v>47971</v>
      </c>
      <c r="D2017" s="2" t="str">
        <f t="shared" si="30"/>
        <v>Error?</v>
      </c>
    </row>
    <row r="2018" spans="1:4" x14ac:dyDescent="0.2">
      <c r="A2018" s="5">
        <v>1957</v>
      </c>
      <c r="B2018" s="1832">
        <f>'Cap Outlay Deprec 26'!D13</f>
        <v>76126</v>
      </c>
      <c r="D2018" s="2" t="str">
        <f t="shared" si="30"/>
        <v>Error?</v>
      </c>
    </row>
    <row r="2019" spans="1:4" x14ac:dyDescent="0.2">
      <c r="A2019" s="5">
        <v>1958</v>
      </c>
      <c r="B2019" s="1832">
        <f>'Cap Outlay Deprec 26'!D16</f>
        <v>5681104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19178</v>
      </c>
      <c r="C2026" s="2" t="s">
        <v>569</v>
      </c>
      <c r="D2026" s="2" t="str">
        <f t="shared" si="30"/>
        <v>Error?</v>
      </c>
    </row>
    <row r="2027" spans="1:4" x14ac:dyDescent="0.2">
      <c r="A2027" s="5">
        <v>1966</v>
      </c>
      <c r="B2027" s="1832">
        <f>'Cap Outlay Deprec 26'!F8</f>
        <v>10225461</v>
      </c>
      <c r="C2027" s="2" t="s">
        <v>569</v>
      </c>
      <c r="D2027" s="2" t="str">
        <f t="shared" si="30"/>
        <v>Error?</v>
      </c>
    </row>
    <row r="2028" spans="1:4" x14ac:dyDescent="0.2">
      <c r="A2028" s="5">
        <v>1967</v>
      </c>
      <c r="B2028" s="1832">
        <f>'Cap Outlay Deprec 26'!F10</f>
        <v>1301948</v>
      </c>
      <c r="C2028" s="2" t="s">
        <v>569</v>
      </c>
      <c r="D2028" s="2" t="str">
        <f t="shared" si="30"/>
        <v>Error?</v>
      </c>
    </row>
    <row r="2029" spans="1:4" x14ac:dyDescent="0.2">
      <c r="A2029" s="5">
        <v>1968</v>
      </c>
      <c r="B2029" s="1832">
        <f>'Cap Outlay Deprec 26'!F12</f>
        <v>1288697</v>
      </c>
      <c r="C2029" s="2" t="s">
        <v>569</v>
      </c>
      <c r="D2029" s="2" t="str">
        <f t="shared" si="30"/>
        <v>Error?</v>
      </c>
    </row>
    <row r="2030" spans="1:4" x14ac:dyDescent="0.2">
      <c r="A2030" s="5">
        <v>1969</v>
      </c>
      <c r="B2030" s="1832">
        <f>'Cap Outlay Deprec 26'!F13</f>
        <v>898547</v>
      </c>
      <c r="C2030" s="2" t="s">
        <v>569</v>
      </c>
      <c r="D2030" s="2" t="str">
        <f t="shared" si="30"/>
        <v>Error?</v>
      </c>
    </row>
    <row r="2031" spans="1:4" x14ac:dyDescent="0.2">
      <c r="A2031" s="5">
        <v>1970</v>
      </c>
      <c r="B2031" s="1832">
        <f>'Cap Outlay Deprec 26'!F16</f>
        <v>13851906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3568001</v>
      </c>
      <c r="D2033" s="2" t="str">
        <f t="shared" si="30"/>
        <v>Error?</v>
      </c>
    </row>
    <row r="2034" spans="1:4" x14ac:dyDescent="0.2">
      <c r="A2034" s="5">
        <v>1973</v>
      </c>
      <c r="B2034" s="1832">
        <f>'Cap Outlay Deprec 26'!H10</f>
        <v>153708</v>
      </c>
      <c r="D2034" s="2" t="str">
        <f t="shared" si="30"/>
        <v>Error?</v>
      </c>
    </row>
    <row r="2035" spans="1:4" x14ac:dyDescent="0.2">
      <c r="A2035" s="5">
        <v>1974</v>
      </c>
      <c r="B2035" s="1832">
        <f>'Cap Outlay Deprec 26'!H12</f>
        <v>992383</v>
      </c>
      <c r="D2035" s="2" t="str">
        <f t="shared" si="30"/>
        <v>Error?</v>
      </c>
    </row>
    <row r="2036" spans="1:4" x14ac:dyDescent="0.2">
      <c r="A2036" s="5">
        <v>1975</v>
      </c>
      <c r="B2036" s="1832">
        <f>'Cap Outlay Deprec 26'!H13</f>
        <v>244888</v>
      </c>
      <c r="D2036" s="2" t="str">
        <f t="shared" si="30"/>
        <v>Error?</v>
      </c>
    </row>
    <row r="2037" spans="1:4" x14ac:dyDescent="0.2">
      <c r="A2037" s="5">
        <v>1976</v>
      </c>
      <c r="B2037" s="1832">
        <f>'Cap Outlay Deprec 26'!H16</f>
        <v>5014620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178174</v>
      </c>
      <c r="D2039" s="2" t="str">
        <f t="shared" si="30"/>
        <v>Error?</v>
      </c>
    </row>
    <row r="2040" spans="1:4" x14ac:dyDescent="0.2">
      <c r="A2040" s="5">
        <v>1979</v>
      </c>
      <c r="B2040" s="1832">
        <f>'Cap Outlay Deprec 26'!I10</f>
        <v>59373</v>
      </c>
      <c r="D2040" s="2" t="str">
        <f t="shared" si="30"/>
        <v>Error?</v>
      </c>
    </row>
    <row r="2041" spans="1:4" x14ac:dyDescent="0.2">
      <c r="A2041" s="5">
        <v>1980</v>
      </c>
      <c r="B2041" s="1832">
        <f>'Cap Outlay Deprec 26'!I12</f>
        <v>52509</v>
      </c>
      <c r="D2041" s="2" t="str">
        <f t="shared" si="30"/>
        <v>Error?</v>
      </c>
    </row>
    <row r="2042" spans="1:4" x14ac:dyDescent="0.2">
      <c r="A2042" s="5">
        <v>1981</v>
      </c>
      <c r="B2042" s="1832">
        <f>'Cap Outlay Deprec 26'!I13</f>
        <v>134470</v>
      </c>
      <c r="D2042" s="2" t="str">
        <f t="shared" si="30"/>
        <v>Error?</v>
      </c>
    </row>
    <row r="2043" spans="1:4" x14ac:dyDescent="0.2">
      <c r="A2043" s="5">
        <v>1982</v>
      </c>
      <c r="B2043" s="1832">
        <f>'Cap Outlay Deprec 26'!I16</f>
        <v>428349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3746175</v>
      </c>
      <c r="C2051" s="2" t="s">
        <v>569</v>
      </c>
      <c r="D2051" s="2" t="str">
        <f t="shared" si="31"/>
        <v>Error?</v>
      </c>
    </row>
    <row r="2052" spans="1:4" x14ac:dyDescent="0.2">
      <c r="A2052" s="5">
        <v>1991</v>
      </c>
      <c r="B2052" s="1832">
        <f>'Cap Outlay Deprec 26'!K10</f>
        <v>213081</v>
      </c>
      <c r="C2052" s="2" t="s">
        <v>569</v>
      </c>
      <c r="D2052" s="2" t="str">
        <f t="shared" si="31"/>
        <v>Error?</v>
      </c>
    </row>
    <row r="2053" spans="1:4" x14ac:dyDescent="0.2">
      <c r="A2053" s="5">
        <v>1992</v>
      </c>
      <c r="B2053" s="1832">
        <f>'Cap Outlay Deprec 26'!K12</f>
        <v>1044892</v>
      </c>
      <c r="C2053" s="2" t="s">
        <v>569</v>
      </c>
      <c r="D2053" s="2" t="str">
        <f t="shared" si="31"/>
        <v>Error?</v>
      </c>
    </row>
    <row r="2054" spans="1:4" x14ac:dyDescent="0.2">
      <c r="A2054" s="5">
        <v>1993</v>
      </c>
      <c r="B2054" s="1832">
        <f>'Cap Outlay Deprec 26'!K13</f>
        <v>379358</v>
      </c>
      <c r="C2054" s="2" t="s">
        <v>569</v>
      </c>
      <c r="D2054" s="2" t="str">
        <f t="shared" si="31"/>
        <v>Error?</v>
      </c>
    </row>
    <row r="2055" spans="1:4" x14ac:dyDescent="0.2">
      <c r="A2055" s="5">
        <v>1994</v>
      </c>
      <c r="B2055" s="1832">
        <f>'Cap Outlay Deprec 26'!K16</f>
        <v>5442969</v>
      </c>
      <c r="C2055" s="2" t="s">
        <v>569</v>
      </c>
      <c r="D2055" s="2" t="str">
        <f t="shared" si="31"/>
        <v>Error?</v>
      </c>
    </row>
    <row r="2056" spans="1:4" x14ac:dyDescent="0.2">
      <c r="A2056" s="5">
        <v>1995</v>
      </c>
      <c r="B2056" s="1832">
        <f>'Cap Outlay Deprec 26'!L5</f>
        <v>19178</v>
      </c>
      <c r="C2056" s="2" t="s">
        <v>569</v>
      </c>
      <c r="D2056" s="2" t="str">
        <f t="shared" si="31"/>
        <v>Error?</v>
      </c>
    </row>
    <row r="2057" spans="1:4" x14ac:dyDescent="0.2">
      <c r="A2057" s="5">
        <v>1996</v>
      </c>
      <c r="B2057" s="1832">
        <f>'Cap Outlay Deprec 26'!L8</f>
        <v>6479286</v>
      </c>
      <c r="C2057" s="2" t="s">
        <v>569</v>
      </c>
      <c r="D2057" s="2" t="str">
        <f t="shared" si="31"/>
        <v>Error?</v>
      </c>
    </row>
    <row r="2058" spans="1:4" x14ac:dyDescent="0.2">
      <c r="A2058" s="5">
        <v>1997</v>
      </c>
      <c r="B2058" s="1832">
        <f>'Cap Outlay Deprec 26'!L10</f>
        <v>1088867</v>
      </c>
      <c r="C2058" s="2" t="s">
        <v>569</v>
      </c>
      <c r="D2058" s="2" t="str">
        <f t="shared" si="31"/>
        <v>Error?</v>
      </c>
    </row>
    <row r="2059" spans="1:4" x14ac:dyDescent="0.2">
      <c r="A2059" s="5">
        <v>1998</v>
      </c>
      <c r="B2059" s="1832">
        <f>'Cap Outlay Deprec 26'!L12</f>
        <v>243805</v>
      </c>
      <c r="C2059" s="2" t="s">
        <v>569</v>
      </c>
      <c r="D2059" s="2" t="str">
        <f t="shared" si="31"/>
        <v>Error?</v>
      </c>
    </row>
    <row r="2060" spans="1:4" x14ac:dyDescent="0.2">
      <c r="A2060" s="5">
        <v>1999</v>
      </c>
      <c r="B2060" s="1832">
        <f>'Cap Outlay Deprec 26'!L13</f>
        <v>519189</v>
      </c>
      <c r="C2060" s="2" t="s">
        <v>569</v>
      </c>
      <c r="D2060" s="2" t="str">
        <f t="shared" si="31"/>
        <v>Error?</v>
      </c>
    </row>
    <row r="2061" spans="1:4" x14ac:dyDescent="0.2">
      <c r="A2061" s="5">
        <v>2000</v>
      </c>
      <c r="B2061" s="1832">
        <f>'Cap Outlay Deprec 26'!L16</f>
        <v>8408937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189047</v>
      </c>
      <c r="C2088" s="2" t="s">
        <v>569</v>
      </c>
      <c r="D2088" s="2" t="str">
        <f t="shared" si="31"/>
        <v>Error?</v>
      </c>
    </row>
    <row r="2089" spans="1:4" x14ac:dyDescent="0.2">
      <c r="A2089" s="5">
        <v>2028</v>
      </c>
      <c r="B2089" s="1832">
        <f>'Expenditures 15-22'!K92</f>
        <v>20275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2000173</v>
      </c>
      <c r="C2105" s="2" t="s">
        <v>569</v>
      </c>
      <c r="D2105" s="2" t="str">
        <f t="shared" si="31"/>
        <v>Error?</v>
      </c>
    </row>
    <row r="2106" spans="1:4" x14ac:dyDescent="0.2">
      <c r="A2106" s="5">
        <v>2045</v>
      </c>
      <c r="B2106" s="1832">
        <f>'Acct Summary 7-8'!I48</f>
        <v>25000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19174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1880872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2668818</v>
      </c>
      <c r="C2553" s="2" t="s">
        <v>569</v>
      </c>
      <c r="D2553" s="2" t="str">
        <f t="shared" si="38"/>
        <v>Error?</v>
      </c>
    </row>
    <row r="2554" spans="1:4" x14ac:dyDescent="0.2">
      <c r="A2554" s="5">
        <v>2493</v>
      </c>
      <c r="B2554" s="1832">
        <f>'Acct Summary 7-8'!C7</f>
        <v>345615</v>
      </c>
      <c r="C2554" s="2" t="s">
        <v>569</v>
      </c>
      <c r="D2554" s="2" t="str">
        <f t="shared" si="38"/>
        <v>Error?</v>
      </c>
    </row>
    <row r="2555" spans="1:4" x14ac:dyDescent="0.2">
      <c r="A2555" s="5">
        <v>2494</v>
      </c>
      <c r="B2555" s="1832">
        <f>'Acct Summary 7-8'!C8</f>
        <v>4895305</v>
      </c>
      <c r="C2555" s="2" t="s">
        <v>569</v>
      </c>
      <c r="D2555" s="2" t="str">
        <f t="shared" si="38"/>
        <v>Error?</v>
      </c>
    </row>
    <row r="2556" spans="1:4" x14ac:dyDescent="0.2">
      <c r="A2556" s="5">
        <v>2495</v>
      </c>
      <c r="B2556" s="1832">
        <f>'Acct Summary 7-8'!C12</f>
        <v>3466647</v>
      </c>
      <c r="C2556" s="2" t="s">
        <v>569</v>
      </c>
      <c r="D2556" s="2" t="str">
        <f t="shared" si="38"/>
        <v>Error?</v>
      </c>
    </row>
    <row r="2557" spans="1:4" x14ac:dyDescent="0.2">
      <c r="A2557" s="5">
        <v>2496</v>
      </c>
      <c r="B2557" s="1832">
        <f>'Acct Summary 7-8'!C13</f>
        <v>1125768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209322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4801737</v>
      </c>
      <c r="C2561" s="2" t="s">
        <v>569</v>
      </c>
      <c r="D2561" s="2" t="str">
        <f t="shared" si="39"/>
        <v>Error?</v>
      </c>
    </row>
    <row r="2562" spans="1:4" x14ac:dyDescent="0.2">
      <c r="A2562" s="5">
        <v>2501</v>
      </c>
      <c r="B2562" s="1832">
        <f>'Acct Summary 7-8'!C20</f>
        <v>93568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392051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49940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441991</v>
      </c>
      <c r="C2568" s="2" t="s">
        <v>569</v>
      </c>
      <c r="D2568" s="2" t="str">
        <f t="shared" si="39"/>
        <v>Error?</v>
      </c>
    </row>
    <row r="2569" spans="1:4" x14ac:dyDescent="0.2">
      <c r="A2569" s="5">
        <v>2508</v>
      </c>
      <c r="B2569" s="1832">
        <f>'Acct Summary 7-8'!D13</f>
        <v>385735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385735</v>
      </c>
      <c r="C2573" s="2" t="s">
        <v>569</v>
      </c>
      <c r="D2573" s="2" t="str">
        <f t="shared" si="39"/>
        <v>Error?</v>
      </c>
    </row>
    <row r="2574" spans="1:4" x14ac:dyDescent="0.2">
      <c r="A2574" s="5">
        <v>2513</v>
      </c>
      <c r="B2574" s="1832">
        <f>'Acct Summary 7-8'!D20</f>
        <v>56256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165886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190245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356131</v>
      </c>
      <c r="C2595" s="2" t="s">
        <v>569</v>
      </c>
      <c r="D2595" s="2" t="str">
        <f t="shared" si="39"/>
        <v>Error?</v>
      </c>
    </row>
    <row r="2596" spans="1:4" x14ac:dyDescent="0.2">
      <c r="A2596" s="5">
        <v>2535</v>
      </c>
      <c r="B2596" s="1832">
        <f>'Acct Summary 7-8'!F13</f>
        <v>306512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101364</v>
      </c>
      <c r="C2599" s="2" t="s">
        <v>569</v>
      </c>
      <c r="D2599" s="2" t="str">
        <f t="shared" si="39"/>
        <v>Error?</v>
      </c>
    </row>
    <row r="2600" spans="1:4" x14ac:dyDescent="0.2">
      <c r="A2600" s="5">
        <v>2539</v>
      </c>
      <c r="B2600" s="1832">
        <f>'Acct Summary 7-8'!F17</f>
        <v>407876</v>
      </c>
      <c r="C2600" s="2" t="s">
        <v>569</v>
      </c>
      <c r="D2600" s="2" t="str">
        <f t="shared" si="39"/>
        <v>Error?</v>
      </c>
    </row>
    <row r="2601" spans="1:4" x14ac:dyDescent="0.2">
      <c r="A2601" s="5">
        <v>2540</v>
      </c>
      <c r="B2601" s="1832">
        <f>'Acct Summary 7-8'!F20</f>
        <v>-51745</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223512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223512</v>
      </c>
      <c r="C2606" s="2" t="s">
        <v>569</v>
      </c>
      <c r="D2606" s="2" t="str">
        <f t="shared" si="39"/>
        <v>Error?</v>
      </c>
    </row>
    <row r="2607" spans="1:4" x14ac:dyDescent="0.2">
      <c r="A2607" s="5">
        <v>2546</v>
      </c>
      <c r="B2607" s="1832">
        <f>'Acct Summary 7-8'!G12</f>
        <v>87652</v>
      </c>
      <c r="C2607" s="2" t="s">
        <v>569</v>
      </c>
      <c r="D2607" s="2" t="str">
        <f t="shared" si="39"/>
        <v>Error?</v>
      </c>
    </row>
    <row r="2608" spans="1:4" x14ac:dyDescent="0.2">
      <c r="A2608" s="5">
        <v>2547</v>
      </c>
      <c r="B2608" s="1832">
        <f>'Acct Summary 7-8'!G13</f>
        <v>112561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200213</v>
      </c>
      <c r="C2612" s="2" t="s">
        <v>569</v>
      </c>
      <c r="D2612" s="2" t="str">
        <f t="shared" si="39"/>
        <v>Error?</v>
      </c>
    </row>
    <row r="2613" spans="1:4" x14ac:dyDescent="0.2">
      <c r="A2613" s="5">
        <v>2552</v>
      </c>
      <c r="B2613" s="1832">
        <f>'Acct Summary 7-8'!G20</f>
        <v>23299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583065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583065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394781</v>
      </c>
      <c r="C2634" s="2" t="s">
        <v>569</v>
      </c>
      <c r="D2634" s="2" t="str">
        <f t="shared" si="40"/>
        <v>Error?</v>
      </c>
    </row>
    <row r="2635" spans="1:4" x14ac:dyDescent="0.2">
      <c r="A2635" s="5">
        <v>2574</v>
      </c>
      <c r="B2635" s="1832">
        <f>'Acct Summary 7-8'!E17</f>
        <v>394781</v>
      </c>
      <c r="C2635" s="2" t="s">
        <v>569</v>
      </c>
      <c r="D2635" s="2" t="str">
        <f t="shared" si="40"/>
        <v>Error?</v>
      </c>
    </row>
    <row r="2636" spans="1:4" x14ac:dyDescent="0.2">
      <c r="A2636" s="5">
        <v>2575</v>
      </c>
      <c r="B2636" s="1832">
        <f>'Acct Summary 7-8'!E20</f>
        <v>188284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150781</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150781</v>
      </c>
      <c r="C2658" s="2" t="s">
        <v>569</v>
      </c>
      <c r="D2658" s="2" t="str">
        <f t="shared" si="40"/>
        <v>Error?</v>
      </c>
    </row>
    <row r="2659" spans="1:4" x14ac:dyDescent="0.2">
      <c r="A2659" s="5">
        <v>2598</v>
      </c>
      <c r="B2659" s="1832">
        <f>'Acct Summary 7-8'!H13</f>
        <v>4435690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4435690</v>
      </c>
      <c r="C2661" s="2" t="s">
        <v>569</v>
      </c>
      <c r="D2661" s="2" t="str">
        <f t="shared" si="40"/>
        <v>Error?</v>
      </c>
    </row>
    <row r="2662" spans="1:4" x14ac:dyDescent="0.2">
      <c r="A2662" s="5">
        <v>2601</v>
      </c>
      <c r="B2662" s="1832">
        <f>'Acct Summary 7-8'!H20</f>
        <v>-4284909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9224</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9224</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189047</v>
      </c>
      <c r="C2789" s="2" t="s">
        <v>569</v>
      </c>
      <c r="D2789" s="2" t="str">
        <f t="shared" si="42"/>
        <v>Error?</v>
      </c>
    </row>
    <row r="2790" spans="1:4" x14ac:dyDescent="0.2">
      <c r="A2790" s="5">
        <v>2729</v>
      </c>
      <c r="B2790" s="1832">
        <f>'Expenditures 15-22'!E102</f>
        <v>189047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703538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126243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703538</v>
      </c>
      <c r="D2912" s="2" t="str">
        <f t="shared" si="44"/>
        <v>Error?</v>
      </c>
    </row>
    <row r="2913" spans="1:4" x14ac:dyDescent="0.2">
      <c r="A2913" s="5">
        <v>2852</v>
      </c>
      <c r="B2913" s="1832">
        <f>'Assets-Liab 5-6'!I41</f>
        <v>703538</v>
      </c>
      <c r="C2913" s="2" t="s">
        <v>569</v>
      </c>
      <c r="D2913" s="2" t="str">
        <f t="shared" si="44"/>
        <v>Error?</v>
      </c>
    </row>
    <row r="2914" spans="1:4" x14ac:dyDescent="0.2">
      <c r="A2914" s="5">
        <v>2853</v>
      </c>
      <c r="B2914" s="1832">
        <f>'Assets-Liab 5-6'!L33</f>
        <v>126243</v>
      </c>
      <c r="D2914" s="2" t="str">
        <f t="shared" si="44"/>
        <v>Error?</v>
      </c>
    </row>
    <row r="2915" spans="1:4" x14ac:dyDescent="0.2">
      <c r="A2915" s="10">
        <v>2854</v>
      </c>
      <c r="B2915" s="1832"/>
      <c r="D2915" s="2" t="str">
        <f t="shared" si="44"/>
        <v>OK</v>
      </c>
    </row>
    <row r="2916" spans="1:4" x14ac:dyDescent="0.2">
      <c r="A2916" s="5">
        <v>2855</v>
      </c>
      <c r="B2916" s="1832">
        <f>'Assets-Liab 5-6'!L34</f>
        <v>126243</v>
      </c>
      <c r="C2916" s="2" t="s">
        <v>569</v>
      </c>
      <c r="D2916" s="2" t="str">
        <f t="shared" si="44"/>
        <v>Error?</v>
      </c>
    </row>
    <row r="2917" spans="1:4" x14ac:dyDescent="0.2">
      <c r="A2917" s="5">
        <v>2856</v>
      </c>
      <c r="B2917" s="1832">
        <f>'Assets-Liab 5-6'!L41</f>
        <v>126243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189047</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189047</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53537</v>
      </c>
      <c r="D3055" s="2" t="str">
        <f t="shared" si="46"/>
        <v>Error?</v>
      </c>
    </row>
    <row r="3056" spans="1:4" x14ac:dyDescent="0.2">
      <c r="A3056" s="5">
        <v>2995</v>
      </c>
      <c r="B3056" s="1832">
        <f>'Expenditures 15-22'!D10</f>
        <v>19348</v>
      </c>
      <c r="D3056" s="2" t="str">
        <f t="shared" si="46"/>
        <v>Error?</v>
      </c>
    </row>
    <row r="3057" spans="1:4" x14ac:dyDescent="0.2">
      <c r="A3057" s="5">
        <v>2996</v>
      </c>
      <c r="B3057" s="1832">
        <f>'Expenditures 15-22'!E10</f>
        <v>11434</v>
      </c>
      <c r="D3057" s="2" t="str">
        <f t="shared" si="46"/>
        <v>Error?</v>
      </c>
    </row>
    <row r="3058" spans="1:4" x14ac:dyDescent="0.2">
      <c r="A3058" s="5">
        <v>2997</v>
      </c>
      <c r="B3058" s="1832">
        <f>'Expenditures 15-22'!F10</f>
        <v>7755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8050</v>
      </c>
      <c r="D3060" s="2" t="str">
        <f t="shared" si="46"/>
        <v>Error?</v>
      </c>
    </row>
    <row r="3061" spans="1:4" x14ac:dyDescent="0.2">
      <c r="A3061" s="10">
        <v>3000</v>
      </c>
      <c r="B3061" s="1832"/>
      <c r="D3061" s="2" t="str">
        <f t="shared" si="46"/>
        <v>OK</v>
      </c>
    </row>
    <row r="3062" spans="1:4" x14ac:dyDescent="0.2">
      <c r="A3062" s="5">
        <v>3001</v>
      </c>
      <c r="B3062" s="1832">
        <f>'Expenditures 15-22'!K10</f>
        <v>100124</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1129</v>
      </c>
      <c r="D3064" s="2" t="str">
        <f t="shared" si="46"/>
        <v>Error?</v>
      </c>
    </row>
    <row r="3065" spans="1:4" x14ac:dyDescent="0.2">
      <c r="A3065" s="5">
        <v>3004</v>
      </c>
      <c r="B3065" s="1832">
        <f>'Expenditures 15-22'!K219</f>
        <v>1129</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67837</v>
      </c>
      <c r="C3225" s="2" t="s">
        <v>569</v>
      </c>
      <c r="D3225" s="2" t="str">
        <f t="shared" si="49"/>
        <v>Error?</v>
      </c>
    </row>
    <row r="3226" spans="1:4" x14ac:dyDescent="0.2">
      <c r="A3226" s="5">
        <v>3165</v>
      </c>
      <c r="B3226" s="1832">
        <f>'Acct Summary 7-8'!I8</f>
        <v>67837</v>
      </c>
      <c r="C3226" s="2" t="s">
        <v>569</v>
      </c>
      <c r="D3226" s="2" t="str">
        <f t="shared" si="49"/>
        <v>Error?</v>
      </c>
    </row>
    <row r="3227" spans="1:4" x14ac:dyDescent="0.2">
      <c r="A3227" s="5">
        <v>3166</v>
      </c>
      <c r="B3227" s="1832">
        <f>'Acct Summary 7-8'!I20</f>
        <v>67837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93568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25000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25000</v>
      </c>
      <c r="C3238" s="2" t="s">
        <v>569</v>
      </c>
      <c r="D3238" s="2" t="str">
        <f t="shared" si="49"/>
        <v>Error?</v>
      </c>
    </row>
    <row r="3239" spans="1:4" x14ac:dyDescent="0.2">
      <c r="A3239" s="5">
        <v>3178</v>
      </c>
      <c r="B3239" s="1832">
        <f>'Acct Summary 7-8'!D78</f>
        <v>81256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-51745</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23299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188284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2000173</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2000173</v>
      </c>
      <c r="C3299" s="2" t="s">
        <v>569</v>
      </c>
      <c r="D3299" s="2" t="str">
        <f t="shared" si="50"/>
        <v>Error?</v>
      </c>
    </row>
    <row r="3300" spans="1:4" x14ac:dyDescent="0.2">
      <c r="A3300" s="5">
        <v>3239</v>
      </c>
      <c r="B3300" s="1832">
        <f>'Acct Summary 7-8'!H78</f>
        <v>-2284736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1437768</v>
      </c>
      <c r="C3317" s="2" t="s">
        <v>569</v>
      </c>
      <c r="D3317" s="2" t="str">
        <f t="shared" si="50"/>
        <v>Error?</v>
      </c>
    </row>
    <row r="3318" spans="1:4" x14ac:dyDescent="0.2">
      <c r="A3318" s="5">
        <v>3257</v>
      </c>
      <c r="B3318" s="1832">
        <f>'Acct Summary 7-8'!I76</f>
        <v>2062768</v>
      </c>
      <c r="C3318" s="2" t="s">
        <v>569</v>
      </c>
      <c r="D3318" s="2" t="str">
        <f t="shared" si="50"/>
        <v>Error?</v>
      </c>
    </row>
    <row r="3319" spans="1:4" x14ac:dyDescent="0.2">
      <c r="A3319" s="5">
        <v>3258</v>
      </c>
      <c r="B3319" s="1832">
        <f>'Acct Summary 7-8'!I77</f>
        <v>-625000</v>
      </c>
      <c r="C3319" s="2" t="s">
        <v>569</v>
      </c>
      <c r="D3319" s="2" t="str">
        <f t="shared" si="50"/>
        <v>Error?</v>
      </c>
    </row>
    <row r="3320" spans="1:4" x14ac:dyDescent="0.2">
      <c r="A3320" s="5">
        <v>3259</v>
      </c>
      <c r="B3320" s="1832">
        <f>'Acct Summary 7-8'!I78</f>
        <v>-557163</v>
      </c>
      <c r="C3320" s="2" t="s">
        <v>569</v>
      </c>
      <c r="D3320" s="2" t="str">
        <f t="shared" si="50"/>
        <v>Error?</v>
      </c>
    </row>
    <row r="3321" spans="1:4" x14ac:dyDescent="0.2">
      <c r="A3321" s="5">
        <v>3260</v>
      </c>
      <c r="B3321" s="1832">
        <f>'Acct Summary 7-8'!I79</f>
        <v>1260701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703538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549938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134408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909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3392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25</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688672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46968</v>
      </c>
      <c r="D3387" s="2" t="str">
        <f t="shared" si="51"/>
        <v>Error?</v>
      </c>
    </row>
    <row r="3388" spans="1:4" x14ac:dyDescent="0.2">
      <c r="A3388" s="5">
        <v>3327</v>
      </c>
      <c r="B3388" s="1832">
        <f>'Expenditures 15-22'!D217</f>
        <v>31316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46968</v>
      </c>
      <c r="C3390" s="2" t="s">
        <v>569</v>
      </c>
      <c r="D3390" s="2" t="str">
        <f t="shared" si="51"/>
        <v>Error?</v>
      </c>
    </row>
    <row r="3391" spans="1:4" x14ac:dyDescent="0.2">
      <c r="A3391" s="5">
        <v>3330</v>
      </c>
      <c r="B3391" s="1832">
        <f>'Expenditures 15-22'!K217</f>
        <v>31316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1528562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374171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238175</v>
      </c>
      <c r="D3417" s="2" t="str">
        <f t="shared" si="52"/>
        <v>Error?</v>
      </c>
    </row>
    <row r="3418" spans="1:4" x14ac:dyDescent="0.2">
      <c r="A3418" s="10">
        <v>3357</v>
      </c>
      <c r="B3418" s="1832"/>
      <c r="D3418" s="2" t="str">
        <f t="shared" si="52"/>
        <v>OK</v>
      </c>
    </row>
    <row r="3419" spans="1:4" x14ac:dyDescent="0.2">
      <c r="A3419" s="5">
        <v>3358</v>
      </c>
      <c r="B3419" s="1832">
        <f>'Assets-Liab 5-6'!F4</f>
        <v>462586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5884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1850781</v>
      </c>
      <c r="D3425" s="2" t="str">
        <f t="shared" si="52"/>
        <v>Error?</v>
      </c>
    </row>
    <row r="3426" spans="1:4" x14ac:dyDescent="0.2">
      <c r="A3426" s="10">
        <v>3365</v>
      </c>
      <c r="B3426" s="1832"/>
      <c r="D3426" s="2" t="str">
        <f t="shared" si="52"/>
        <v>OK</v>
      </c>
    </row>
    <row r="3427" spans="1:4" x14ac:dyDescent="0.2">
      <c r="A3427" s="5">
        <v>3366</v>
      </c>
      <c r="B3427" s="1832">
        <f>'Assets-Liab 5-6'!I4</f>
        <v>703538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126243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85166</v>
      </c>
      <c r="C3446" s="2" t="s">
        <v>569</v>
      </c>
      <c r="D3446" s="2" t="str">
        <f t="shared" si="52"/>
        <v>Error?</v>
      </c>
    </row>
    <row r="3447" spans="1:4" x14ac:dyDescent="0.2">
      <c r="A3447" s="5">
        <v>3386</v>
      </c>
      <c r="B3447" s="1832">
        <f>'Tax Sched 23'!D16</f>
        <v>84220</v>
      </c>
      <c r="C3447" s="2" t="s">
        <v>569</v>
      </c>
      <c r="D3447" s="2" t="str">
        <f t="shared" si="52"/>
        <v>Error?</v>
      </c>
    </row>
    <row r="3448" spans="1:4" x14ac:dyDescent="0.2">
      <c r="A3448" s="5">
        <v>3387</v>
      </c>
      <c r="B3448" s="1832">
        <f>'Tax Sched 23'!C16</f>
        <v>946</v>
      </c>
      <c r="D3448" s="2" t="str">
        <f t="shared" si="52"/>
        <v>Error?</v>
      </c>
    </row>
    <row r="3449" spans="1:4" x14ac:dyDescent="0.2">
      <c r="A3449" s="5">
        <v>3388</v>
      </c>
      <c r="B3449" s="1832">
        <f>'Tax Sched 23'!F16</f>
        <v>100348</v>
      </c>
      <c r="C3449" s="2" t="s">
        <v>569</v>
      </c>
      <c r="D3449" s="2" t="str">
        <f t="shared" si="52"/>
        <v>Error?</v>
      </c>
    </row>
    <row r="3450" spans="1:4" x14ac:dyDescent="0.2">
      <c r="A3450" s="5">
        <v>3389</v>
      </c>
      <c r="B3450" s="1832">
        <f>'Tax Sched 23'!E16</f>
        <v>101294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198759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198759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198759</v>
      </c>
      <c r="D3567" s="2" t="str">
        <f t="shared" si="54"/>
        <v>Error?</v>
      </c>
    </row>
    <row r="3568" spans="1:4" x14ac:dyDescent="0.2">
      <c r="A3568" s="5">
        <v>3507</v>
      </c>
      <c r="B3568" s="1832">
        <f>'Assets-Liab 5-6'!K41</f>
        <v>198759</v>
      </c>
      <c r="C3568" s="2" t="s">
        <v>569</v>
      </c>
      <c r="D3568" s="2" t="str">
        <f t="shared" si="54"/>
        <v>Error?</v>
      </c>
    </row>
    <row r="3569" spans="1:4" x14ac:dyDescent="0.2">
      <c r="A3569" s="5">
        <v>3508</v>
      </c>
      <c r="B3569" s="1832">
        <f>'Acct Summary 7-8'!K4</f>
        <v>46873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46873</v>
      </c>
      <c r="C3571" s="2" t="s">
        <v>569</v>
      </c>
      <c r="D3571" s="2" t="str">
        <f t="shared" si="54"/>
        <v>Error?</v>
      </c>
    </row>
    <row r="3572" spans="1:4" x14ac:dyDescent="0.2">
      <c r="A3572" s="5">
        <v>3511</v>
      </c>
      <c r="B3572" s="1832">
        <f>'Acct Summary 7-8'!K13</f>
        <v>1151628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1151628</v>
      </c>
      <c r="C3575" s="2" t="s">
        <v>569</v>
      </c>
      <c r="D3575" s="2" t="str">
        <f t="shared" si="54"/>
        <v>Error?</v>
      </c>
    </row>
    <row r="3576" spans="1:4" x14ac:dyDescent="0.2">
      <c r="A3576" s="5">
        <v>3515</v>
      </c>
      <c r="B3576" s="1832">
        <f>'Acct Summary 7-8'!K20</f>
        <v>-1104755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1120000</v>
      </c>
      <c r="D3579" s="2" t="str">
        <f t="shared" si="54"/>
        <v>Error?</v>
      </c>
    </row>
    <row r="3580" spans="1:4" x14ac:dyDescent="0.2">
      <c r="A3580" s="5">
        <v>3519</v>
      </c>
      <c r="B3580" s="1832">
        <f>'Acct Summary 7-8'!K34</f>
        <v>116775</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1236775</v>
      </c>
      <c r="C3584" s="2" t="s">
        <v>569</v>
      </c>
      <c r="D3584" s="2" t="str">
        <f t="shared" si="55"/>
        <v>Error?</v>
      </c>
    </row>
    <row r="3585" spans="1:4" x14ac:dyDescent="0.2">
      <c r="A3585" s="12">
        <v>3524</v>
      </c>
      <c r="B3585" s="1832">
        <f>'Acct Summary 7-8'!K75</f>
        <v>32656</v>
      </c>
      <c r="D3585" s="2" t="str">
        <f t="shared" si="55"/>
        <v>Error?</v>
      </c>
    </row>
    <row r="3586" spans="1:4" x14ac:dyDescent="0.2">
      <c r="A3586" s="5">
        <v>3525</v>
      </c>
      <c r="B3586" s="1832">
        <f>'Acct Summary 7-8'!K76</f>
        <v>32656</v>
      </c>
      <c r="C3586" s="2" t="s">
        <v>569</v>
      </c>
      <c r="D3586" s="2" t="str">
        <f t="shared" si="55"/>
        <v>Error?</v>
      </c>
    </row>
    <row r="3587" spans="1:4" x14ac:dyDescent="0.2">
      <c r="A3587" s="5">
        <v>3526</v>
      </c>
      <c r="B3587" s="1832">
        <f>'Acct Summary 7-8'!K77</f>
        <v>1204119</v>
      </c>
      <c r="C3587" s="2" t="s">
        <v>569</v>
      </c>
      <c r="D3587" s="2" t="str">
        <f t="shared" si="55"/>
        <v>Error?</v>
      </c>
    </row>
    <row r="3588" spans="1:4" x14ac:dyDescent="0.2">
      <c r="A3588" s="5">
        <v>3527</v>
      </c>
      <c r="B3588" s="1832">
        <f>'Acct Summary 7-8'!K78</f>
        <v>99364</v>
      </c>
      <c r="C3588" s="2" t="s">
        <v>569</v>
      </c>
      <c r="D3588" s="2" t="str">
        <f t="shared" si="55"/>
        <v>Error?</v>
      </c>
    </row>
    <row r="3589" spans="1:4" x14ac:dyDescent="0.2">
      <c r="A3589" s="5">
        <v>3528</v>
      </c>
      <c r="B3589" s="1832">
        <f>'Acct Summary 7-8'!K79</f>
        <v>99395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198759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28789</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28789</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28789</v>
      </c>
      <c r="C3635" s="2" t="s">
        <v>569</v>
      </c>
      <c r="D3635" s="2" t="str">
        <f t="shared" si="55"/>
        <v>Error?</v>
      </c>
    </row>
    <row r="3636" spans="1:4" x14ac:dyDescent="0.2">
      <c r="A3636" s="5">
        <v>3575</v>
      </c>
      <c r="B3636" s="1832">
        <f>'Expenditures 15-22'!E367</f>
        <v>28789</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160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160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160</v>
      </c>
      <c r="C3642" s="2" t="s">
        <v>569</v>
      </c>
      <c r="D3642" s="2" t="str">
        <f t="shared" si="55"/>
        <v>Error?</v>
      </c>
    </row>
    <row r="3643" spans="1:4" x14ac:dyDescent="0.2">
      <c r="A3643" s="5">
        <v>3582</v>
      </c>
      <c r="B3643" s="1832">
        <f>'Expenditures 15-22'!F367</f>
        <v>160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1122679</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1122679</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1122679</v>
      </c>
      <c r="C3649" s="2" t="s">
        <v>569</v>
      </c>
      <c r="D3649" s="2" t="str">
        <f t="shared" si="56"/>
        <v>Error?</v>
      </c>
    </row>
    <row r="3650" spans="1:4" x14ac:dyDescent="0.2">
      <c r="A3650" s="5">
        <v>3589</v>
      </c>
      <c r="B3650" s="1832">
        <f>'Expenditures 15-22'!G367</f>
        <v>1122679</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1151628</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1151628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1151628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1151628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-1104755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34436</v>
      </c>
      <c r="C3725" s="2" t="s">
        <v>569</v>
      </c>
      <c r="D3725" s="2" t="str">
        <f t="shared" si="57"/>
        <v>Error?</v>
      </c>
    </row>
    <row r="3726" spans="1:4" x14ac:dyDescent="0.2">
      <c r="A3726" s="5">
        <v>3665</v>
      </c>
      <c r="B3726" s="1832">
        <f>'Tax Sched 23'!D13</f>
        <v>34083</v>
      </c>
      <c r="C3726" s="2" t="s">
        <v>569</v>
      </c>
      <c r="D3726" s="2" t="str">
        <f t="shared" si="57"/>
        <v>Error?</v>
      </c>
    </row>
    <row r="3727" spans="1:4" x14ac:dyDescent="0.2">
      <c r="A3727" s="5">
        <v>3666</v>
      </c>
      <c r="B3727" s="1832">
        <f>'Tax Sched 23'!C13</f>
        <v>353</v>
      </c>
      <c r="D3727" s="2" t="str">
        <f t="shared" si="57"/>
        <v>Error?</v>
      </c>
    </row>
    <row r="3728" spans="1:4" x14ac:dyDescent="0.2">
      <c r="A3728" s="5">
        <v>3667</v>
      </c>
      <c r="B3728" s="1832">
        <f>'Tax Sched 23'!F13</f>
        <v>37472</v>
      </c>
      <c r="C3728" s="2" t="s">
        <v>569</v>
      </c>
      <c r="D3728" s="2" t="str">
        <f t="shared" si="57"/>
        <v>Error?</v>
      </c>
    </row>
    <row r="3729" spans="1:4" x14ac:dyDescent="0.2">
      <c r="A3729" s="5">
        <v>3668</v>
      </c>
      <c r="B3729" s="1832">
        <f>'Tax Sched 23'!E13</f>
        <v>37825</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2422410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7317715</v>
      </c>
      <c r="C4122" s="2" t="s">
        <v>569</v>
      </c>
      <c r="D4122" s="2" t="str">
        <f t="shared" si="63"/>
        <v>Error?</v>
      </c>
    </row>
    <row r="4123" spans="1:4" x14ac:dyDescent="0.2">
      <c r="A4123" s="5">
        <v>4062</v>
      </c>
      <c r="B4123" s="1832">
        <f>'Acct Summary 7-8'!D10</f>
        <v>441991</v>
      </c>
      <c r="C4123" s="2" t="s">
        <v>569</v>
      </c>
      <c r="D4123" s="2" t="str">
        <f t="shared" si="63"/>
        <v>Error?</v>
      </c>
    </row>
    <row r="4124" spans="1:4" x14ac:dyDescent="0.2">
      <c r="A4124" s="5">
        <v>4063</v>
      </c>
      <c r="B4124" s="1832">
        <f>'Acct Summary 7-8'!E10</f>
        <v>583065</v>
      </c>
      <c r="C4124" s="2" t="s">
        <v>569</v>
      </c>
      <c r="D4124" s="2" t="str">
        <f t="shared" si="63"/>
        <v>Error?</v>
      </c>
    </row>
    <row r="4125" spans="1:4" x14ac:dyDescent="0.2">
      <c r="A4125" s="5">
        <v>4064</v>
      </c>
      <c r="B4125" s="1832">
        <f>'Acct Summary 7-8'!F10</f>
        <v>356131</v>
      </c>
      <c r="C4125" s="2" t="s">
        <v>569</v>
      </c>
      <c r="D4125" s="2" t="str">
        <f t="shared" si="63"/>
        <v>Error?</v>
      </c>
    </row>
    <row r="4126" spans="1:4" x14ac:dyDescent="0.2">
      <c r="A4126" s="5">
        <v>4065</v>
      </c>
      <c r="B4126" s="1832">
        <f>'Acct Summary 7-8'!G10</f>
        <v>223512</v>
      </c>
      <c r="C4126" s="2" t="s">
        <v>569</v>
      </c>
      <c r="D4126" s="2" t="str">
        <f t="shared" si="63"/>
        <v>Error?</v>
      </c>
    </row>
    <row r="4127" spans="1:4" x14ac:dyDescent="0.2">
      <c r="A4127" s="5">
        <v>4066</v>
      </c>
      <c r="B4127" s="1832">
        <f>'Acct Summary 7-8'!H10</f>
        <v>150781</v>
      </c>
      <c r="C4127" s="2" t="s">
        <v>569</v>
      </c>
      <c r="D4127" s="2" t="str">
        <f t="shared" si="63"/>
        <v>Error?</v>
      </c>
    </row>
    <row r="4128" spans="1:4" x14ac:dyDescent="0.2">
      <c r="A4128" s="5">
        <v>4067</v>
      </c>
      <c r="B4128" s="1832">
        <f>'Acct Summary 7-8'!I10</f>
        <v>67837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46873</v>
      </c>
      <c r="C4130" s="2" t="s">
        <v>569</v>
      </c>
      <c r="D4130" s="2" t="str">
        <f t="shared" si="63"/>
        <v>Error?</v>
      </c>
    </row>
    <row r="4131" spans="1:4" x14ac:dyDescent="0.2">
      <c r="A4131" s="5">
        <v>4070</v>
      </c>
      <c r="B4131" s="1832">
        <f>'Acct Summary 7-8'!C18</f>
        <v>2422410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7224147</v>
      </c>
      <c r="C4136" s="2" t="s">
        <v>569</v>
      </c>
      <c r="D4136" s="2" t="str">
        <f t="shared" si="63"/>
        <v>Error?</v>
      </c>
    </row>
    <row r="4137" spans="1:4" x14ac:dyDescent="0.2">
      <c r="A4137" s="5">
        <v>4076</v>
      </c>
      <c r="B4137" s="1832">
        <f>'Acct Summary 7-8'!D19</f>
        <v>385735</v>
      </c>
      <c r="C4137" s="2" t="s">
        <v>569</v>
      </c>
      <c r="D4137" s="2" t="str">
        <f t="shared" si="63"/>
        <v>Error?</v>
      </c>
    </row>
    <row r="4138" spans="1:4" x14ac:dyDescent="0.2">
      <c r="A4138" s="5">
        <v>4077</v>
      </c>
      <c r="B4138" s="1832">
        <f>'Acct Summary 7-8'!E19</f>
        <v>394781</v>
      </c>
      <c r="C4138" s="2" t="s">
        <v>569</v>
      </c>
      <c r="D4138" s="2" t="str">
        <f t="shared" si="63"/>
        <v>Error?</v>
      </c>
    </row>
    <row r="4139" spans="1:4" x14ac:dyDescent="0.2">
      <c r="A4139" s="5">
        <v>4078</v>
      </c>
      <c r="B4139" s="1832">
        <f>'Acct Summary 7-8'!F19</f>
        <v>407876</v>
      </c>
      <c r="C4139" s="2" t="s">
        <v>569</v>
      </c>
      <c r="D4139" s="2" t="str">
        <f t="shared" si="63"/>
        <v>Error?</v>
      </c>
    </row>
    <row r="4140" spans="1:4" x14ac:dyDescent="0.2">
      <c r="A4140" s="5">
        <v>4079</v>
      </c>
      <c r="B4140" s="1832">
        <f>'Acct Summary 7-8'!G19</f>
        <v>200213</v>
      </c>
      <c r="C4140" s="2" t="s">
        <v>569</v>
      </c>
      <c r="D4140" s="2" t="str">
        <f t="shared" si="63"/>
        <v>Error?</v>
      </c>
    </row>
    <row r="4141" spans="1:4" x14ac:dyDescent="0.2">
      <c r="A4141" s="5">
        <v>4080</v>
      </c>
      <c r="B4141" s="1832">
        <f>'Acct Summary 7-8'!H19</f>
        <v>4435690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1151628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5293270</v>
      </c>
      <c r="C4171" s="2" t="s">
        <v>569</v>
      </c>
      <c r="D4171" s="2" t="str">
        <f t="shared" si="64"/>
        <v>Error?</v>
      </c>
    </row>
    <row r="4172" spans="1:4" x14ac:dyDescent="0.2">
      <c r="A4172" s="5">
        <v>4111</v>
      </c>
      <c r="B4172" s="1832">
        <f>'Short-Term Long-Term Debt 24'!J49</f>
        <v>5055095</v>
      </c>
      <c r="C4172" s="2" t="s">
        <v>569</v>
      </c>
      <c r="D4172" s="2" t="str">
        <f t="shared" si="64"/>
        <v>Error?</v>
      </c>
    </row>
    <row r="4173" spans="1:4" x14ac:dyDescent="0.2">
      <c r="A4173" s="5">
        <v>4112</v>
      </c>
      <c r="B4173" s="1832">
        <f>'Short-Term Long-Term Debt 24'!H49</f>
        <v>387364</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101364</v>
      </c>
      <c r="D4210" s="2" t="str">
        <f t="shared" si="64"/>
        <v>Error?</v>
      </c>
    </row>
    <row r="4211" spans="1:4" x14ac:dyDescent="0.2">
      <c r="A4211" s="5">
        <v>4150</v>
      </c>
      <c r="B4211" s="1832">
        <f>'Expenditures 15-22'!K206</f>
        <v>101364</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2070</v>
      </c>
      <c r="C4265" s="2" t="s">
        <v>569</v>
      </c>
      <c r="D4265" s="2" t="str">
        <f t="shared" si="65"/>
        <v>Error?</v>
      </c>
      <c r="E4265" s="125"/>
    </row>
    <row r="4266" spans="1:5" x14ac:dyDescent="0.2">
      <c r="A4266" s="12">
        <v>4205</v>
      </c>
      <c r="B4266" s="1832">
        <f>('FP Info 3'!F10)*100000</f>
        <v>397.5</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2668</v>
      </c>
      <c r="C4268" s="2" t="s">
        <v>569</v>
      </c>
      <c r="D4268" s="2" t="str">
        <f t="shared" si="65"/>
        <v>Error?</v>
      </c>
    </row>
    <row r="4269" spans="1:5" x14ac:dyDescent="0.2">
      <c r="A4269" s="12">
        <v>4208</v>
      </c>
      <c r="B4269" s="1832">
        <f>'FP Info 3'!J16</f>
        <v>3072226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49940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38203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58252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13996</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15757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75649157</v>
      </c>
      <c r="D4995" s="2" t="str">
        <f t="shared" si="77"/>
        <v>Error?</v>
      </c>
    </row>
    <row r="4996" spans="1:4" x14ac:dyDescent="0.2">
      <c r="A4996" s="12">
        <v>4935</v>
      </c>
      <c r="B4996" s="1832">
        <f>'FP Info 3'!H31</f>
        <v>10439583.666000001</v>
      </c>
      <c r="D4996" s="2" t="str">
        <f t="shared" si="77"/>
        <v>Error?</v>
      </c>
    </row>
    <row r="4997" spans="1:4" x14ac:dyDescent="0.2">
      <c r="A4997" s="12">
        <v>4936</v>
      </c>
      <c r="B4997" s="1832">
        <f>'FP Info 3'!H37</f>
        <v>5293270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34436</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1418368</v>
      </c>
      <c r="D5061" s="2" t="str">
        <f t="shared" si="78"/>
        <v>Error?</v>
      </c>
    </row>
    <row r="5062" spans="1:4" x14ac:dyDescent="0.2">
      <c r="A5062" s="10">
        <v>5001</v>
      </c>
      <c r="B5062" s="1832"/>
      <c r="D5062" s="2" t="str">
        <f t="shared" si="78"/>
        <v>OK</v>
      </c>
    </row>
    <row r="5063" spans="1:4" x14ac:dyDescent="0.2">
      <c r="A5063" s="5">
        <v>5002</v>
      </c>
      <c r="B5063" s="1832">
        <f>'Revenues 9-14'!C7</f>
        <v>27550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1480354</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4621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4621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7448</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14000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21448</v>
      </c>
      <c r="C5087" s="2" t="s">
        <v>569</v>
      </c>
      <c r="D5087" s="2" t="str">
        <f t="shared" si="78"/>
        <v>Error?</v>
      </c>
    </row>
    <row r="5088" spans="1:4" x14ac:dyDescent="0.2">
      <c r="A5088" s="5">
        <v>5027</v>
      </c>
      <c r="B5088" s="1832">
        <f>'Revenues 9-14'!C65</f>
        <v>38041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38041</v>
      </c>
      <c r="C5090" s="2" t="s">
        <v>569</v>
      </c>
      <c r="D5090" s="2" t="str">
        <f t="shared" si="78"/>
        <v>Error?</v>
      </c>
    </row>
    <row r="5091" spans="1:4" x14ac:dyDescent="0.2">
      <c r="A5091" s="5">
        <v>5030</v>
      </c>
      <c r="B5091" s="1832">
        <f>'Revenues 9-14'!C70</f>
        <v>2943</v>
      </c>
      <c r="D5091" s="2" t="str">
        <f t="shared" si="78"/>
        <v>Error?</v>
      </c>
    </row>
    <row r="5092" spans="1:4" x14ac:dyDescent="0.2">
      <c r="A5092" s="5">
        <v>5031</v>
      </c>
      <c r="B5092" s="1832">
        <f>'Revenues 9-14'!C71</f>
        <v>272</v>
      </c>
      <c r="D5092" s="2" t="str">
        <f t="shared" si="78"/>
        <v>Error?</v>
      </c>
    </row>
    <row r="5093" spans="1:4" x14ac:dyDescent="0.2">
      <c r="A5093" s="5">
        <v>5032</v>
      </c>
      <c r="B5093" s="1832">
        <f>'Revenues 9-14'!C72</f>
        <v>5715</v>
      </c>
      <c r="D5093" s="2" t="str">
        <f t="shared" si="78"/>
        <v>Error?</v>
      </c>
    </row>
    <row r="5094" spans="1:4" x14ac:dyDescent="0.2">
      <c r="A5094" s="5">
        <v>5033</v>
      </c>
      <c r="B5094" s="1832">
        <f>'Revenues 9-14'!C73</f>
        <v>2646</v>
      </c>
      <c r="D5094" s="2" t="str">
        <f t="shared" si="78"/>
        <v>Error?</v>
      </c>
    </row>
    <row r="5095" spans="1:4" x14ac:dyDescent="0.2">
      <c r="A5095" s="5">
        <v>5034</v>
      </c>
      <c r="B5095" s="1832">
        <f>'Revenues 9-14'!C74</f>
        <v>133</v>
      </c>
      <c r="D5095" s="2" t="str">
        <f t="shared" si="78"/>
        <v>Error?</v>
      </c>
    </row>
    <row r="5096" spans="1:4" x14ac:dyDescent="0.2">
      <c r="A5096" s="5">
        <v>5035</v>
      </c>
      <c r="B5096" s="1832">
        <f>'Revenues 9-14'!C75</f>
        <v>30941</v>
      </c>
      <c r="C5096" s="2" t="s">
        <v>569</v>
      </c>
      <c r="D5096" s="2" t="str">
        <f t="shared" si="78"/>
        <v>Error?</v>
      </c>
    </row>
    <row r="5097" spans="1:4" x14ac:dyDescent="0.2">
      <c r="A5097" s="5">
        <v>5036</v>
      </c>
      <c r="B5097" s="1832">
        <f>'Revenues 9-14'!C77</f>
        <v>18392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101508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4325</v>
      </c>
      <c r="D5101" s="2" t="str">
        <f t="shared" si="78"/>
        <v>Error?</v>
      </c>
    </row>
    <row r="5102" spans="1:4" x14ac:dyDescent="0.2">
      <c r="A5102" s="5">
        <v>5041</v>
      </c>
      <c r="B5102" s="1832">
        <f>'Revenues 9-14'!C82</f>
        <v>124225</v>
      </c>
      <c r="C5102" s="2" t="s">
        <v>569</v>
      </c>
      <c r="D5102" s="2" t="str">
        <f t="shared" si="78"/>
        <v>Error?</v>
      </c>
    </row>
    <row r="5103" spans="1:4" x14ac:dyDescent="0.2">
      <c r="A5103" s="5">
        <v>5042</v>
      </c>
      <c r="B5103" s="1832">
        <f>'Revenues 9-14'!C84</f>
        <v>45916</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45916</v>
      </c>
      <c r="C5112" s="2" t="s">
        <v>569</v>
      </c>
      <c r="D5112" s="2" t="str">
        <f t="shared" si="78"/>
        <v>Error?</v>
      </c>
    </row>
    <row r="5113" spans="1:4" x14ac:dyDescent="0.2">
      <c r="A5113" s="5">
        <v>5052</v>
      </c>
      <c r="B5113" s="1832">
        <f>'Revenues 9-14'!C95</f>
        <v>810</v>
      </c>
      <c r="D5113" s="2" t="str">
        <f t="shared" si="78"/>
        <v>Error?</v>
      </c>
    </row>
    <row r="5114" spans="1:4" x14ac:dyDescent="0.2">
      <c r="A5114" s="5">
        <v>5053</v>
      </c>
      <c r="B5114" s="1832">
        <f>'Revenues 9-14'!C96</f>
        <v>160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1080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127342</v>
      </c>
      <c r="D5119" s="2" t="str">
        <f t="shared" ref="D5119:D5182" si="79">IF(ISBLANK(B5119),"OK",IF(A5119-B5119=0,"OK","Error?"))</f>
        <v>Error?</v>
      </c>
    </row>
    <row r="5120" spans="1:4" x14ac:dyDescent="0.2">
      <c r="A5120" s="5">
        <v>5059</v>
      </c>
      <c r="B5120" s="1832">
        <f>'Revenues 9-14'!C108</f>
        <v>135326</v>
      </c>
      <c r="C5120" s="2" t="s">
        <v>569</v>
      </c>
      <c r="D5120" s="2" t="str">
        <f t="shared" si="79"/>
        <v>Error?</v>
      </c>
    </row>
    <row r="5121" spans="1:4" x14ac:dyDescent="0.2">
      <c r="A5121" s="5">
        <v>5060</v>
      </c>
      <c r="B5121" s="1832">
        <f>'Revenues 9-14'!C109</f>
        <v>1880872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2594609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2594609</v>
      </c>
      <c r="C5132" s="2" t="s">
        <v>569</v>
      </c>
      <c r="D5132" s="2" t="str">
        <f t="shared" si="79"/>
        <v>Error?</v>
      </c>
    </row>
    <row r="5133" spans="1:4" x14ac:dyDescent="0.2">
      <c r="A5133" s="5">
        <v>5072</v>
      </c>
      <c r="B5133" s="1832">
        <f>'Revenues 9-14'!C125</f>
        <v>53279</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53279</v>
      </c>
      <c r="C5147" s="2" t="s">
        <v>569</v>
      </c>
      <c r="D5147" s="2" t="str">
        <f t="shared" si="79"/>
        <v>Error?</v>
      </c>
    </row>
    <row r="5148" spans="1:4" x14ac:dyDescent="0.2">
      <c r="A5148" s="5">
        <v>5087</v>
      </c>
      <c r="B5148" s="1832">
        <f>'Revenues 9-14'!C134</f>
        <v>10553</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13636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1461</v>
      </c>
      <c r="D5167" s="2" t="str">
        <f t="shared" si="79"/>
        <v>Error?</v>
      </c>
    </row>
    <row r="5168" spans="1:4" x14ac:dyDescent="0.2">
      <c r="A5168" s="5">
        <v>5107</v>
      </c>
      <c r="B5168" s="1832">
        <f>'Revenues 9-14'!C148</f>
        <v>5083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74209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2668818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65733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22808</v>
      </c>
      <c r="D5241" s="2" t="str">
        <f t="shared" si="80"/>
        <v>Error?</v>
      </c>
    </row>
    <row r="5242" spans="1:4" x14ac:dyDescent="0.2">
      <c r="A5242" s="5">
        <v>5181</v>
      </c>
      <c r="B5242" s="1832">
        <f>'Revenues 9-14'!C194</f>
        <v>37083</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125624</v>
      </c>
      <c r="C5246" s="2" t="s">
        <v>569</v>
      </c>
      <c r="D5246" s="2" t="str">
        <f t="shared" si="80"/>
        <v>Error?</v>
      </c>
    </row>
    <row r="5247" spans="1:4" x14ac:dyDescent="0.2">
      <c r="A5247" s="5">
        <v>5186</v>
      </c>
      <c r="B5247" s="1832">
        <f>'Revenues 9-14'!C200</f>
        <v>76504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13996</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76504</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17279</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17279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345615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345615</v>
      </c>
      <c r="C5326" s="2" t="s">
        <v>569</v>
      </c>
      <c r="D5326" s="2" t="str">
        <f t="shared" si="82"/>
        <v>Error?</v>
      </c>
    </row>
    <row r="5327" spans="1:5" x14ac:dyDescent="0.2">
      <c r="A5327" s="5">
        <v>5266</v>
      </c>
      <c r="B5327" s="1832">
        <f>'Revenues 9-14'!C268</f>
        <v>4895305</v>
      </c>
      <c r="C5327" s="2" t="s">
        <v>569</v>
      </c>
      <c r="D5327" s="2" t="str">
        <f t="shared" si="82"/>
        <v>Error?</v>
      </c>
    </row>
    <row r="5328" spans="1:5" x14ac:dyDescent="0.2">
      <c r="A5328" s="5">
        <v>5267</v>
      </c>
      <c r="B5328" s="1832">
        <f>'Revenues 9-14'!D5</f>
        <v>344372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344372</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38501</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38501</v>
      </c>
      <c r="C5339" s="2" t="s">
        <v>569</v>
      </c>
      <c r="D5339" s="2" t="str">
        <f t="shared" si="82"/>
        <v>Error?</v>
      </c>
    </row>
    <row r="5340" spans="1:4" x14ac:dyDescent="0.2">
      <c r="A5340" s="5">
        <v>5279</v>
      </c>
      <c r="B5340" s="1832">
        <f>'Revenues 9-14'!D65</f>
        <v>9178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9178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392051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49940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49940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441991</v>
      </c>
      <c r="C5508" s="2" t="s">
        <v>569</v>
      </c>
      <c r="D5508" s="2" t="str">
        <f t="shared" si="85"/>
        <v>Error?</v>
      </c>
    </row>
    <row r="5509" spans="1:4" x14ac:dyDescent="0.2">
      <c r="A5509" s="5">
        <v>5448</v>
      </c>
      <c r="B5509" s="1832">
        <f>'Revenues 9-14'!E5</f>
        <v>278855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278855</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4785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4785</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299425</v>
      </c>
      <c r="C5526" s="2" t="s">
        <v>569</v>
      </c>
      <c r="D5526" s="2" t="str">
        <f t="shared" si="85"/>
        <v>Error?</v>
      </c>
    </row>
    <row r="5527" spans="1:4" x14ac:dyDescent="0.2">
      <c r="A5527" s="5">
        <v>5466</v>
      </c>
      <c r="B5527" s="1832">
        <f>'Revenues 9-14'!E109</f>
        <v>583065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583065</v>
      </c>
      <c r="C5552" s="2" t="s">
        <v>569</v>
      </c>
      <c r="D5552" s="2" t="str">
        <f t="shared" si="85"/>
        <v>Error?</v>
      </c>
    </row>
    <row r="5553" spans="1:4" x14ac:dyDescent="0.2">
      <c r="A5553" s="5">
        <v>5492</v>
      </c>
      <c r="B5553" s="1832">
        <f>'Revenues 9-14'!F5</f>
        <v>137750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137750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556</v>
      </c>
      <c r="D5563" s="2" t="str">
        <f t="shared" si="85"/>
        <v>Error?</v>
      </c>
    </row>
    <row r="5564" spans="1:4" x14ac:dyDescent="0.2">
      <c r="A5564" s="5">
        <v>5503</v>
      </c>
      <c r="B5564" s="1832">
        <f>'Revenues 9-14'!F43</f>
        <v>2720</v>
      </c>
      <c r="D5564" s="2" t="str">
        <f t="shared" si="85"/>
        <v>Error?</v>
      </c>
    </row>
    <row r="5565" spans="1:4" x14ac:dyDescent="0.2">
      <c r="A5565" s="5">
        <v>5504</v>
      </c>
      <c r="B5565" s="1832">
        <f>'Revenues 9-14'!F44</f>
        <v>7873</v>
      </c>
      <c r="D5565" s="2" t="str">
        <f t="shared" si="85"/>
        <v>Error?</v>
      </c>
    </row>
    <row r="5566" spans="1:4" x14ac:dyDescent="0.2">
      <c r="A5566" s="5">
        <v>5505</v>
      </c>
      <c r="B5566" s="1832">
        <f>'Revenues 9-14'!F45</f>
        <v>1560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12709</v>
      </c>
      <c r="C5579" s="2" t="s">
        <v>569</v>
      </c>
      <c r="D5579" s="2" t="str">
        <f t="shared" si="86"/>
        <v>Error?</v>
      </c>
    </row>
    <row r="5580" spans="1:4" x14ac:dyDescent="0.2">
      <c r="A5580" s="5">
        <v>5519</v>
      </c>
      <c r="B5580" s="1832">
        <f>'Revenues 9-14'!F65</f>
        <v>8927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8927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6500</v>
      </c>
      <c r="D5586" s="2" t="str">
        <f t="shared" si="86"/>
        <v>Error?</v>
      </c>
    </row>
    <row r="5587" spans="1:4" x14ac:dyDescent="0.2">
      <c r="A5587" s="5">
        <v>5526</v>
      </c>
      <c r="B5587" s="1832">
        <f>'Revenues 9-14'!F108</f>
        <v>6500</v>
      </c>
      <c r="C5587" s="2" t="s">
        <v>569</v>
      </c>
      <c r="D5587" s="2" t="str">
        <f t="shared" si="86"/>
        <v>Error?</v>
      </c>
    </row>
    <row r="5588" spans="1:4" x14ac:dyDescent="0.2">
      <c r="A5588" s="5">
        <v>5527</v>
      </c>
      <c r="B5588" s="1832">
        <f>'Revenues 9-14'!F109</f>
        <v>165886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100798</v>
      </c>
      <c r="D5615" s="2" t="str">
        <f t="shared" si="86"/>
        <v>Error?</v>
      </c>
    </row>
    <row r="5616" spans="1:4" x14ac:dyDescent="0.2">
      <c r="A5616" s="10">
        <v>5555</v>
      </c>
      <c r="B5616" s="1832"/>
      <c r="D5616" s="2" t="str">
        <f t="shared" si="86"/>
        <v>OK</v>
      </c>
    </row>
    <row r="5617" spans="1:5" x14ac:dyDescent="0.2">
      <c r="A5617" s="5">
        <v>5556</v>
      </c>
      <c r="B5617" s="1832">
        <f>'Revenues 9-14'!F153</f>
        <v>89447</v>
      </c>
      <c r="D5617" s="2" t="str">
        <f t="shared" si="86"/>
        <v>Error?</v>
      </c>
    </row>
    <row r="5618" spans="1:5" x14ac:dyDescent="0.2">
      <c r="A5618" s="5">
        <v>5557</v>
      </c>
      <c r="B5618" s="1832">
        <f>'Revenues 9-14'!F155</f>
        <v>190245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190245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190245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356131</v>
      </c>
      <c r="C5720" s="2" t="s">
        <v>569</v>
      </c>
      <c r="D5720" s="2" t="str">
        <f t="shared" si="88"/>
        <v>Error?</v>
      </c>
    </row>
    <row r="5721" spans="1:4" x14ac:dyDescent="0.2">
      <c r="A5721" s="5">
        <v>5660</v>
      </c>
      <c r="B5721" s="1832">
        <f>'Revenues 9-14'!G5</f>
        <v>85166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85166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170332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52000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52000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1180</v>
      </c>
      <c r="D5736" s="2" t="str">
        <f t="shared" si="88"/>
        <v>Error?</v>
      </c>
    </row>
    <row r="5737" spans="1:4" x14ac:dyDescent="0.2">
      <c r="A5737" s="5">
        <v>5676</v>
      </c>
      <c r="B5737" s="1832">
        <f>'Revenues 9-14'!G108</f>
        <v>1180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223512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52775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52775</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98006</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150781</v>
      </c>
      <c r="C5915" s="2" t="s">
        <v>569</v>
      </c>
      <c r="D5915" s="2" t="str">
        <f t="shared" si="91"/>
        <v>Error?</v>
      </c>
    </row>
    <row r="5916" spans="1:4" x14ac:dyDescent="0.2">
      <c r="A5916" s="5">
        <v>5855</v>
      </c>
      <c r="B5916" s="1832">
        <f>'Revenues 9-14'!I5</f>
        <v>34436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34436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33401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33401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67837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34436</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34436</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12437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12437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46873</v>
      </c>
      <c r="C6023" s="2" t="s">
        <v>569</v>
      </c>
      <c r="D6023" s="2" t="str">
        <f t="shared" si="93"/>
        <v>Error?</v>
      </c>
    </row>
    <row r="6024" spans="1:5" x14ac:dyDescent="0.2">
      <c r="A6024" s="5">
        <v>5963</v>
      </c>
      <c r="B6024" s="1832">
        <f>'Revenues 9-14'!G109</f>
        <v>223512</v>
      </c>
      <c r="C6024" s="2" t="s">
        <v>569</v>
      </c>
      <c r="D6024" s="2" t="str">
        <f t="shared" si="93"/>
        <v>Error?</v>
      </c>
    </row>
    <row r="6025" spans="1:5" x14ac:dyDescent="0.2">
      <c r="A6025" s="5">
        <v>5964</v>
      </c>
      <c r="B6025" s="1832">
        <f>'Revenues 9-14'!H109</f>
        <v>150781</v>
      </c>
      <c r="C6025" s="2" t="s">
        <v>569</v>
      </c>
      <c r="D6025" s="2" t="str">
        <f t="shared" si="93"/>
        <v>Error?</v>
      </c>
    </row>
    <row r="6026" spans="1:5" x14ac:dyDescent="0.2">
      <c r="A6026" s="5">
        <v>5965</v>
      </c>
      <c r="B6026" s="1832">
        <f>'Revenues 9-14'!I109</f>
        <v>67837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46873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19232</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588.70000000000005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189140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189140</v>
      </c>
      <c r="D6215" s="2" t="str">
        <f t="shared" si="96"/>
        <v>Error?</v>
      </c>
      <c r="E6215" s="2" t="s">
        <v>189</v>
      </c>
    </row>
    <row r="6216" spans="1:5" x14ac:dyDescent="0.2">
      <c r="A6216">
        <v>6155</v>
      </c>
      <c r="B6216" s="1832">
        <f>'Assets-Liab 5-6'!J41</f>
        <v>189140</v>
      </c>
      <c r="D6216" s="2" t="str">
        <f t="shared" si="96"/>
        <v>Error?</v>
      </c>
      <c r="E6216" s="2" t="s">
        <v>189</v>
      </c>
    </row>
    <row r="6217" spans="1:5" x14ac:dyDescent="0.2">
      <c r="A6217">
        <v>6156</v>
      </c>
      <c r="B6217" s="1832">
        <f>'Assets-Liab 5-6'!J4</f>
        <v>189140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498506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498506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498506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472063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472063</v>
      </c>
      <c r="D6229" s="2" t="str">
        <f t="shared" si="96"/>
        <v>Error?</v>
      </c>
      <c r="E6229" s="2" t="s">
        <v>189</v>
      </c>
    </row>
    <row r="6230" spans="1:5" x14ac:dyDescent="0.2">
      <c r="A6230">
        <v>6169</v>
      </c>
      <c r="B6230" s="1832">
        <f>'Acct Summary 7-8'!J20</f>
        <v>26443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37595</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26443</v>
      </c>
      <c r="D6263" s="2" t="str">
        <f t="shared" si="96"/>
        <v>Error?</v>
      </c>
      <c r="E6263" s="2" t="s">
        <v>189</v>
      </c>
    </row>
    <row r="6264" spans="1:5" x14ac:dyDescent="0.2">
      <c r="A6264">
        <v>6203</v>
      </c>
      <c r="B6264" s="1832">
        <f>'Acct Summary 7-8'!J79</f>
        <v>162697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189140</v>
      </c>
      <c r="D6266" s="2" t="str">
        <f t="shared" si="96"/>
        <v>Error?</v>
      </c>
      <c r="E6266" s="2" t="s">
        <v>189</v>
      </c>
    </row>
    <row r="6267" spans="1:5" x14ac:dyDescent="0.2">
      <c r="A6267">
        <v>6206</v>
      </c>
      <c r="B6267" s="1832">
        <f>'Acct Summary 7-8'!C82</f>
        <v>93568</v>
      </c>
      <c r="D6267" s="2" t="str">
        <f t="shared" si="96"/>
        <v>Error?</v>
      </c>
      <c r="E6267" s="2" t="s">
        <v>189</v>
      </c>
    </row>
    <row r="6268" spans="1:5" x14ac:dyDescent="0.2">
      <c r="A6268">
        <v>6207</v>
      </c>
      <c r="B6268" s="1832">
        <f>'Acct Summary 7-8'!D82</f>
        <v>81256</v>
      </c>
      <c r="D6268" s="2" t="str">
        <f t="shared" si="96"/>
        <v>Error?</v>
      </c>
      <c r="E6268" s="2" t="s">
        <v>189</v>
      </c>
    </row>
    <row r="6269" spans="1:5" x14ac:dyDescent="0.2">
      <c r="A6269">
        <v>6208</v>
      </c>
      <c r="B6269" s="1832">
        <f>'Acct Summary 7-8'!E82</f>
        <v>188284</v>
      </c>
      <c r="D6269" s="2" t="str">
        <f t="shared" si="96"/>
        <v>Error?</v>
      </c>
      <c r="E6269" s="2" t="s">
        <v>189</v>
      </c>
    </row>
    <row r="6270" spans="1:5" x14ac:dyDescent="0.2">
      <c r="A6270">
        <v>6209</v>
      </c>
      <c r="B6270" s="1832">
        <f>'Acct Summary 7-8'!F82</f>
        <v>-51745</v>
      </c>
      <c r="D6270" s="2" t="str">
        <f t="shared" si="96"/>
        <v>Error?</v>
      </c>
      <c r="E6270" s="2" t="s">
        <v>189</v>
      </c>
    </row>
    <row r="6271" spans="1:5" x14ac:dyDescent="0.2">
      <c r="A6271">
        <v>6210</v>
      </c>
      <c r="B6271" s="1832">
        <f>'Acct Summary 7-8'!G82</f>
        <v>23299</v>
      </c>
      <c r="D6271" s="2" t="str">
        <f t="shared" ref="D6271:D6334" si="97">IF(ISBLANK(B6271),"OK",IF(A6271-B6271=0,"OK","Error?"))</f>
        <v>Error?</v>
      </c>
      <c r="E6271" s="2" t="s">
        <v>189</v>
      </c>
    </row>
    <row r="6272" spans="1:5" x14ac:dyDescent="0.2">
      <c r="A6272">
        <v>6211</v>
      </c>
      <c r="B6272" s="1832">
        <f>'Acct Summary 7-8'!H82</f>
        <v>-2284736</v>
      </c>
      <c r="D6272" s="2" t="str">
        <f t="shared" si="97"/>
        <v>Error?</v>
      </c>
      <c r="E6272" s="2" t="s">
        <v>189</v>
      </c>
    </row>
    <row r="6273" spans="1:5" x14ac:dyDescent="0.2">
      <c r="A6273">
        <v>6212</v>
      </c>
      <c r="B6273" s="1832">
        <f>'Acct Summary 7-8'!I82</f>
        <v>-557163</v>
      </c>
      <c r="D6273" s="2" t="str">
        <f t="shared" si="97"/>
        <v>Error?</v>
      </c>
      <c r="E6273" s="2" t="s">
        <v>189</v>
      </c>
    </row>
    <row r="6274" spans="1:5" x14ac:dyDescent="0.2">
      <c r="A6274">
        <v>6213</v>
      </c>
      <c r="B6274" s="1832">
        <f>'Acct Summary 7-8'!J82</f>
        <v>26443</v>
      </c>
      <c r="D6274" s="2" t="str">
        <f t="shared" si="97"/>
        <v>Error?</v>
      </c>
      <c r="E6274" s="2" t="s">
        <v>189</v>
      </c>
    </row>
    <row r="6275" spans="1:5" x14ac:dyDescent="0.2">
      <c r="A6275">
        <v>6214</v>
      </c>
      <c r="B6275" s="1832">
        <f>'Acct Summary 7-8'!K82</f>
        <v>99364</v>
      </c>
      <c r="D6275" s="2" t="str">
        <f t="shared" si="97"/>
        <v>Error?</v>
      </c>
      <c r="E6275" s="2" t="s">
        <v>189</v>
      </c>
    </row>
    <row r="6276" spans="1:5" x14ac:dyDescent="0.2">
      <c r="A6276">
        <v>6215</v>
      </c>
      <c r="B6276" s="1832">
        <f>'Acct Summary 7-8'!C83</f>
        <v>6.1078468938875183E-2</v>
      </c>
      <c r="D6276" s="2" t="str">
        <f t="shared" si="97"/>
        <v>Error?</v>
      </c>
      <c r="E6276" s="2" t="s">
        <v>189</v>
      </c>
    </row>
    <row r="6277" spans="1:5" x14ac:dyDescent="0.2">
      <c r="A6277">
        <v>6216</v>
      </c>
      <c r="B6277" s="1832">
        <f>'Acct Summary 7-8'!D83</f>
        <v>0.21716274109965764</v>
      </c>
      <c r="D6277" s="2" t="str">
        <f t="shared" si="97"/>
        <v>Error?</v>
      </c>
      <c r="E6277" s="2" t="s">
        <v>189</v>
      </c>
    </row>
    <row r="6278" spans="1:5" x14ac:dyDescent="0.2">
      <c r="A6278">
        <v>6217</v>
      </c>
      <c r="B6278" s="1832">
        <f>'Acct Summary 7-8'!E83</f>
        <v>0.7905279731290018</v>
      </c>
      <c r="D6278" s="2" t="str">
        <f t="shared" si="97"/>
        <v>Error?</v>
      </c>
      <c r="E6278" s="2" t="s">
        <v>189</v>
      </c>
    </row>
    <row r="6279" spans="1:5" x14ac:dyDescent="0.2">
      <c r="A6279">
        <v>6218</v>
      </c>
      <c r="B6279" s="1832">
        <f>'Acct Summary 7-8'!F83</f>
        <v>-0.11186028111529532</v>
      </c>
      <c r="D6279" s="2" t="str">
        <f t="shared" si="97"/>
        <v>Error?</v>
      </c>
      <c r="E6279" s="2" t="s">
        <v>189</v>
      </c>
    </row>
    <row r="6280" spans="1:5" x14ac:dyDescent="0.2">
      <c r="A6280">
        <v>6219</v>
      </c>
      <c r="B6280" s="1832">
        <f>'Acct Summary 7-8'!G83</f>
        <v>3.959721278042148</v>
      </c>
      <c r="D6280" s="2" t="str">
        <f t="shared" si="97"/>
        <v>Error?</v>
      </c>
      <c r="E6280" s="2" t="s">
        <v>189</v>
      </c>
    </row>
    <row r="6281" spans="1:5" x14ac:dyDescent="0.2">
      <c r="A6281">
        <v>6220</v>
      </c>
      <c r="B6281" s="1832">
        <f>'Acct Summary 7-8'!H83</f>
        <v>-1.2344712853654753</v>
      </c>
      <c r="D6281" s="2" t="str">
        <f t="shared" si="97"/>
        <v>Error?</v>
      </c>
      <c r="E6281" s="2" t="s">
        <v>189</v>
      </c>
    </row>
    <row r="6282" spans="1:5" x14ac:dyDescent="0.2">
      <c r="A6282">
        <v>6221</v>
      </c>
      <c r="B6282" s="1832">
        <f>'Acct Summary 7-8'!I83</f>
        <v>-0.79194442944091148</v>
      </c>
      <c r="D6282" s="2" t="str">
        <f t="shared" si="97"/>
        <v>Error?</v>
      </c>
      <c r="E6282" s="2" t="s">
        <v>189</v>
      </c>
    </row>
    <row r="6283" spans="1:5" x14ac:dyDescent="0.2">
      <c r="A6283">
        <v>6222</v>
      </c>
      <c r="B6283" s="1832">
        <f>'Acct Summary 7-8'!J83</f>
        <v>0.13980649254520461</v>
      </c>
      <c r="D6283" s="2" t="str">
        <f t="shared" si="97"/>
        <v>Error?</v>
      </c>
      <c r="E6283" s="2" t="s">
        <v>189</v>
      </c>
    </row>
    <row r="6284" spans="1:5" x14ac:dyDescent="0.2">
      <c r="A6284">
        <v>6223</v>
      </c>
      <c r="B6284" s="1832">
        <f>'Acct Summary 7-8'!K83</f>
        <v>0.49992201610996234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492515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492515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5991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5991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5934</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498506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3083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897</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897</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13858</v>
      </c>
      <c r="D6981" s="2" t="str">
        <f t="shared" si="108"/>
        <v>Error?</v>
      </c>
    </row>
    <row r="6982" spans="1:4" x14ac:dyDescent="0.2">
      <c r="A6982">
        <v>6921</v>
      </c>
      <c r="B6982" s="1832">
        <f>'Expenditures 15-22'!K85</f>
        <v>13858</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6417</v>
      </c>
      <c r="D6989" s="2" t="str">
        <f t="shared" si="108"/>
        <v>Error?</v>
      </c>
    </row>
    <row r="6990" spans="1:4" x14ac:dyDescent="0.2">
      <c r="A6990">
        <v>6929</v>
      </c>
      <c r="B6990" s="1832">
        <f>'Expenditures 15-22'!K89</f>
        <v>6417</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20275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897</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472063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498506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76334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76334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5637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5637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110627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110627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169657</v>
      </c>
      <c r="D7172" s="2" t="str">
        <f t="shared" si="111"/>
        <v>Error?</v>
      </c>
    </row>
    <row r="7173" spans="1:4" x14ac:dyDescent="0.2">
      <c r="A7173">
        <v>7112</v>
      </c>
      <c r="B7173" s="1832">
        <f>'Expenditures 15-22'!D325</f>
        <v>21736</v>
      </c>
      <c r="D7173" s="2" t="str">
        <f t="shared" si="111"/>
        <v>Error?</v>
      </c>
    </row>
    <row r="7174" spans="1:4" x14ac:dyDescent="0.2">
      <c r="A7174">
        <v>7113</v>
      </c>
      <c r="B7174" s="1832">
        <f>'Expenditures 15-22'!E325</f>
        <v>35088</v>
      </c>
      <c r="D7174" s="2" t="str">
        <f t="shared" si="111"/>
        <v>Error?</v>
      </c>
    </row>
    <row r="7175" spans="1:4" x14ac:dyDescent="0.2">
      <c r="A7175">
        <v>7114</v>
      </c>
      <c r="B7175" s="1832">
        <f>'Expenditures 15-22'!F325</f>
        <v>29348</v>
      </c>
      <c r="D7175" s="2" t="str">
        <f t="shared" si="111"/>
        <v>Error?</v>
      </c>
    </row>
    <row r="7176" spans="1:4" x14ac:dyDescent="0.2">
      <c r="A7176">
        <v>7115</v>
      </c>
      <c r="B7176" s="1832">
        <f>'Expenditures 15-22'!G325</f>
        <v>14200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270029</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9436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9436</v>
      </c>
      <c r="D7198" s="2" t="str">
        <f t="shared" si="111"/>
        <v>Error?</v>
      </c>
    </row>
    <row r="7199" spans="1:4" x14ac:dyDescent="0.2">
      <c r="A7199">
        <v>7138</v>
      </c>
      <c r="B7199" s="1832">
        <f>'Expenditures 15-22'!C330</f>
        <v>169657</v>
      </c>
      <c r="D7199" s="2" t="str">
        <f t="shared" si="111"/>
        <v>Error?</v>
      </c>
    </row>
    <row r="7200" spans="1:4" x14ac:dyDescent="0.2">
      <c r="A7200">
        <v>7139</v>
      </c>
      <c r="B7200" s="1832">
        <f>'Expenditures 15-22'!D330</f>
        <v>21736</v>
      </c>
      <c r="D7200" s="2" t="str">
        <f t="shared" si="111"/>
        <v>Error?</v>
      </c>
    </row>
    <row r="7201" spans="1:4" x14ac:dyDescent="0.2">
      <c r="A7201">
        <v>7140</v>
      </c>
      <c r="B7201" s="1832">
        <f>'Expenditures 15-22'!E330</f>
        <v>237122</v>
      </c>
      <c r="D7201" s="2" t="str">
        <f t="shared" si="111"/>
        <v>Error?</v>
      </c>
    </row>
    <row r="7202" spans="1:4" x14ac:dyDescent="0.2">
      <c r="A7202">
        <v>7141</v>
      </c>
      <c r="B7202" s="1832">
        <f>'Expenditures 15-22'!F330</f>
        <v>29348</v>
      </c>
      <c r="D7202" s="2" t="str">
        <f t="shared" si="111"/>
        <v>Error?</v>
      </c>
    </row>
    <row r="7203" spans="1:4" x14ac:dyDescent="0.2">
      <c r="A7203">
        <v>7142</v>
      </c>
      <c r="B7203" s="1832">
        <f>'Expenditures 15-22'!G330</f>
        <v>14200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472063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169657</v>
      </c>
      <c r="D7216" s="2" t="str">
        <f t="shared" si="111"/>
        <v>Error?</v>
      </c>
    </row>
    <row r="7217" spans="1:4" x14ac:dyDescent="0.2">
      <c r="A7217">
        <v>7156</v>
      </c>
      <c r="B7217" s="1832">
        <f>'Expenditures 15-22'!D342</f>
        <v>21736</v>
      </c>
      <c r="D7217" s="2" t="str">
        <f t="shared" si="111"/>
        <v>Error?</v>
      </c>
    </row>
    <row r="7218" spans="1:4" x14ac:dyDescent="0.2">
      <c r="A7218">
        <v>7157</v>
      </c>
      <c r="B7218" s="1832">
        <f>'Expenditures 15-22'!E342</f>
        <v>237122</v>
      </c>
      <c r="D7218" s="2" t="str">
        <f t="shared" si="111"/>
        <v>Error?</v>
      </c>
    </row>
    <row r="7219" spans="1:4" x14ac:dyDescent="0.2">
      <c r="A7219">
        <v>7158</v>
      </c>
      <c r="B7219" s="1832">
        <f>'Expenditures 15-22'!F342</f>
        <v>29348</v>
      </c>
      <c r="D7219" s="2" t="str">
        <f t="shared" si="111"/>
        <v>Error?</v>
      </c>
    </row>
    <row r="7220" spans="1:4" x14ac:dyDescent="0.2">
      <c r="A7220">
        <v>7159</v>
      </c>
      <c r="B7220" s="1832">
        <f>'Expenditures 15-22'!G342</f>
        <v>14200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472063</v>
      </c>
      <c r="D7224" s="2" t="str">
        <f t="shared" si="111"/>
        <v>Error?</v>
      </c>
    </row>
    <row r="7225" spans="1:4" x14ac:dyDescent="0.2">
      <c r="A7225">
        <v>7164</v>
      </c>
      <c r="B7225" s="1832">
        <f>'Expenditures 15-22'!K343</f>
        <v>26443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95565</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95565</v>
      </c>
      <c r="D7609" s="2" t="str">
        <f t="shared" si="122"/>
        <v>Error?</v>
      </c>
      <c r="E7609" s="2" t="s">
        <v>19</v>
      </c>
    </row>
    <row r="7610" spans="1:5" x14ac:dyDescent="0.2">
      <c r="A7610">
        <f t="shared" si="123"/>
        <v>7549</v>
      </c>
      <c r="B7610" s="1832">
        <f>'Cap Outlay Deprec 26'!H9</f>
        <v>33130</v>
      </c>
      <c r="D7610" s="2" t="str">
        <f t="shared" si="122"/>
        <v>Error?</v>
      </c>
      <c r="E7610" s="2" t="s">
        <v>19</v>
      </c>
    </row>
    <row r="7611" spans="1:5" x14ac:dyDescent="0.2">
      <c r="A7611">
        <f t="shared" si="123"/>
        <v>7550</v>
      </c>
      <c r="B7611" s="1832">
        <f>'Cap Outlay Deprec 26'!I9</f>
        <v>3823</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36953</v>
      </c>
      <c r="D7613" s="2" t="str">
        <f t="shared" si="122"/>
        <v>Error?</v>
      </c>
      <c r="E7613" s="2" t="s">
        <v>19</v>
      </c>
    </row>
    <row r="7614" spans="1:5" x14ac:dyDescent="0.2">
      <c r="A7614">
        <f t="shared" si="123"/>
        <v>7553</v>
      </c>
      <c r="B7614" s="1832">
        <f>'Cap Outlay Deprec 26'!L9</f>
        <v>58612</v>
      </c>
      <c r="D7614" s="2" t="str">
        <f t="shared" si="122"/>
        <v>Error?</v>
      </c>
      <c r="E7614" s="2" t="s">
        <v>19</v>
      </c>
    </row>
    <row r="7615" spans="1:5" x14ac:dyDescent="0.2">
      <c r="A7615">
        <f t="shared" si="123"/>
        <v>7554</v>
      </c>
      <c r="B7615" s="1832">
        <f>'Cap Outlay Deprec 26'!C14</f>
        <v>22510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22510</v>
      </c>
      <c r="D7618" s="2" t="str">
        <f t="shared" si="124"/>
        <v>Error?</v>
      </c>
      <c r="E7618" s="2" t="s">
        <v>19</v>
      </c>
    </row>
    <row r="7619" spans="1:5" x14ac:dyDescent="0.2">
      <c r="A7619">
        <f t="shared" si="123"/>
        <v>7558</v>
      </c>
      <c r="B7619" s="1832">
        <f>'Cap Outlay Deprec 26'!H14</f>
        <v>22510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22510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428349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1561582</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5934</v>
      </c>
      <c r="D7712" s="2" t="str">
        <f t="shared" si="126"/>
        <v>Error?</v>
      </c>
      <c r="E7712" s="2" t="s">
        <v>822</v>
      </c>
    </row>
    <row r="7713" spans="1:6" x14ac:dyDescent="0.2">
      <c r="A7713">
        <v>7652</v>
      </c>
      <c r="B7713" s="1832">
        <f>'Rest Tax Levies-Tort Im 25'!J8</f>
        <v>98006</v>
      </c>
      <c r="D7713" s="2" t="str">
        <f t="shared" si="126"/>
        <v>Error?</v>
      </c>
      <c r="E7713" s="2" t="s">
        <v>822</v>
      </c>
    </row>
    <row r="7714" spans="1:6" x14ac:dyDescent="0.2">
      <c r="A7714">
        <v>7653</v>
      </c>
      <c r="B7714" s="1832">
        <f>'Rest Tax Levies-Tort Im 25'!K9</f>
        <v>5083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98006</v>
      </c>
      <c r="D7718" s="2" t="str">
        <f t="shared" si="126"/>
        <v>Error?</v>
      </c>
      <c r="E7718" s="2" t="s">
        <v>822</v>
      </c>
    </row>
    <row r="7719" spans="1:6" x14ac:dyDescent="0.2">
      <c r="A7719">
        <v>7658</v>
      </c>
      <c r="B7719" s="1832">
        <f>'Rest Tax Levies-Tort Im 25'!K12</f>
        <v>11017</v>
      </c>
      <c r="D7719" s="2" t="str">
        <f t="shared" si="126"/>
        <v>Error?</v>
      </c>
      <c r="E7719" s="2" t="s">
        <v>822</v>
      </c>
    </row>
    <row r="7720" spans="1:6" x14ac:dyDescent="0.2">
      <c r="A7720">
        <v>7659</v>
      </c>
      <c r="B7720" s="1832">
        <f>'Rest Tax Levies-Tort Im 25'!H14</f>
        <v>27550</v>
      </c>
      <c r="D7720" s="2" t="str">
        <f t="shared" si="126"/>
        <v>Error?</v>
      </c>
      <c r="E7720" s="2" t="s">
        <v>822</v>
      </c>
    </row>
    <row r="7721" spans="1:6" x14ac:dyDescent="0.2">
      <c r="A7721">
        <v>7660</v>
      </c>
      <c r="B7721" s="1832">
        <f>'Rest Tax Levies-Tort Im 25'!K14</f>
        <v>11017</v>
      </c>
      <c r="D7721" s="2" t="str">
        <f t="shared" si="126"/>
        <v>Error?</v>
      </c>
      <c r="E7721" s="2" t="s">
        <v>822</v>
      </c>
    </row>
    <row r="7722" spans="1:6" x14ac:dyDescent="0.2">
      <c r="A7722">
        <v>7661</v>
      </c>
      <c r="B7722" s="1832">
        <f>'Rest Tax Levies-Tort Im 25'!J15</f>
        <v>1659588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299425</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1659588</v>
      </c>
      <c r="D7730" s="2" t="str">
        <f t="shared" si="126"/>
        <v>Error?</v>
      </c>
      <c r="E7730" s="2" t="s">
        <v>822</v>
      </c>
    </row>
    <row r="7731" spans="1:6" x14ac:dyDescent="0.2">
      <c r="A7731">
        <v>7670</v>
      </c>
      <c r="B7731" s="1832">
        <f>'Revenues 9-14'!H103</f>
        <v>98006</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2000173</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11017</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6544214</v>
      </c>
      <c r="D7817" s="2" t="str">
        <f t="shared" si="128"/>
        <v>Error?</v>
      </c>
      <c r="E7817" s="4" t="s">
        <v>1966</v>
      </c>
    </row>
    <row r="7818" spans="1:5" x14ac:dyDescent="0.2">
      <c r="A7818">
        <v>7757</v>
      </c>
      <c r="B7818" s="1832">
        <f>'PCTC-OEPP 27-28'!F172</f>
        <v>214261</v>
      </c>
      <c r="D7818" s="2" t="str">
        <f t="shared" si="128"/>
        <v>Error?</v>
      </c>
      <c r="E7818" s="4" t="s">
        <v>1980</v>
      </c>
    </row>
    <row r="7819" spans="1:5" x14ac:dyDescent="0.2">
      <c r="A7819">
        <v>7758</v>
      </c>
      <c r="B7819" s="1832">
        <f>'PCTC-OEPP 27-28'!F173</f>
        <v>303</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6662405</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737703</v>
      </c>
      <c r="D7834" s="2" t="str">
        <f t="shared" si="129"/>
        <v>Error?</v>
      </c>
      <c r="E7834" s="4" t="s">
        <v>1998</v>
      </c>
    </row>
    <row r="7835" spans="1:5" x14ac:dyDescent="0.2">
      <c r="A7835">
        <v>7774</v>
      </c>
      <c r="B7835" s="1832">
        <f>'PCTC-OEPP 27-28'!F78</f>
        <v>5924702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10064.042806183115</v>
      </c>
      <c r="D7837" s="2" t="str">
        <f t="shared" si="129"/>
        <v>Error?</v>
      </c>
      <c r="E7837" s="4" t="s">
        <v>1998</v>
      </c>
    </row>
    <row r="7838" spans="1:5" x14ac:dyDescent="0.2">
      <c r="A7838">
        <v>7777</v>
      </c>
      <c r="B7838" s="1832">
        <f>'PCTC-OEPP 27-28'!F96</f>
        <v>124225</v>
      </c>
      <c r="D7838" s="2" t="str">
        <f t="shared" si="129"/>
        <v>Error?</v>
      </c>
      <c r="E7838" s="4" t="s">
        <v>1998</v>
      </c>
    </row>
    <row r="7839" spans="1:5" x14ac:dyDescent="0.2">
      <c r="A7839">
        <v>7778</v>
      </c>
      <c r="B7839" s="1832">
        <f>'PCTC-OEPP 27-28'!F102</f>
        <v>810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53279</v>
      </c>
      <c r="D7842" s="2" t="str">
        <f t="shared" si="129"/>
        <v>Error?</v>
      </c>
      <c r="E7842" s="4" t="s">
        <v>1998</v>
      </c>
    </row>
    <row r="7843" spans="1:5" x14ac:dyDescent="0.2">
      <c r="A7843">
        <v>7782</v>
      </c>
      <c r="B7843" s="1832">
        <f>'PCTC-OEPP 27-28'!F107</f>
        <v>13636</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5083</v>
      </c>
      <c r="D7846" s="2" t="str">
        <f t="shared" si="129"/>
        <v>Error?</v>
      </c>
      <c r="E7846" s="4" t="s">
        <v>1998</v>
      </c>
    </row>
    <row r="7847" spans="1:5" x14ac:dyDescent="0.2">
      <c r="A7847">
        <v>7786</v>
      </c>
      <c r="B7847" s="1832">
        <f>'PCTC-OEPP 27-28'!F112</f>
        <v>190245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125624</v>
      </c>
      <c r="D7858" s="2" t="str">
        <f t="shared" si="129"/>
        <v>Error?</v>
      </c>
      <c r="E7858" s="4" t="s">
        <v>1998</v>
      </c>
    </row>
    <row r="7859" spans="1:5" x14ac:dyDescent="0.2">
      <c r="A7859">
        <v>7798</v>
      </c>
      <c r="B7859" s="1832">
        <f>'PCTC-OEPP 27-28'!F127</f>
        <v>76504</v>
      </c>
      <c r="D7859" s="2" t="str">
        <f t="shared" si="129"/>
        <v>Error?</v>
      </c>
      <c r="E7859" s="4" t="s">
        <v>1998</v>
      </c>
    </row>
    <row r="7860" spans="1:5" x14ac:dyDescent="0.2">
      <c r="A7860">
        <v>7799</v>
      </c>
      <c r="B7860" s="1832">
        <f>'PCTC-OEPP 27-28'!F128</f>
        <v>13996</v>
      </c>
      <c r="D7860" s="2" t="str">
        <f t="shared" si="129"/>
        <v>Error?</v>
      </c>
      <c r="E7860" s="4" t="s">
        <v>1998</v>
      </c>
    </row>
    <row r="7861" spans="1:5" x14ac:dyDescent="0.2">
      <c r="A7861">
        <v>7800</v>
      </c>
      <c r="B7861" s="1832">
        <f>'PCTC-OEPP 27-28'!F129</f>
        <v>17279</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15757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38203</v>
      </c>
      <c r="D7874" s="2" t="str">
        <f t="shared" si="129"/>
        <v>Error?</v>
      </c>
      <c r="E7874" s="4" t="s">
        <v>1998</v>
      </c>
    </row>
    <row r="7875" spans="1:5" x14ac:dyDescent="0.2">
      <c r="A7875">
        <v>7814</v>
      </c>
      <c r="B7875" s="1832">
        <f>'PCTC-OEPP 27-28'!F170</f>
        <v>58252</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1086454</v>
      </c>
      <c r="D7877" s="2" t="str">
        <f t="shared" si="129"/>
        <v>Error?</v>
      </c>
      <c r="E7877" s="4" t="s">
        <v>1998</v>
      </c>
    </row>
    <row r="7878" spans="1:5" x14ac:dyDescent="0.2">
      <c r="A7878">
        <v>7817</v>
      </c>
      <c r="B7878" s="1832">
        <f>'PCTC-OEPP 27-28'!F176</f>
        <v>4838248</v>
      </c>
      <c r="D7878" s="2" t="str">
        <f t="shared" si="129"/>
        <v>Error?</v>
      </c>
      <c r="E7878" s="4" t="s">
        <v>1998</v>
      </c>
    </row>
    <row r="7879" spans="1:5" x14ac:dyDescent="0.2">
      <c r="A7879">
        <v>7818</v>
      </c>
      <c r="B7879" s="1832">
        <f>'PCTC-OEPP 27-28'!F178</f>
        <v>5266597</v>
      </c>
      <c r="D7879" s="2" t="str">
        <f t="shared" si="129"/>
        <v>Error?</v>
      </c>
      <c r="E7879" s="4" t="s">
        <v>1998</v>
      </c>
    </row>
    <row r="7880" spans="1:5" x14ac:dyDescent="0.2">
      <c r="A7880">
        <v>7819</v>
      </c>
      <c r="B7880" s="1832">
        <f>'PCTC-OEPP 27-28'!F180</f>
        <v>8946.1474435196196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14200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7" t="str">
        <f>COVER!A17</f>
        <v xml:space="preserve">  Villa Grove CUSD 302</v>
      </c>
      <c r="B7" s="2518"/>
      <c r="C7" s="2518"/>
      <c r="D7" s="2556"/>
      <c r="E7" s="2557">
        <f>COVER!A13</f>
        <v>11021302026</v>
      </c>
      <c r="F7" s="2558"/>
      <c r="G7" s="2524">
        <f>COVER!T23</f>
        <v>65.018319000000005</v>
      </c>
      <c r="H7" s="2525"/>
      <c r="I7" s="2525"/>
      <c r="J7" s="2525"/>
      <c r="K7" s="2525"/>
      <c r="L7" s="252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7"/>
      <c r="B9" s="2528"/>
      <c r="C9" s="2528"/>
      <c r="D9" s="2528"/>
      <c r="E9" s="2528"/>
      <c r="F9" s="2529"/>
      <c r="G9" s="2530" t="str">
        <f>COVER!T13</f>
        <v>RUSSELL LEIGH &amp; ASSOCIATES LLC</v>
      </c>
      <c r="H9" s="2531"/>
      <c r="I9" s="2531"/>
      <c r="J9" s="2531"/>
      <c r="K9" s="2531"/>
      <c r="L9" s="2532"/>
    </row>
    <row r="10" spans="1:29" ht="13.5" customHeight="1" x14ac:dyDescent="0.2">
      <c r="A10" s="2514" t="str">
        <f>COVER!A38</f>
        <v>Norm Tracy</v>
      </c>
      <c r="B10" s="2515"/>
      <c r="C10" s="2515"/>
      <c r="D10" s="2515"/>
      <c r="E10" s="2515"/>
      <c r="F10" s="2516"/>
      <c r="G10" s="2530" t="str">
        <f>COVER!T17</f>
        <v>228 E MAIN ST</v>
      </c>
      <c r="H10" s="2543"/>
      <c r="I10" s="2543"/>
      <c r="J10" s="2543"/>
      <c r="K10" s="2543"/>
      <c r="L10" s="2544"/>
    </row>
    <row r="11" spans="1:29" ht="13.5" customHeight="1" x14ac:dyDescent="0.2">
      <c r="A11" s="963" t="s">
        <v>1502</v>
      </c>
      <c r="B11" s="964"/>
      <c r="C11" s="965"/>
      <c r="D11" s="970"/>
      <c r="E11" s="965"/>
      <c r="F11" s="969"/>
      <c r="G11" s="2530" t="str">
        <f>COVER!T19</f>
        <v>HOOPESTON</v>
      </c>
      <c r="H11" s="2543"/>
      <c r="I11" s="2543"/>
      <c r="J11" s="2543"/>
      <c r="K11" s="2543"/>
      <c r="L11" s="2544"/>
    </row>
    <row r="12" spans="1:29" ht="13.5" customHeight="1" x14ac:dyDescent="0.2">
      <c r="A12" s="2548" t="s">
        <v>1501</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1503</v>
      </c>
      <c r="H13" s="2539"/>
      <c r="I13" s="2551" t="str">
        <f>COVER!T25</f>
        <v>admin@russleigh.com</v>
      </c>
      <c r="J13" s="2552"/>
      <c r="K13" s="2552"/>
      <c r="L13" s="2553"/>
    </row>
    <row r="14" spans="1:29" ht="13.5" customHeight="1" x14ac:dyDescent="0.2">
      <c r="A14" s="2530" t="str">
        <f>COVER!A19</f>
        <v>400 N SYCAMORE</v>
      </c>
      <c r="B14" s="2543"/>
      <c r="C14" s="2543"/>
      <c r="D14" s="2543"/>
      <c r="E14" s="2543"/>
      <c r="F14" s="2544"/>
      <c r="G14" s="974" t="s">
        <v>1175</v>
      </c>
      <c r="H14" s="972"/>
      <c r="I14" s="972"/>
      <c r="J14" s="972"/>
      <c r="K14" s="972"/>
      <c r="L14" s="973"/>
    </row>
    <row r="15" spans="1:29" ht="13.5" customHeight="1" x14ac:dyDescent="0.2">
      <c r="A15" s="2530" t="str">
        <f>COVER!A21</f>
        <v>VILLA GROVE</v>
      </c>
      <c r="B15" s="2543"/>
      <c r="C15" s="2543"/>
      <c r="D15" s="2543"/>
      <c r="E15" s="2543"/>
      <c r="F15" s="2544"/>
      <c r="G15" s="2540" t="str">
        <f>COVER!T15</f>
        <v>RUSS LEIGH</v>
      </c>
      <c r="H15" s="2541"/>
      <c r="I15" s="2541"/>
      <c r="J15" s="2541"/>
      <c r="K15" s="2541"/>
      <c r="L15" s="2542"/>
    </row>
    <row r="16" spans="1:29" ht="12.2" customHeight="1" x14ac:dyDescent="0.2">
      <c r="A16" s="2520">
        <f>COVER!A25</f>
        <v>61956</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1174</v>
      </c>
      <c r="H17" s="972"/>
      <c r="I17" s="972"/>
      <c r="J17" s="972"/>
      <c r="K17" s="976" t="s">
        <v>1173</v>
      </c>
      <c r="L17" s="969"/>
      <c r="M17" s="962"/>
    </row>
    <row r="18" spans="1:13" ht="12.2" customHeight="1" x14ac:dyDescent="0.2">
      <c r="A18" s="2514"/>
      <c r="B18" s="2515"/>
      <c r="C18" s="2515"/>
      <c r="D18" s="2515"/>
      <c r="E18" s="2515"/>
      <c r="F18" s="2516"/>
      <c r="G18" s="2517" t="str">
        <f>COVER!T21</f>
        <v>217-283-9336</v>
      </c>
      <c r="H18" s="2518"/>
      <c r="I18" s="2518"/>
      <c r="J18" s="2518"/>
      <c r="K18" s="2517" t="str">
        <f>COVER!X21</f>
        <v>217-283-9736</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Villa Grove CUSD 302</v>
      </c>
      <c r="B1" s="2560"/>
      <c r="C1" s="2560"/>
      <c r="D1" s="2560"/>
    </row>
    <row r="2" spans="1:11" s="991" customFormat="1" ht="12.75" x14ac:dyDescent="0.2">
      <c r="A2" s="2561">
        <f>'Single Audit Cover'!E7</f>
        <v>11021302026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Villa Grove CUSD 302</v>
      </c>
      <c r="B1" s="2564"/>
      <c r="C1" s="2564"/>
      <c r="D1" s="2564"/>
      <c r="E1" s="2564"/>
    </row>
    <row r="2" spans="1:5" x14ac:dyDescent="0.2">
      <c r="A2" s="2565">
        <f>'Single Audit Cover'!E7</f>
        <v>11021302026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345615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-58252</v>
      </c>
    </row>
    <row r="19" spans="1:4" ht="13.5" thickBot="1" x14ac:dyDescent="0.25">
      <c r="A19" s="1041" t="s">
        <v>1224</v>
      </c>
      <c r="D19" s="1042">
        <f>SUM(D10:D17)</f>
        <v>287363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287363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287363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Villa Grove CUSD 302</v>
      </c>
      <c r="C1" s="2568"/>
      <c r="D1" s="2568"/>
      <c r="E1" s="2568"/>
      <c r="F1" s="2568"/>
      <c r="G1" s="2568"/>
      <c r="H1" s="2568"/>
      <c r="I1" s="2568"/>
      <c r="J1" s="2568"/>
      <c r="K1" s="2568"/>
      <c r="L1" s="2568"/>
      <c r="M1" s="2568"/>
    </row>
    <row r="2" spans="2:14" ht="15" x14ac:dyDescent="0.2">
      <c r="B2" s="2569">
        <f>'Single Audit Cover'!E7</f>
        <v>11021302026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 xml:space="preserve">  Villa Grove CUSD 302</v>
      </c>
      <c r="B1" s="2573"/>
      <c r="C1" s="2573"/>
      <c r="D1" s="2573"/>
      <c r="E1" s="2573"/>
      <c r="F1" s="2573"/>
    </row>
    <row r="2" spans="1:7" ht="13.5" customHeight="1" x14ac:dyDescent="0.2">
      <c r="A2" s="2569">
        <f>'Single Audit Cover'!E7</f>
        <v>11021302026</v>
      </c>
      <c r="B2" s="2569"/>
      <c r="C2" s="2569"/>
      <c r="D2" s="2569"/>
      <c r="E2" s="2569"/>
      <c r="F2" s="2569"/>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2" t="s">
        <v>1706</v>
      </c>
      <c r="B7" s="2572"/>
      <c r="C7" s="2572"/>
      <c r="D7" s="2572"/>
      <c r="E7" s="2572"/>
      <c r="F7" s="257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2" t="s">
        <v>1708</v>
      </c>
      <c r="B13" s="2572"/>
      <c r="C13" s="2572"/>
      <c r="D13" s="2572"/>
      <c r="E13" s="2572"/>
      <c r="F13" s="2572"/>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1709</v>
      </c>
      <c r="B32" s="2580"/>
      <c r="C32" s="2580"/>
      <c r="D32" s="2580"/>
      <c r="E32" s="2580"/>
      <c r="F32" s="258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1">
        <f>+C33+C34</f>
        <v>0</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Villa Grove CUSD 302</v>
      </c>
      <c r="C1" s="2589"/>
      <c r="D1" s="2589"/>
      <c r="E1" s="2589"/>
      <c r="F1" s="2589"/>
      <c r="G1" s="2589"/>
      <c r="H1" s="2589"/>
      <c r="I1" s="2589"/>
      <c r="J1" s="1178"/>
    </row>
    <row r="2" spans="2:10" s="295" customFormat="1" ht="12.75" customHeight="1" x14ac:dyDescent="0.2">
      <c r="B2" s="2590">
        <f>'Single Audit Cover'!E7</f>
        <v>11021302026</v>
      </c>
      <c r="C2" s="2591"/>
      <c r="D2" s="2591"/>
      <c r="E2" s="2591"/>
      <c r="F2" s="2591"/>
      <c r="G2" s="2591"/>
      <c r="H2" s="2591"/>
      <c r="I2" s="2591"/>
      <c r="J2" s="1178"/>
    </row>
    <row r="3" spans="2:10" s="295" customFormat="1" ht="12.75" customHeight="1" x14ac:dyDescent="0.2">
      <c r="B3" s="2592" t="s">
        <v>1274</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1273</v>
      </c>
      <c r="C7" s="2593"/>
      <c r="D7" s="2593"/>
      <c r="E7" s="2593"/>
      <c r="F7" s="2593"/>
      <c r="G7" s="2593"/>
      <c r="H7" s="2593"/>
      <c r="I7" s="259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4"/>
      <c r="D11" s="259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5"/>
      <c r="E29" s="2595"/>
      <c r="F29" s="2595"/>
      <c r="G29" s="2595"/>
      <c r="H29" s="2595"/>
      <c r="I29" s="259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6" t="s">
        <v>1728</v>
      </c>
      <c r="D37" s="2597"/>
      <c r="E37" s="2597"/>
      <c r="F37" s="2598"/>
      <c r="G37" s="2596" t="s">
        <v>1575</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1576</v>
      </c>
      <c r="D43" s="2603"/>
      <c r="E43" s="2603"/>
      <c r="F43" s="2604"/>
      <c r="G43" s="2605">
        <f>SUM(G38:I42)</f>
        <v>0</v>
      </c>
      <c r="H43" s="2605"/>
      <c r="I43" s="2605"/>
    </row>
    <row r="44" spans="2:9" ht="12.75" customHeight="1" x14ac:dyDescent="0.2"/>
    <row r="45" spans="2:9" ht="12.75" customHeight="1" x14ac:dyDescent="0.2">
      <c r="B45" s="1918" t="str">
        <f>"Total Federal Expenditures for 7/1/"&amp;MID('AFR20'!E2,3,2)-1&amp;"-6/30/"&amp;MID('AFR20'!E2,3,2)</f>
        <v>Total Federal Expenditures for 7/1/19-6/30/20</v>
      </c>
      <c r="C45" s="1919"/>
      <c r="D45" s="2606">
        <v>0</v>
      </c>
      <c r="E45" s="260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8"/>
      <c r="F49" s="2608"/>
      <c r="G49" s="260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Villa Grove CUSD 302</v>
      </c>
      <c r="C1" s="2588"/>
      <c r="D1" s="2588"/>
      <c r="E1" s="2588"/>
      <c r="F1" s="2588"/>
      <c r="G1" s="2588"/>
      <c r="H1" s="2588"/>
      <c r="I1" s="2588"/>
      <c r="J1" s="2588"/>
      <c r="K1" s="2588"/>
      <c r="L1" s="1144"/>
      <c r="M1" s="1144"/>
    </row>
    <row r="2" spans="1:13" ht="12" customHeight="1" x14ac:dyDescent="0.2">
      <c r="B2" s="2590">
        <f>'Single Audit Cover'!E7</f>
        <v>11021302026</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Villa Grove CUSD 302</v>
      </c>
      <c r="C1" s="2615"/>
      <c r="D1" s="2615"/>
      <c r="E1" s="2615"/>
      <c r="F1" s="2615"/>
      <c r="G1" s="2615"/>
      <c r="H1" s="2615"/>
      <c r="I1" s="2615"/>
      <c r="J1" s="2615"/>
      <c r="K1" s="2615"/>
      <c r="L1" s="1221"/>
    </row>
    <row r="2" spans="1:12" ht="12.75" customHeight="1" x14ac:dyDescent="0.2">
      <c r="B2" s="2616">
        <f>'Single Audit Cover'!E7</f>
        <v>11021302026</v>
      </c>
      <c r="C2" s="2616"/>
      <c r="D2" s="2616"/>
      <c r="E2" s="2616"/>
      <c r="F2" s="2616"/>
      <c r="G2" s="2616"/>
      <c r="H2" s="2616"/>
      <c r="I2" s="2616"/>
      <c r="J2" s="2616"/>
      <c r="K2" s="2616"/>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Villa Grove CUSD 302</v>
      </c>
      <c r="C1" s="2588"/>
      <c r="D1" s="2588"/>
      <c r="E1" s="1240"/>
    </row>
    <row r="2" spans="2:5" s="1058" customFormat="1" ht="12.75" customHeight="1" x14ac:dyDescent="0.2">
      <c r="B2" s="2590">
        <f>'Single Audit Cover'!E7</f>
        <v>11021302026</v>
      </c>
      <c r="C2" s="2590"/>
      <c r="D2" s="2590"/>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4d435f69-8686-490b-bd6d-b153bf22ab50"/>
    <ds:schemaRef ds:uri="http://www.w3.org/XML/1998/namespace"/>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http://purl.org/dc/dcmitype/"/>
    <ds:schemaRef ds:uri="d21dc803-237d-4c68-8692-8d731fd29118"/>
    <ds:schemaRef ds:uri="6ce3111e-7420-4802-b50a-75d4e9a0b980"/>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2020-11-17T22:22:19Z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