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68502D8-0727-4F5E-91E9-C1EC5C742F4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9" i="184" l="1"/>
  <c r="C29" i="184"/>
  <c r="G40" i="8"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D14" i="4" s="1"/>
  <c r="B2570" i="106" s="1"/>
  <c r="D2570"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F68" i="34" l="1"/>
  <c r="B6995" i="106"/>
  <c r="D6995" i="106" s="1"/>
  <c r="E34" i="108"/>
  <c r="B2724" i="106"/>
  <c r="D2724" i="106" s="1"/>
  <c r="F52" i="34"/>
  <c r="B7831" i="106" s="1"/>
  <c r="D7831" i="106" s="1"/>
  <c r="D68" i="36"/>
  <c r="F69" i="34"/>
  <c r="L22" i="37"/>
  <c r="F72" i="34"/>
  <c r="D24" i="37"/>
  <c r="B4270" i="106" s="1"/>
  <c r="D4270" i="106" s="1"/>
  <c r="H28" i="118"/>
  <c r="G14" i="4"/>
  <c r="B2609" i="106" s="1"/>
  <c r="D2609" i="106" s="1"/>
  <c r="F42" i="34"/>
  <c r="D22" i="37"/>
  <c r="D36" i="108"/>
  <c r="F36" i="108"/>
  <c r="D69" i="36"/>
  <c r="F56" i="34"/>
  <c r="B7832" i="106" s="1"/>
  <c r="D7832" i="106" s="1"/>
  <c r="B2805" i="106"/>
  <c r="D2805" i="106" s="1"/>
  <c r="B7047" i="106"/>
  <c r="D7047" i="106" s="1"/>
  <c r="F50" i="34"/>
  <c r="H76" i="4"/>
  <c r="B3298" i="106" s="1"/>
  <c r="D3298" i="106" s="1"/>
  <c r="J210" i="29"/>
  <c r="B7072" i="106" s="1"/>
  <c r="D7072" i="106" s="1"/>
  <c r="F67" i="34"/>
  <c r="F64" i="34"/>
  <c r="G30" i="108"/>
  <c r="H365" i="29"/>
  <c r="B7242" i="106" s="1"/>
  <c r="D7242" i="106" s="1"/>
  <c r="B6289" i="106"/>
  <c r="D6289" i="106" s="1"/>
  <c r="F77" i="4"/>
  <c r="B3255" i="106" s="1"/>
  <c r="D3255" i="106" s="1"/>
  <c r="I129" i="29"/>
  <c r="B7037" i="106" s="1"/>
  <c r="D7037" i="106" s="1"/>
  <c r="I210" i="29"/>
  <c r="B7071" i="106" s="1"/>
  <c r="D7071" i="106" s="1"/>
  <c r="F36" i="34"/>
  <c r="B7828" i="106" s="1"/>
  <c r="D7828" i="106" s="1"/>
  <c r="C129" i="29"/>
  <c r="C151" i="29" s="1"/>
  <c r="B1226" i="106" s="1"/>
  <c r="D1226" i="106" s="1"/>
  <c r="H342" i="29"/>
  <c r="B7221" i="106" s="1"/>
  <c r="D7221" i="106" s="1"/>
  <c r="J129" i="29"/>
  <c r="B7038" i="106" s="1"/>
  <c r="D7038" i="106" s="1"/>
  <c r="B7189" i="106"/>
  <c r="D7189" i="106" s="1"/>
  <c r="E64" i="184"/>
  <c r="N64" i="184" s="1"/>
  <c r="B7153" i="106"/>
  <c r="D7153" i="106" s="1"/>
  <c r="E60" i="184"/>
  <c r="N60" i="184" s="1"/>
  <c r="C352" i="29"/>
  <c r="C367" i="29" s="1"/>
  <c r="B3622" i="106" s="1"/>
  <c r="D3622" i="106" s="1"/>
  <c r="B1274" i="106"/>
  <c r="D1274" i="106" s="1"/>
  <c r="F70" i="34"/>
  <c r="B7198" i="106"/>
  <c r="D7198" i="106" s="1"/>
  <c r="E65" i="184"/>
  <c r="N65" i="184" s="1"/>
  <c r="B7162" i="106"/>
  <c r="D7162" i="106" s="1"/>
  <c r="E61" i="184"/>
  <c r="N61" i="184" s="1"/>
  <c r="B7126" i="106"/>
  <c r="D7126" i="106" s="1"/>
  <c r="E57" i="184"/>
  <c r="G26" i="108"/>
  <c r="F34" i="34"/>
  <c r="B7826" i="106" s="1"/>
  <c r="D7826" i="106" s="1"/>
  <c r="B7705" i="106"/>
  <c r="D7705" i="106" s="1"/>
  <c r="E67" i="184"/>
  <c r="N67" i="184" s="1"/>
  <c r="B7696" i="106"/>
  <c r="D7696" i="106" s="1"/>
  <c r="E66" i="184"/>
  <c r="N66" i="184" s="1"/>
  <c r="B7171" i="106"/>
  <c r="D7171" i="106" s="1"/>
  <c r="E62" i="184"/>
  <c r="N62" i="184" s="1"/>
  <c r="B7135" i="106"/>
  <c r="D7135" i="106" s="1"/>
  <c r="E58" i="184"/>
  <c r="N58" i="184" s="1"/>
  <c r="H12" i="184"/>
  <c r="G39" i="108"/>
  <c r="H15" i="184"/>
  <c r="D31" i="108"/>
  <c r="E16" i="184"/>
  <c r="H16" i="184" s="1"/>
  <c r="F37" i="34"/>
  <c r="B7829" i="106" s="1"/>
  <c r="D7829" i="106" s="1"/>
  <c r="B7180" i="106"/>
  <c r="D7180" i="106" s="1"/>
  <c r="E63" i="184"/>
  <c r="N63" i="184" s="1"/>
  <c r="B2836" i="106"/>
  <c r="D2836" i="106" s="1"/>
  <c r="G33" i="108"/>
  <c r="E17" i="184"/>
  <c r="H17" i="184"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6216" i="106" l="1"/>
  <c r="D6216" i="106" s="1"/>
  <c r="K28" i="118"/>
  <c r="O27" i="118" s="1"/>
  <c r="O29" i="118" s="1"/>
  <c r="L16" i="11"/>
  <c r="B2061" i="106" s="1"/>
  <c r="D2061" i="106" s="1"/>
  <c r="H77" i="4"/>
  <c r="B3299" i="106" s="1"/>
  <c r="D3299" i="106" s="1"/>
  <c r="B5770" i="106"/>
  <c r="D5770" i="106" s="1"/>
  <c r="F66" i="34"/>
  <c r="I7" i="4"/>
  <c r="B4444" i="106" s="1"/>
  <c r="D4444" i="106" s="1"/>
  <c r="B1225" i="106"/>
  <c r="D1225" i="106" s="1"/>
  <c r="K77" i="4"/>
  <c r="B3587" i="106" s="1"/>
  <c r="D3587" i="106" s="1"/>
  <c r="N23" i="3"/>
  <c r="B284" i="106" s="1"/>
  <c r="D284" i="106" s="1"/>
  <c r="I151" i="29"/>
  <c r="F59" i="34" s="1"/>
  <c r="B3621" i="106"/>
  <c r="D3621" i="106" s="1"/>
  <c r="K342" i="29"/>
  <c r="F13" i="34" s="1"/>
  <c r="J151" i="29"/>
  <c r="B7052" i="106" s="1"/>
  <c r="D7052" i="106" s="1"/>
  <c r="B1328" i="106"/>
  <c r="D1328" i="106" s="1"/>
  <c r="F41" i="108"/>
  <c r="G43" i="108" s="1"/>
  <c r="E19" i="184"/>
  <c r="H151" i="29"/>
  <c r="B1273" i="106" s="1"/>
  <c r="D1273" i="106" s="1"/>
  <c r="J16" i="4"/>
  <c r="B6226" i="106" s="1"/>
  <c r="D6226" i="106" s="1"/>
  <c r="B7215" i="106"/>
  <c r="D7215" i="106" s="1"/>
  <c r="B7220" i="106"/>
  <c r="D7220" i="106" s="1"/>
  <c r="F75" i="34"/>
  <c r="B7886" i="106" s="1"/>
  <c r="D7886" i="106" s="1"/>
  <c r="B7222" i="106"/>
  <c r="D7222" i="106" s="1"/>
  <c r="F76" i="34"/>
  <c r="B7887" i="106" s="1"/>
  <c r="D7887" i="106" s="1"/>
  <c r="B1381" i="106"/>
  <c r="D1381" i="106" s="1"/>
  <c r="E367" i="29"/>
  <c r="B3636" i="106" s="1"/>
  <c r="D3636" i="106" s="1"/>
  <c r="B3635" i="106"/>
  <c r="D3635" i="106" s="1"/>
  <c r="B7235" i="106"/>
  <c r="D7235" i="106" s="1"/>
  <c r="H19" i="184"/>
  <c r="L20" i="184" s="1"/>
  <c r="N57" i="184"/>
  <c r="N68" i="184" s="1"/>
  <c r="E68" i="184"/>
  <c r="K365" i="29"/>
  <c r="K16" i="4" s="1"/>
  <c r="L114" i="29"/>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051" i="106"/>
  <c r="D7051" i="106" s="1"/>
  <c r="B7243" i="106"/>
  <c r="D7243" i="106" s="1"/>
  <c r="K367" i="29"/>
  <c r="B3678" i="106" s="1"/>
  <c r="D3678" i="106" s="1"/>
  <c r="B1145" i="106"/>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368" i="29" l="1"/>
  <c r="B3681" i="106" s="1"/>
  <c r="D3681" i="106" s="1"/>
  <c r="F77" i="34"/>
  <c r="B7834" i="106" s="1"/>
  <c r="D7834" i="106" s="1"/>
  <c r="J20" i="4"/>
  <c r="B6230" i="106" s="1"/>
  <c r="D6230" i="106" s="1"/>
  <c r="K17" i="4"/>
  <c r="K19" i="4" s="1"/>
  <c r="B4144" i="106" s="1"/>
  <c r="D4144" i="106" s="1"/>
  <c r="B6227" i="106"/>
  <c r="D6227" i="106" s="1"/>
  <c r="F8" i="4"/>
  <c r="B2595" i="106" s="1"/>
  <c r="D2595" i="106"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3575" i="106"/>
  <c r="D3575" i="106" s="1"/>
  <c r="K20" i="4"/>
  <c r="B3576" i="106" s="1"/>
  <c r="D3576" i="106"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l="1"/>
  <c r="D6263" i="106" s="1"/>
  <c r="F8" i="146"/>
  <c r="K78" i="4"/>
  <c r="B3588" i="106" s="1"/>
  <c r="D3588" i="106" s="1"/>
  <c r="D78" i="4"/>
  <c r="D81" i="4" s="1"/>
  <c r="D10" i="146"/>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K81" i="4"/>
  <c r="K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D65" i="36" l="1"/>
  <c r="B3591" i="106"/>
  <c r="D3591"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<sst xmlns="http://schemas.openxmlformats.org/spreadsheetml/2006/main" count="5193" uniqueCount="2122">
  <si>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</si>
  <si>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</si>
  <si>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</si>
  <si>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</si>
  <si>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</si>
  <si>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</si>
  <si>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</si>
  <si>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</si>
  <si>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</si>
  <si>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</si>
  <si>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</si>
  <si>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</si>
  <si>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</si>
  <si>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</si>
  <si>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</si>
  <si>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</si>
  <si>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</si>
  <si>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</si>
  <si>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</si>
  <si>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</si>
  <si>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</si>
  <si>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</si>
  <si>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</si>
  <si>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</si>
  <si>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</si>
  <si>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</si>
  <si>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</si>
  <si>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</si>
  <si>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</si>
  <si>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</si>
  <si>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</si>
  <si>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</si>
  <si>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</si>
  <si>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</si>
  <si>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</si>
  <si>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</si>
  <si>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</si>
  <si>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</si>
  <si>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</si>
  <si>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</si>
  <si>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</si>
  <si>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</si>
  <si>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</si>
  <si>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</si>
  <si>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</si>
  <si>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</si>
  <si>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</si>
  <si>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</si>
  <si>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</si>
  <si>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</si>
  <si>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</si>
  <si>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</si>
  <si>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</si>
  <si>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</si>
  <si>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</si>
  <si>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</si>
  <si>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</si>
  <si>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</si>
  <si>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</si>
  <si>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</si>
  <si>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</si>
  <si>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</si>
  <si>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</si>
  <si>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</si>
  <si>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</si>
  <si>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</si>
  <si>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</si>
  <si>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</si>
  <si>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</si>
  <si>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</si>
  <si>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</si>
  <si>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</si>
  <si>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</si>
  <si>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</si>
  <si>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</si>
  <si>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</si>
  <si>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</si>
  <si>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</si>
  <si>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</si>
  <si>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</si>
  <si>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</si>
  <si>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</si>
  <si>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</si>
  <si>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</si>
  <si>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</si>
  <si>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</si>
  <si>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</si>
  <si>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</si>
  <si>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</si>
  <si>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</si>
  <si>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</si>
  <si>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</si>
  <si>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</si>
  <si>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</si>
  <si>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</si>
  <si>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</si>
  <si>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</si>
  <si>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</si>
  <si>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</si>
  <si>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</si>
  <si>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</si>
  <si>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</si>
  <si>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</si>
  <si>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</si>
  <si>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</si>
  <si>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</si>
  <si>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</si>
  <si>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</si>
  <si>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</si>
  <si>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</si>
  <si>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</si>
  <si>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</si>
  <si>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</si>
  <si>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</si>
  <si>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</si>
  <si>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</si>
  <si>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</si>
  <si>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</si>
  <si>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</si>
  <si>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</si>
  <si>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</si>
  <si>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</si>
  <si>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</si>
  <si>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</si>
  <si>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</si>
  <si>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</si>
  <si>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</si>
  <si>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</si>
  <si>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</si>
  <si>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</si>
  <si>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</si>
  <si>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</si>
  <si>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</si>
  <si>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</si>
  <si>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</si>
  <si>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</si>
  <si>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</si>
  <si>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</si>
  <si>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</si>
  <si>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</si>
  <si>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</si>
  <si>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</si>
  <si>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</si>
  <si>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</si>
  <si>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</si>
  <si>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</si>
  <si>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</si>
  <si>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</si>
  <si>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</si>
  <si>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</si>
  <si>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</si>
  <si>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</si>
  <si>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</si>
  <si>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</si>
  <si>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</si>
  <si>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</si>
  <si>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</si>
  <si>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</si>
  <si>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</si>
  <si>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</si>
  <si>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</si>
  <si>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</si>
  <si>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</si>
  <si>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</si>
  <si>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</si>
  <si>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</si>
  <si>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</si>
  <si>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</si>
  <si>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</si>
  <si>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</si>
  <si>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</si>
  <si>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</si>
  <si>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</si>
  <si>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</si>
  <si>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</si>
  <si>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</si>
  <si>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</si>
  <si>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</si>
  <si>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</si>
  <si>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</si>
  <si>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</si>
  <si>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</si>
  <si>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</si>
  <si>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</si>
  <si>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</si>
  <si>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</si>
  <si>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</si>
  <si>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</si>
  <si>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</si>
  <si>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</si>
  <si>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</si>
  <si>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</si>
  <si>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</si>
  <si>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</si>
  <si>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</si>
  <si>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</si>
  <si>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</si>
  <si>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</si>
  <si>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</si>
  <si>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</si>
  <si>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</si>
  <si>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</si>
  <si>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</si>
  <si>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</si>
  <si>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</si>
  <si>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</si>
  <si>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</si>
  <si>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</si>
  <si>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</si>
  <si>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</si>
  <si>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</si>
  <si>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</si>
  <si>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</si>
  <si>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</si>
  <si>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</si>
  <si>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</si>
  <si>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</si>
  <si>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</si>
  <si>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</si>
  <si>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</si>
  <si>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</si>
  <si>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</si>
  <si>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</si>
  <si>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</si>
  <si>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</si>
  <si>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</si>
  <si>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</si>
  <si>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</si>
  <si>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</si>
  <si>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</si>
  <si>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</si>
  <si>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</si>
  <si>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</si>
  <si>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</si>
  <si>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</si>
  <si>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</si>
  <si>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</si>
  <si>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</si>
  <si>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</si>
  <si>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</si>
  <si>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</si>
  <si>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</si>
  <si>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</si>
  <si>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</si>
  <si>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</si>
  <si>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</si>
  <si>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</si>
  <si>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</si>
  <si>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</si>
  <si>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</si>
  <si>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</si>
  <si>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</si>
  <si>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</si>
  <si>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</si>
  <si>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</si>
  <si>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</si>
  <si>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</si>
  <si>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</si>
  <si>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</si>
  <si>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</si>
  <si>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</si>
  <si>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</si>
  <si>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</si>
  <si>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</si>
  <si>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</si>
  <si>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</si>
  <si>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</si>
  <si>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</si>
  <si>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</si>
  <si>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</si>
  <si>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</si>
  <si>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</si>
  <si>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</si>
  <si>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</si>
  <si>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</si>
  <si>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</si>
  <si>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</si>
  <si>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</si>
  <si>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</si>
  <si>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</si>
  <si>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</si>
  <si>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</si>
  <si>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</si>
  <si>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</si>
  <si>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</si>
  <si>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</si>
  <si>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</si>
  <si>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</si>
  <si>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</si>
  <si>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</si>
  <si>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</si>
  <si>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</si>
  <si>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</si>
  <si>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</si>
  <si>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</si>
  <si>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</si>
  <si>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</si>
  <si>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</si>
  <si>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</si>
  <si>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</si>
  <si>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</si>
  <si>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</si>
  <si>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</si>
  <si>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</si>
  <si>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</si>
  <si>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</si>
  <si>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</si>
  <si>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</si>
  <si>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</si>
  <si>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</si>
  <si>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</si>
  <si>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</si>
  <si>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</si>
  <si>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</si>
  <si>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</si>
  <si>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</si>
  <si>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</si>
  <si>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</si>
  <si>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</si>
  <si>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</si>
  <si>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</si>
  <si>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</si>
  <si>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</si>
  <si>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</si>
  <si>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</si>
  <si>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</si>
  <si>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</si>
  <si>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</si>
  <si>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</si>
  <si>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</si>
  <si>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</si>
  <si>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</si>
  <si>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</si>
  <si>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</si>
  <si>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</si>
  <si>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</si>
  <si>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</si>
  <si>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</si>
  <si>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</si>
  <si>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</si>
  <si>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</si>
  <si>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</si>
  <si>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</si>
  <si>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</si>
  <si>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</si>
  <si>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</si>
  <si>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</si>
  <si>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</si>
  <si>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</si>
  <si>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</si>
  <si>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</si>
  <si>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</si>
  <si>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</si>
  <si>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</si>
  <si>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</si>
  <si>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</si>
  <si>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</si>
  <si>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</si>
  <si>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</si>
  <si>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</si>
  <si>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</si>
  <si>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</si>
  <si>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</si>
  <si>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</si>
  <si>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</si>
  <si>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</si>
  <si>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</si>
  <si>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</si>
  <si>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</si>
  <si>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</si>
  <si>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</si>
  <si>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</si>
  <si>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</si>
  <si>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</si>
  <si>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</si>
  <si>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</si>
  <si>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</si>
  <si>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</si>
  <si>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</si>
  <si>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</si>
  <si>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</si>
  <si>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</si>
  <si>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</si>
  <si>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</si>
  <si>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</si>
  <si>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</si>
  <si>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</si>
  <si>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</si>
  <si>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</si>
  <si>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</si>
  <si>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</si>
  <si>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</si>
  <si>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</si>
  <si>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</si>
  <si>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</si>
  <si>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</si>
  <si>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</si>
  <si>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</si>
  <si>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</si>
  <si>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</si>
  <si>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</si>
  <si>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</si>
  <si>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</si>
  <si>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</si>
  <si>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</si>
  <si>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</si>
  <si>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</si>
  <si>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</si>
  <si>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</si>
  <si>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</si>
  <si>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</si>
  <si>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</si>
  <si>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</si>
  <si>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</si>
  <si>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</si>
  <si>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</si>
  <si>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</si>
  <si>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</si>
  <si>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</si>
  <si>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</si>
  <si>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</si>
  <si>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</si>
  <si>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</si>
  <si>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</si>
  <si>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</si>
  <si>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</si>
  <si>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</si>
  <si>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</si>
  <si>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</si>
  <si>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</si>
  <si>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</si>
  <si>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</si>
  <si>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</si>
  <si>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</si>
  <si>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</si>
  <si>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</si>
  <si>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</si>
  <si>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</si>
  <si>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</si>
  <si>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</si>
  <si>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</si>
  <si>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</si>
  <si>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</si>
  <si>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</si>
  <si>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</si>
  <si>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</si>
  <si>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</si>
  <si>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</si>
  <si>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</si>
  <si>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</si>
  <si>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</si>
  <si>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</si>
  <si>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</si>
  <si>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</si>
  <si>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</si>
  <si>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</si>
  <si>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</si>
  <si>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</si>
  <si>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</si>
  <si>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</si>
  <si>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</si>
  <si>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</si>
  <si>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</si>
  <si>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</si>
  <si>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</si>
  <si>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</si>
  <si>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</si>
  <si>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</si>
  <si>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</si>
  <si>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</si>
  <si>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</si>
  <si>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</si>
  <si>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</si>
  <si>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</si>
  <si>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</si>
  <si>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</si>
  <si>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</si>
  <si>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</si>
  <si>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</si>
  <si>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</si>
  <si>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</si>
  <si>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</si>
  <si>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</si>
  <si>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</si>
  <si>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</si>
  <si>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</si>
  <si>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</si>
  <si>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</si>
  <si>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</si>
  <si>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</si>
  <si>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</si>
  <si>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</si>
  <si>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</si>
  <si>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</si>
  <si>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</si>
  <si>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</si>
  <si>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</si>
  <si>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</si>
  <si>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</si>
  <si>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</si>
  <si>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</si>
  <si>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</si>
  <si>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</si>
  <si>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</si>
  <si>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</si>
  <si>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</si>
  <si>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</si>
  <si>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</si>
  <si>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</si>
  <si>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</si>
  <si>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</si>
  <si>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</si>
  <si>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</si>
  <si>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</si>
  <si>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</si>
  <si>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</si>
  <si>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</si>
  <si>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</si>
  <si>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</si>
  <si>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</si>
  <si>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</si>
  <si>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</si>
  <si>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</si>
  <si>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</si>
  <si>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</si>
  <si>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</si>
  <si>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</si>
  <si>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</si>
  <si>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</si>
  <si>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</si>
  <si>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</si>
  <si>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</si>
  <si>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</si>
  <si>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</si>
  <si>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</si>
  <si>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</si>
  <si>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</si>
  <si>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</si>
  <si>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</si>
  <si>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</si>
  <si>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</si>
  <si>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</si>
  <si>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</si>
  <si>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</si>
  <si>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</si>
  <si>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</si>
  <si>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</si>
  <si>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</si>
  <si>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</si>
  <si>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</si>
  <si>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</si>
  <si>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</si>
  <si>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</si>
  <si>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</si>
  <si>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</si>
  <si>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</si>
  <si>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</si>
  <si>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</si>
  <si>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</si>
  <si>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</si>
  <si>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</si>
  <si>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</si>
  <si>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</si>
  <si>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</si>
  <si>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</si>
  <si>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</si>
  <si>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</si>
  <si>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</si>
  <si>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</si>
  <si>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</si>
  <si>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</si>
  <si>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</si>
  <si>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</si>
  <si>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</si>
  <si>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</si>
  <si>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</si>
  <si>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</si>
  <si>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</si>
  <si>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</si>
  <si>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</si>
  <si>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</si>
  <si>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</si>
  <si>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</si>
  <si>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</si>
  <si>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</si>
  <si>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</si>
  <si>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</si>
  <si>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</si>
  <si>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</si>
  <si>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</si>
  <si>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</si>
  <si>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</si>
  <si>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</si>
  <si>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</si>
  <si>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</si>
  <si>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</si>
  <si>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</si>
  <si>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</si>
  <si>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</si>
  <si>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</si>
  <si>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</si>
  <si>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</si>
  <si>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</si>
  <si>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</si>
  <si>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</si>
  <si>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</si>
  <si>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</si>
  <si>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</si>
  <si>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</si>
  <si>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</si>
  <si>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</si>
  <si>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</si>
  <si>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</si>
  <si>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</si>
  <si>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</si>
  <si>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</si>
  <si>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</si>
  <si>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</si>
  <si>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</si>
  <si>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</si>
  <si>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</si>
  <si>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</si>
  <si>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</si>
  <si>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</si>
  <si>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</si>
  <si>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</si>
  <si>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</si>
  <si>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</si>
  <si>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</si>
  <si>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</si>
  <si>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</si>
  <si>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</si>
  <si>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</si>
  <si>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</si>
  <si>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</si>
  <si>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</si>
  <si>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</si>
  <si>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</si>
  <si>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</si>
  <si>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</si>
  <si>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</si>
  <si>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</si>
  <si>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</si>
  <si>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</si>
  <si>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</si>
  <si>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</si>
  <si>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</si>
  <si>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</si>
  <si>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</si>
  <si>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</si>
  <si>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</si>
  <si>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</si>
  <si>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</si>
  <si>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</si>
  <si>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</si>
  <si>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</si>
  <si>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</si>
  <si>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</si>
  <si>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</si>
  <si>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</si>
  <si>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</si>
  <si>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</si>
  <si>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</si>
  <si>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</si>
  <si>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</si>
  <si>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</si>
  <si>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</si>
  <si>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</si>
  <si>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</si>
  <si>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</si>
  <si>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</si>
  <si>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</si>
  <si>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</si>
  <si>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</si>
  <si>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</si>
  <si>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</si>
  <si>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</si>
  <si>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</si>
  <si>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</si>
  <si>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</si>
  <si>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</si>
  <si>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</si>
  <si>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</si>
  <si>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</si>
  <si>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</si>
  <si>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</si>
  <si>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</si>
  <si>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</si>
  <si>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</si>
  <si>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</si>
  <si>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</si>
  <si>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</si>
  <si>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</si>
  <si>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</si>
  <si>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</si>
  <si>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</si>
  <si>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</si>
  <si>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</si>
  <si>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</si>
  <si>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</si>
  <si>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</si>
  <si>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</si>
  <si>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</si>
  <si>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</si>
  <si>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</si>
  <si>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</si>
  <si>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</si>
  <si>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</si>
  <si>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</si>
  <si>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</si>
  <si>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</si>
  <si>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</si>
  <si>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</si>
  <si>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</si>
  <si>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</si>
  <si>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</si>
  <si>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</si>
  <si>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</si>
  <si>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</si>
  <si>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</si>
  <si>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</si>
  <si>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</si>
  <si>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</si>
  <si>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</si>
  <si>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</si>
  <si>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</si>
  <si>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</si>
  <si>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</si>
  <si>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</si>
  <si>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</si>
  <si>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</si>
  <si>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</si>
  <si>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</si>
  <si>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</si>
  <si>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</si>
  <si>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</si>
  <si>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</si>
  <si>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</si>
  <si>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</si>
  <si>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</si>
  <si>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</si>
  <si>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</si>
  <si>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</si>
  <si>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</si>
  <si>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</si>
  <si>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</si>
  <si>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</si>
  <si>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</si>
  <si>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</si>
  <si>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</si>
  <si>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</si>
  <si>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</si>
  <si>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</si>
  <si>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</si>
  <si>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</si>
  <si>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</si>
  <si>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</si>
  <si>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</si>
  <si>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</si>
  <si>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</si>
  <si>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</si>
  <si>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</si>
  <si>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</si>
  <si>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</si>
  <si>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</si>
  <si>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</si>
  <si>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</si>
  <si>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</si>
  <si>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</si>
  <si>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</si>
  <si>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</si>
  <si>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</si>
  <si>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</si>
  <si>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</si>
  <si>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</si>
  <si>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</si>
  <si>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</si>
  <si>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</si>
  <si>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</si>
  <si>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</si>
  <si>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</si>
  <si>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</si>
  <si>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</si>
  <si>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</si>
  <si>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</si>
  <si>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</si>
  <si>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</si>
  <si>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</si>
  <si>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</si>
  <si>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</si>
  <si>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</si>
  <si>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</si>
  <si>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</si>
  <si>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</si>
  <si>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</si>
  <si>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</si>
  <si>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</si>
  <si>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</si>
  <si>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</si>
  <si>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</si>
  <si>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</si>
  <si>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</si>
  <si>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</si>
  <si>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</si>
  <si>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</si>
  <si>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</si>
  <si>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</si>
  <si>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</si>
  <si>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</si>
  <si>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</si>
  <si>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</si>
  <si>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</si>
  <si>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</si>
  <si>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</si>
  <si>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</si>
  <si>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</si>
  <si>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</si>
  <si>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</si>
  <si>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</si>
  <si>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</si>
  <si>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</si>
  <si>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</si>
  <si>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</si>
  <si>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</si>
  <si>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</si>
  <si>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</si>
  <si>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</si>
  <si>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</si>
  <si>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</si>
  <si>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</si>
  <si>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</si>
  <si>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</si>
  <si>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</si>
  <si>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</si>
  <si>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</si>
  <si>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</si>
  <si>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</si>
  <si>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</si>
  <si>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</si>
  <si>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</si>
  <si>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</si>
  <si>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</si>
  <si>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</si>
  <si>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</si>
  <si>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</si>
  <si>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</si>
  <si>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</si>
  <si>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</si>
  <si>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</si>
  <si>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</si>
  <si>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</si>
  <si>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</si>
  <si>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</si>
  <si>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</si>
  <si>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</si>
  <si>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</si>
  <si>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</si>
  <si>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</si>
  <si>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</si>
  <si>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</si>
  <si>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</si>
  <si>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</si>
  <si>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</si>
  <si>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</si>
  <si>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</si>
  <si>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</si>
  <si>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</si>
  <si>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</si>
  <si>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</si>
  <si>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</si>
  <si>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</si>
  <si>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</si>
  <si>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</si>
  <si>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</si>
  <si>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</si>
  <si>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</si>
  <si>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</si>
  <si>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</si>
  <si>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</si>
  <si>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</si>
  <si>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</si>
  <si>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</si>
  <si>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</si>
  <si>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</si>
  <si>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</si>
  <si>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</si>
  <si>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</si>
  <si>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</si>
  <si>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</si>
  <si>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</si>
  <si>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</si>
  <si>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</si>
  <si>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</si>
  <si>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</si>
  <si>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</si>
  <si>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</si>
  <si>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</si>
  <si>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</si>
  <si>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</si>
  <si>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</si>
  <si>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</si>
  <si>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</si>
  <si>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</si>
  <si>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</si>
  <si>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</si>
  <si>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</si>
  <si>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</si>
  <si>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</si>
  <si>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</si>
  <si>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</si>
  <si>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</si>
  <si>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</si>
  <si>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</si>
  <si>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</si>
  <si>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</si>
  <si>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</si>
  <si>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</si>
  <si>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</si>
  <si>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</si>
  <si>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</si>
  <si>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</si>
  <si>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</si>
  <si>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</si>
  <si>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</si>
  <si>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</si>
  <si>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</si>
  <si>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</si>
  <si>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</si>
  <si>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</si>
  <si>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</si>
  <si>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</si>
  <si>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</si>
  <si>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</si>
  <si>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</si>
  <si>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</si>
  <si>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</si>
  <si>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</si>
  <si>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</si>
  <si>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</si>
  <si>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</si>
  <si>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</si>
  <si>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</si>
  <si>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</si>
  <si>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</si>
  <si>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</si>
  <si>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</si>
  <si>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</si>
  <si>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</si>
  <si>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</si>
  <si>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</si>
  <si>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</si>
  <si>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</si>
  <si>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</si>
  <si>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</si>
  <si>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</si>
  <si>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</si>
  <si>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</si>
  <si>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</si>
  <si>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</si>
  <si>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</si>
  <si>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</si>
  <si>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</si>
  <si>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</si>
  <si>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</si>
  <si>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</si>
  <si>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</si>
  <si>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</si>
  <si>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</si>
  <si>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</si>
  <si>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</si>
  <si>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</si>
  <si>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</si>
  <si>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</si>
  <si>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</si>
  <si>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</si>
  <si>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</si>
  <si>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</si>
  <si>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</si>
  <si>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</si>
  <si>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</si>
  <si>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</si>
  <si>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</si>
  <si>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</si>
  <si>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</si>
  <si>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</si>
  <si>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</si>
  <si>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</si>
  <si>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</si>
  <si>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</si>
  <si>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</si>
  <si>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</si>
  <si>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</si>
  <si>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</si>
  <si>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</si>
  <si>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</si>
  <si>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</si>
  <si>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</si>
  <si>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</si>
  <si>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</si>
  <si>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</si>
  <si>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</si>
  <si>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</si>
  <si>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</si>
  <si>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</si>
  <si>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</si>
  <si>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</si>
  <si>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</si>
  <si>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</si>
  <si>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</si>
  <si>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</si>
  <si>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</si>
  <si>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</si>
  <si>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</si>
  <si>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</si>
  <si>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</si>
  <si>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</si>
  <si>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</si>
  <si>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</si>
  <si>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</si>
  <si>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</si>
  <si>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</si>
  <si>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</si>
  <si>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</si>
  <si>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</si>
  <si>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</si>
  <si>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</si>
  <si>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</si>
  <si>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</si>
  <si>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</si>
  <si>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</si>
  <si>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</si>
  <si>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</si>
  <si>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</si>
  <si>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</si>
  <si>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</si>
  <si>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</si>
  <si>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</si>
  <si>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</si>
  <si>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</si>
  <si>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</si>
  <si>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</si>
  <si>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</si>
  <si>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</si>
  <si>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</si>
  <si>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</si>
  <si>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</si>
  <si>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</si>
  <si>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</si>
  <si>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</si>
  <si>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</si>
  <si>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</si>
  <si>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</si>
  <si>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</si>
  <si>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</si>
  <si>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</si>
  <si>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</si>
  <si>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</si>
  <si>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</si>
  <si>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</si>
  <si>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</si>
  <si>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</si>
  <si>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</si>
  <si>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</si>
  <si>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</si>
  <si>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</si>
  <si>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</si>
  <si>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</si>
  <si>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</si>
  <si>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</si>
  <si>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</si>
  <si>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</si>
  <si>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</si>
  <si>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</si>
  <si>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</si>
  <si>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</si>
  <si>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</si>
  <si>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</si>
  <si>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</si>
  <si>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</si>
  <si>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</si>
  <si>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</si>
  <si>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</si>
  <si>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</si>
  <si>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</si>
  <si>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</si>
  <si>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</si>
  <si>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</si>
  <si>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</si>
  <si>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</si>
  <si>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</si>
  <si>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</si>
  <si>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</si>
  <si>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</si>
  <si>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</si>
  <si>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</si>
  <si>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</si>
  <si>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</si>
  <si>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</si>
  <si>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</si>
  <si>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</si>
  <si>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</si>
  <si>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</si>
  <si>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</si>
  <si>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</si>
  <si>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</si>
  <si>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</si>
  <si>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</si>
  <si>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</si>
  <si>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</si>
  <si>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</si>
  <si>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</si>
  <si>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</si>
  <si>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</si>
  <si>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</si>
  <si>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</si>
  <si>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</si>
  <si>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</si>
  <si>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</si>
  <si>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</si>
  <si>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</si>
  <si>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</si>
  <si>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</si>
  <si>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</si>
  <si>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</si>
  <si>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</si>
  <si>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</si>
  <si>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</si>
  <si>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</si>
  <si>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</si>
  <si>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</si>
  <si>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</si>
  <si>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</si>
  <si>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</si>
  <si>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</si>
  <si>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</si>
  <si>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</si>
  <si>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</si>
  <si>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</si>
  <si>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</si>
  <si>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</si>
  <si>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</si>
  <si>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</si>
  <si>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</si>
  <si>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</si>
  <si>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</si>
  <si>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</si>
  <si>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</si>
  <si>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</si>
  <si>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</si>
  <si>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</si>
  <si>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</si>
  <si>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</si>
  <si>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</si>
  <si>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</si>
  <si>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</si>
  <si>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</si>
  <si>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</si>
  <si>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</si>
  <si>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</si>
  <si>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</si>
  <si>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</si>
  <si>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</si>
  <si>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</si>
  <si>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</si>
  <si>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</si>
  <si>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</si>
  <si>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</si>
  <si>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</si>
  <si>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</si>
  <si>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</si>
  <si>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</si>
  <si>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</si>
  <si>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</si>
  <si>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</si>
  <si>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</si>
  <si>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</si>
  <si>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</si>
  <si>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</si>
  <si>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</si>
  <si>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</si>
  <si>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</si>
  <si>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</si>
  <si>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</si>
  <si>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</si>
  <si>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</si>
  <si>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</si>
  <si>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</si>
  <si>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</si>
  <si>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</si>
  <si>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</si>
  <si>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</si>
  <si>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</si>
  <si>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</si>
  <si>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</si>
  <si>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</si>
  <si>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</si>
  <si>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</si>
  <si>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</si>
  <si>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</si>
  <si>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</si>
  <si>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</si>
  <si>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</si>
  <si>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</si>
  <si>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</si>
  <si>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</si>
  <si>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</si>
  <si>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</si>
  <si>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</si>
  <si>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</si>
  <si>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</si>
  <si>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</si>
  <si>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</si>
  <si>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</si>
  <si>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</si>
  <si>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</si>
  <si>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</si>
  <si>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</si>
  <si>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</si>
  <si>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</si>
  <si>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</si>
  <si>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</si>
  <si>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</si>
  <si>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</si>
  <si>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</si>
  <si>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</si>
  <si>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</si>
  <si>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</si>
  <si>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</si>
  <si>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</si>
  <si>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</si>
  <si>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</si>
  <si>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</si>
  <si>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</si>
  <si>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</si>
  <si>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</si>
  <si>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</si>
  <si>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</si>
  <si>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</si>
  <si>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</si>
  <si>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</si>
  <si>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</si>
  <si>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</si>
  <si>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</si>
  <si>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</si>
  <si>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</si>
  <si>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</si>
  <si>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</si>
  <si>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</si>
  <si>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</si>
  <si>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</si>
  <si>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</si>
  <si>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</si>
  <si>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</si>
  <si>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</si>
  <si>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</si>
  <si>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</si>
  <si>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</si>
  <si>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</si>
  <si>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</si>
  <si>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</si>
  <si>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</si>
  <si>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</si>
  <si>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</si>
  <si>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</si>
  <si>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</si>
  <si>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</si>
  <si>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</si>
  <si>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</si>
  <si>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</si>
  <si>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</si>
  <si>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</si>
  <si>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</si>
  <si>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</si>
  <si>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</si>
  <si>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</si>
  <si>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</si>
  <si>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</si>
  <si>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</si>
  <si>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</si>
  <si>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</si>
  <si>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</si>
  <si>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</si>
  <si>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</si>
  <si>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</si>
  <si>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</si>
  <si>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</si>
  <si>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</si>
  <si>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</si>
  <si>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</si>
  <si>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</si>
  <si>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</si>
  <si>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</si>
  <si>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</si>
  <si>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</si>
  <si>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</si>
  <si>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</si>
  <si>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</si>
  <si>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</si>
  <si>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</si>
  <si>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</si>
  <si>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</si>
  <si>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</si>
  <si>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</si>
  <si>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</si>
  <si>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</si>
  <si>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</si>
  <si>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</si>
  <si>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</si>
  <si>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</si>
  <si>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</si>
  <si>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</si>
  <si>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</si>
  <si>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</si>
  <si>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</si>
  <si>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</si>
  <si>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</si>
  <si>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</si>
  <si>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</si>
  <si>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</si>
  <si>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</si>
  <si>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</si>
  <si>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</si>
  <si>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</si>
  <si>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</si>
  <si>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</si>
  <si>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</si>
  <si>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</si>
  <si>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</si>
  <si>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</si>
  <si>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</si>
  <si>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</si>
  <si>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</si>
  <si>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</si>
  <si>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</si>
  <si>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</si>
  <si>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</si>
  <si>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</si>
  <si>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</si>
  <si>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</si>
  <si>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</si>
  <si>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</si>
  <si>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</si>
  <si>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</si>
  <si>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</si>
  <si>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</si>
  <si>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</si>
  <si>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</si>
  <si>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</si>
  <si>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</si>
  <si>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</si>
  <si>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</si>
  <si>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</si>
  <si>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</si>
  <si>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</si>
  <si>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</si>
  <si>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</si>
  <si>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</si>
  <si>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</si>
  <si>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</si>
  <si>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</si>
  <si>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</si>
  <si>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</si>
  <si>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</si>
  <si>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</si>
  <si>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</si>
  <si>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</si>
  <si>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</si>
  <si>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</si>
  <si>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</si>
  <si>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</si>
  <si>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</si>
  <si>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</si>
  <si>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</si>
  <si>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</si>
  <si>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</si>
  <si>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</si>
  <si>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</si>
  <si>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</si>
  <si>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</si>
  <si>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</si>
  <si>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</si>
  <si>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</si>
  <si>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</si>
  <si>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</si>
  <si>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</si>
  <si>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</si>
  <si>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</si>
  <si>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</si>
  <si>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</si>
  <si>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</si>
  <si>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</si>
  <si>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</si>
  <si>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</si>
  <si>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</si>
  <si>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</si>
  <si>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</si>
  <si>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</si>
  <si>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</si>
  <si>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</si>
  <si>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</si>
  <si>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</si>
  <si>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</si>
  <si>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</si>
  <si>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</si>
  <si>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</si>
  <si>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</si>
  <si>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</si>
  <si>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</si>
  <si>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</si>
  <si>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</si>
  <si>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</si>
  <si>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</si>
  <si>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</si>
  <si>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</si>
  <si>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</si>
  <si>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</si>
  <si>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</si>
  <si>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</si>
  <si>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</si>
  <si>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</si>
  <si>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</si>
  <si>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</si>
  <si>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</si>
  <si>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</si>
  <si>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</si>
  <si>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</si>
  <si>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</si>
  <si>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</si>
  <si>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</si>
  <si>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</si>
  <si>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</si>
  <si>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</si>
  <si>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</si>
  <si>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</si>
  <si>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</si>
  <si>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</si>
  <si>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</si>
  <si>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</si>
  <si>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</si>
  <si>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</si>
  <si>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</si>
  <si>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</si>
  <si>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</si>
  <si>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</si>
  <si>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</si>
  <si>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</si>
  <si>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</si>
  <si>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</si>
  <si>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</si>
  <si>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</si>
  <si>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</si>
  <si>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</si>
  <si>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</si>
  <si>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</si>
  <si>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</si>
  <si>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</si>
  <si>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</si>
  <si>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</si>
  <si>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</si>
  <si>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</si>
  <si>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</si>
  <si>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</si>
  <si>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</si>
  <si>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</si>
  <si>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</si>
  <si>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</si>
  <si>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</si>
  <si>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</si>
  <si>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</si>
  <si>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</si>
  <si>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</si>
  <si>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</si>
  <si>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</si>
  <si>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</si>
  <si>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</si>
  <si>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</si>
  <si>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</si>
  <si>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</si>
  <si>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</si>
  <si>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</si>
  <si>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</si>
  <si>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</si>
  <si>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</si>
  <si>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</si>
  <si>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</si>
  <si>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</si>
  <si>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</si>
  <si>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</si>
  <si>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</si>
  <si>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</si>
  <si>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</si>
  <si>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</si>
  <si>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</si>
  <si>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</si>
  <si>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</si>
  <si>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</si>
  <si>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</si>
  <si>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</si>
  <si>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</si>
  <si>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</si>
  <si>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</si>
  <si>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</si>
  <si>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</si>
  <si>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</si>
  <si>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</si>
  <si>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</si>
  <si>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</si>
  <si>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</si>
  <si>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</si>
  <si>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</si>
  <si>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</si>
  <si>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</si>
  <si>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</si>
  <si>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</si>
  <si>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</si>
  <si>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</si>
  <si>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</si>
  <si>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</si>
  <si>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</si>
  <si>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</si>
  <si>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</si>
  <si>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</si>
  <si>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</si>
  <si>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</si>
  <si>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</si>
  <si>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</si>
  <si>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</si>
  <si>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</si>
  <si>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</si>
  <si>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</si>
  <si>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</si>
  <si>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</si>
  <si>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</si>
  <si>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</si>
  <si>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</si>
  <si>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</si>
  <si>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</si>
  <si>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</si>
  <si>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</si>
  <si>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</si>
  <si>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</si>
  <si>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</si>
  <si>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</si>
  <si>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</si>
  <si>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</si>
  <si>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</si>
  <si>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</si>
  <si>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</si>
  <si>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</si>
  <si>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</si>
  <si>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</si>
  <si>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</si>
  <si>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</si>
  <si>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</si>
  <si>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</si>
  <si>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</si>
  <si>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</si>
  <si>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</si>
  <si>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</si>
  <si>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</si>
  <si>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</si>
  <si>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</si>
  <si>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</si>
  <si>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</si>
  <si>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</si>
  <si>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</si>
  <si>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</si>
  <si>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</si>
  <si>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</si>
  <si>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</si>
  <si>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</si>
  <si>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</si>
  <si>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</si>
  <si>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</si>
  <si>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</si>
  <si>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</si>
  <si>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</si>
  <si>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</si>
  <si>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</si>
  <si>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</si>
  <si>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</si>
  <si>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</si>
  <si>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</si>
  <si>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</si>
  <si>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</si>
  <si>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</si>
  <si>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</si>
  <si>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</si>
  <si>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</si>
  <si>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</si>
  <si>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</si>
  <si>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</si>
  <si>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</si>
  <si>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</si>
  <si>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</si>
  <si>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</si>
  <si>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</si>
  <si>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</si>
  <si>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</si>
  <si>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</si>
  <si>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</si>
  <si>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</si>
  <si>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</si>
  <si>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</si>
  <si>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</si>
  <si>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</si>
  <si>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</si>
  <si>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</si>
  <si>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</si>
  <si>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</si>
  <si>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</si>
  <si>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</si>
  <si>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</si>
  <si>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</si>
  <si>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</si>
  <si>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</si>
  <si>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</si>
  <si>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</si>
  <si>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</si>
  <si>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</si>
  <si>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</si>
  <si>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</si>
  <si>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</si>
  <si>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</si>
  <si>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</si>
  <si>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</si>
  <si>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</si>
  <si>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</si>
  <si>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</si>
  <si>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</si>
  <si>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</si>
  <si>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</si>
  <si>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</si>
  <si>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</si>
  <si>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</si>
  <si>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</si>
  <si>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</si>
  <si>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</si>
  <si>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</si>
  <si>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</si>
  <si>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</si>
  <si>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</si>
  <si>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</si>
  <si>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</si>
  <si>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</si>
  <si>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</si>
  <si>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</si>
  <si>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</si>
  <si>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</si>
  <si>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</si>
  <si>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</si>
  <si>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</si>
  <si>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</si>
  <si>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</si>
  <si>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</si>
  <si>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</si>
  <si>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</si>
  <si>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</si>
  <si>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</si>
  <si>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</si>
  <si>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</si>
  <si>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</si>
  <si>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</si>
  <si>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</si>
  <si>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</si>
  <si>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</si>
  <si>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</si>
  <si>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</si>
  <si>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</si>
  <si>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</si>
  <si>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</si>
  <si>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</si>
  <si>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</si>
  <si>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</si>
  <si>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</si>
  <si>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</si>
  <si>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</si>
  <si>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</si>
  <si>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</si>
  <si>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</si>
  <si>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</si>
  <si>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</si>
  <si>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</si>
  <si>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</si>
  <si>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</si>
  <si>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</si>
  <si>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</si>
  <si>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</si>
  <si>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</si>
  <si>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</si>
  <si>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</si>
  <si>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</si>
  <si>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</si>
  <si>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</si>
  <si>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</si>
  <si>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</si>
  <si>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</si>
  <si>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</si>
  <si>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</si>
  <si>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</si>
  <si>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</si>
  <si>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</si>
  <si>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</si>
  <si>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</si>
  <si>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</si>
  <si>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</si>
  <si>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</si>
  <si>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</si>
  <si>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</si>
  <si>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</si>
  <si>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</si>
  <si>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</si>
  <si>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</si>
  <si>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</si>
  <si>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</si>
  <si>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</si>
  <si>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</si>
  <si>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</si>
  <si>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</si>
  <si>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</si>
  <si>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</si>
  <si>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</si>
  <si>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</si>
  <si>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</si>
  <si>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</si>
  <si>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</si>
  <si>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</si>
  <si>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</si>
  <si>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</si>
  <si>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</si>
  <si>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</si>
  <si>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</si>
  <si>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</si>
  <si>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</si>
  <si>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</si>
  <si>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</si>
  <si>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</si>
  <si>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</si>
  <si>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</si>
  <si>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</si>
  <si>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</si>
  <si>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</si>
  <si>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</si>
  <si>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</si>
  <si>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</si>
  <si>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</si>
  <si>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</si>
  <si>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</si>
  <si>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</si>
  <si>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</si>
  <si>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</si>
  <si>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</si>
  <si>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</si>
  <si>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</si>
  <si>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</si>
  <si>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</si>
  <si>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</si>
  <si>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</si>
  <si>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</si>
  <si>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</si>
  <si>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</si>
  <si>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</si>
  <si>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</si>
  <si>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</si>
  <si>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</si>
  <si>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</si>
  <si>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</si>
  <si>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</si>
  <si>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</si>
  <si>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</si>
  <si>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</si>
  <si>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</si>
  <si>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</si>
  <si>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</si>
  <si>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</si>
  <si>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</si>
  <si>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</si>
  <si>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</si>
  <si>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</si>
  <si>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</si>
  <si>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</si>
  <si>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</si>
  <si>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</si>
  <si>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</si>
  <si>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</si>
  <si>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</si>
  <si>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</si>
  <si>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</si>
  <si>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</si>
  <si>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</si>
  <si>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</si>
  <si>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</si>
  <si>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</si>
  <si>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</si>
  <si>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</si>
  <si>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</si>
  <si>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</si>
  <si>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</si>
  <si>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</si>
  <si>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</si>
  <si>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</si>
  <si>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</si>
  <si>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</si>
  <si>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</si>
  <si>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</si>
  <si>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</si>
  <si>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</si>
  <si>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</si>
  <si>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</si>
  <si>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</si>
  <si>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</si>
  <si>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</si>
  <si>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</si>
  <si>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</si>
  <si>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</si>
  <si>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</si>
  <si>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</si>
  <si>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</si>
  <si>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</si>
  <si>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</si>
  <si>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</si>
  <si>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</si>
  <si>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</si>
  <si>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</si>
  <si>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</si>
  <si>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</si>
  <si>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</si>
  <si>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</si>
  <si>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</si>
  <si>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</si>
  <si>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</si>
  <si>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</si>
  <si>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</si>
  <si>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</si>
  <si>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</si>
  <si>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</si>
  <si>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</si>
  <si>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</si>
  <si>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</si>
  <si>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</si>
  <si>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</si>
  <si>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</si>
  <si>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</si>
  <si>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</si>
  <si>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</si>
  <si>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</si>
  <si>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</si>
  <si>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</si>
  <si>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</si>
  <si>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</si>
  <si>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</si>
  <si>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</si>
  <si>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</si>
  <si>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</si>
  <si>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</si>
  <si>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</si>
  <si>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</si>
  <si>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</si>
  <si>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</si>
  <si>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</si>
  <si>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</si>
  <si>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</si>
  <si>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</si>
  <si>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</si>
  <si>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</si>
  <si>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</si>
  <si>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</si>
  <si>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</si>
  <si>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</si>
  <si>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</si>
  <si>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</si>
  <si>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</si>
  <si>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</si>
  <si>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</si>
  <si>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</si>
  <si>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</si>
  <si>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</si>
  <si>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</si>
  <si>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</si>
  <si>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</si>
  <si>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</si>
  <si>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</si>
  <si>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</si>
  <si>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</si>
  <si>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</si>
  <si>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</si>
  <si>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</si>
  <si>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</si>
  <si>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</si>
  <si>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</si>
  <si>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</si>
  <si>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</si>
  <si>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</si>
  <si>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</si>
  <si>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</si>
  <si>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</si>
  <si>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</si>
  <si>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</si>
  <si>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</si>
  <si>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</si>
  <si>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</si>
  <si>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</si>
  <si>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</si>
  <si>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</si>
  <si>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</si>
  <si>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</si>
  <si>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</si>
  <si>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</si>
  <si>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</si>
  <si>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</si>
  <si>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</si>
  <si>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</si>
  <si>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</si>
  <si>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</si>
  <si>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</si>
  <si>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</si>
  <si>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</si>
  <si>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</si>
  <si>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</si>
  <si>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</si>
  <si>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</si>
  <si>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</si>
  <si>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</si>
  <si>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</si>
  <si>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</si>
  <si>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</si>
  <si>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</si>
  <si>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</si>
  <si>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</si>
  <si>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</si>
  <si>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</si>
  <si>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</si>
  <si>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</si>
  <si>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</si>
  <si>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</si>
  <si>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</si>
  <si>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</si>
  <si>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</si>
  <si>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</si>
  <si>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</si>
  <si>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</si>
  <si>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</si>
  <si>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</si>
  <si>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</si>
  <si>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</si>
  <si>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</si>
  <si>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</si>
  <si>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</si>
  <si>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</si>
  <si>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</si>
  <si>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</si>
  <si>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</si>
  <si>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</si>
  <si>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</si>
  <si>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</si>
  <si>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</si>
  <si>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</si>
  <si>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</si>
  <si>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</si>
  <si>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</si>
  <si>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</si>
  <si>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</si>
  <si>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</si>
  <si>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</si>
  <si>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</si>
  <si>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</si>
  <si>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</si>
  <si>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</si>
  <si>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</si>
  <si>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</si>
  <si>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</si>
  <si>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</si>
  <si>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</si>
  <si>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</si>
  <si>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</si>
  <si>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</si>
  <si>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</si>
  <si>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</si>
  <si>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</si>
  <si>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</si>
  <si>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</si>
  <si>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</si>
  <si>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</si>
  <si>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</si>
  <si>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</si>
  <si>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</si>
  <si>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</si>
  <si>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</si>
  <si>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</si>
  <si>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</si>
  <si>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</si>
  <si>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</si>
  <si>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</si>
  <si>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</si>
  <si>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</si>
  <si>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</si>
  <si>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</si>
  <si>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</si>
  <si>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</si>
  <si>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</si>
  <si>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</si>
  <si>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</si>
  <si>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</si>
  <si>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</si>
  <si>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</si>
  <si>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</si>
  <si>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</si>
  <si>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</si>
  <si>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</si>
  <si>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</si>
  <si>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</si>
  <si>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</si>
  <si>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</si>
  <si>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</si>
  <si>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</si>
  <si>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</si>
  <si>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</si>
  <si>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</si>
  <si>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</si>
  <si>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</si>
  <si>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</si>
  <si>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</si>
  <si>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</si>
  <si>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</si>
  <si>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</si>
  <si>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</si>
  <si>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</si>
  <si>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</si>
  <si>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</si>
  <si>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</si>
  <si>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</si>
  <si>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</si>
  <si>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</si>
  <si>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</si>
  <si>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</si>
  <si>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</si>
  <si>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</si>
  <si>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</si>
  <si>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</si>
  <si>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</si>
  <si>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</si>
  <si>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</si>
  <si>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</si>
  <si>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</si>
  <si>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</si>
  <si>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</si>
  <si>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</si>
  <si>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</si>
  <si>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</si>
  <si>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</si>
  <si>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</si>
  <si>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</si>
  <si>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Clark</t>
  </si>
  <si>
    <t>502 E. Delaware</t>
  </si>
  <si>
    <t xml:space="preserve">Casey  </t>
  </si>
  <si>
    <t>Kemper CPA Group LLP</t>
  </si>
  <si>
    <t>Brian S. Bradbury</t>
  </si>
  <si>
    <t>P.O. Box 694</t>
  </si>
  <si>
    <t>Robinson</t>
  </si>
  <si>
    <t>IL</t>
  </si>
  <si>
    <t>618-546-1502</t>
  </si>
  <si>
    <t>618-544-2140</t>
  </si>
  <si>
    <t>066-003998</t>
  </si>
  <si>
    <t>bbradbury@kempercpa.com</t>
  </si>
  <si>
    <t>Jon Julius</t>
  </si>
  <si>
    <t>217-932-2184</t>
  </si>
  <si>
    <t>217-932-5553</t>
  </si>
  <si>
    <t>Part C, Number 23:  The Auditor's Report issued a qualified opinion because the financial statements do not include disclosures regarding postemployment health insurance benefits as required by GASB Statements 75 as required per the financial reporting provisions of the ISBE.</t>
  </si>
  <si>
    <t>General Obligation Bonds 2007</t>
  </si>
  <si>
    <t>General Obligation Bonds 2016</t>
  </si>
  <si>
    <t>General Obligation Bonds 2014</t>
  </si>
  <si>
    <t>ISBE Technological Loan FY19</t>
  </si>
  <si>
    <t>ISBE Technological Loan FY20</t>
  </si>
  <si>
    <t>ISBE Technological Loan FY18</t>
  </si>
  <si>
    <t>ISBE Technological Loan FY17</t>
  </si>
  <si>
    <t>Midwest Bus Lease 3 Activity Buses</t>
  </si>
  <si>
    <t>Capital Lease Agreement</t>
  </si>
  <si>
    <t>Long Term Note</t>
  </si>
  <si>
    <t>Central States Bus Lease 1 71 Pass Lift Bus</t>
  </si>
  <si>
    <t>ROE: Cuberland Unit Dist. #77; EIEFES</t>
  </si>
  <si>
    <t>ROE Consortium</t>
  </si>
  <si>
    <t>Eastern Illinois Area Special Education</t>
  </si>
  <si>
    <t>Although internal controls are in place, there are some reporting functions that the District cannot perform that is a requirement by the ISBE.</t>
  </si>
  <si>
    <t>The District does not have an individual with the necessary knowledge and technical expertise to properly prepare the notes to the financial statements.</t>
  </si>
  <si>
    <t>In the absence of the necessary knowledge and technical expertise, the District must rely on the auditors to ensure the notes to the financial statements are properly presented.</t>
  </si>
  <si>
    <t>The District cannot prepare the notes to the financial statements.</t>
  </si>
  <si>
    <t>The District's personnel have not obtained the necessary knowledge or technical expertise.</t>
  </si>
  <si>
    <t>The District should provide the necessary training to personnel or contract with an independent contractor with the knowledge to prepare the notes to the financial statements.</t>
  </si>
  <si>
    <t>The District does not intend to correct the finding in the next fiscal year.</t>
  </si>
  <si>
    <t>2019-001</t>
  </si>
  <si>
    <t xml:space="preserve">The District does not have personnel capable of </t>
  </si>
  <si>
    <t>preparing the notes to the financial statements in</t>
  </si>
  <si>
    <t>accordance with ISBE requirements.</t>
  </si>
  <si>
    <t>jon.julius@caseywestfield.org</t>
  </si>
  <si>
    <t>Page 11, Line 106, Column 10: Other Local Fees: After School Childcare Fees- $7,220</t>
  </si>
  <si>
    <t>Page 11, Line 107, Column 10: Other Local Revenue: Other Revenue - Miscellaneous Receipts - $1,781</t>
  </si>
  <si>
    <t>Page 10, Line 74, Column 10: Other Food Service: Other Food Service Revenue - Miscellaneous Receipts - $291</t>
  </si>
  <si>
    <t>Page 11, Line 107, Column 20: Other Local Revenue: Other Revenue - Miscellaneous Receipts - $4,174</t>
  </si>
  <si>
    <t>Page 11, Line 140, Column 10: CTE Other: Vocational EIEFES Grant -$3,351</t>
  </si>
  <si>
    <t>Page 12, Line 168, Column 10: Other Restricted Revenue from State Sources - State Library Grant - $750</t>
  </si>
  <si>
    <t>Page 15, Line 41, Column 100: Other Support Services - Pupils: Salaries - Safety Patrol - $3,400</t>
  </si>
  <si>
    <t>Page 15, Line 41, Column 300: Other Support Services - Pupils: Purchased Services - Safety Patrol - $9,900</t>
  </si>
  <si>
    <t>Page 16, Line 83, Column 300: Other Payments to In-State Govt. Units: Purchased Services - EIU Athletic Trainer - $22,670</t>
  </si>
  <si>
    <t>Page 16, Line 83, Column 600: Other Payments to In-State Govt. Units: Other Objects - Dual Credit Cert Tuition - $10,283</t>
  </si>
  <si>
    <t>Page 18, Line 171, Column 600: Debt Services - Other: Other Objects - Bond Fees - $1,400</t>
  </si>
  <si>
    <t>Page 19, Line 237, Column 200: Other Support Services - Pupils: Employee Benefits - Safety Patrol - $609</t>
  </si>
  <si>
    <t>Page 24, Line 35, Column G: ISBE Technology Loan Proceeds - $117,100</t>
  </si>
  <si>
    <t>Page 24, Line 39, Column G: Midwest Bus Lease Repayment - $28,357</t>
  </si>
  <si>
    <t>Page 24, Line 40, Column G: Central States Bus Lease Proceeds - $107,836, Central States Bus Lease Repayment - $23,657</t>
  </si>
  <si>
    <t>Page 23, Line 18, Column C: Other: Prior Year Adjustment - ($295)</t>
  </si>
  <si>
    <t>Tort - SS - PS</t>
  </si>
  <si>
    <t>Bushue Human Resources</t>
  </si>
  <si>
    <t>Illinois Heartland Library Systems</t>
  </si>
  <si>
    <t>Ed - SS - S&amp;M</t>
  </si>
  <si>
    <t>Ed - Inst - Other</t>
  </si>
  <si>
    <t>Easter Seals</t>
  </si>
  <si>
    <t>Madison County ROE</t>
  </si>
  <si>
    <t>O&amp;M - SS - PS</t>
  </si>
  <si>
    <t>Scotty's Lawn Care</t>
  </si>
  <si>
    <t>Repeated as Financial Statement Finding 2020-001</t>
  </si>
  <si>
    <t xml:space="preserve">   Casey-Westfield CUSD 4C</t>
  </si>
  <si>
    <t>11012004C26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</si>
</sst>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2</xdr:row>
          <xdr:rowOff>9525</xdr:rowOff>
        </xdr:from>
        <xdr:to>
          <xdr:col>1</xdr:col>
          <xdr:colOff>2095500</xdr:colOff>
          <xdr:row>6</xdr:row>
          <xdr:rowOff>47625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2428875</xdr:colOff>
          <xdr:row>1</xdr:row>
          <xdr:rowOff>142875</xdr:rowOff>
        </xdr:from>
        <xdr:to>
          <xdr:col>1</xdr:col>
          <xdr:colOff>3343275</xdr:colOff>
          <xdr:row>6</xdr:row>
          <xdr:rowOff>19050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oleObject" Target="../embeddings/oleObject5.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t="s">
        <v>2121</v>
      </c>
      <c r="B13" s="2087"/>
      <c r="C13" s="2087"/>
      <c r="D13" s="2087"/>
      <c r="E13" s="2087"/>
      <c r="F13" s="2087"/>
      <c r="G13" s="2087"/>
      <c r="H13" s="2088"/>
      <c r="I13" s="31"/>
      <c r="J13" s="30"/>
      <c r="K13" s="28"/>
      <c r="L13" s="30"/>
      <c r="M13" s="30"/>
      <c r="N13" s="30"/>
      <c r="O13" s="30"/>
      <c r="P13" s="30"/>
      <c r="Q13" s="30"/>
      <c r="R13" s="30"/>
      <c r="S13" s="30"/>
      <c r="T13" s="2091" t="s">
        <v>2055</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2056</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2120</v>
      </c>
      <c r="B17" s="2114"/>
      <c r="C17" s="2114"/>
      <c r="D17" s="2114"/>
      <c r="E17" s="2114"/>
      <c r="F17" s="2114"/>
      <c r="G17" s="2114"/>
      <c r="H17" s="2115"/>
      <c r="T17" s="2101" t="s">
        <v>2057</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2058</v>
      </c>
      <c r="U19" s="2082"/>
      <c r="V19" s="2082"/>
      <c r="W19" s="2083"/>
      <c r="X19" s="2099" t="s">
        <v>2059</v>
      </c>
      <c r="Y19" s="2100"/>
      <c r="Z19" s="2097">
        <v>62454</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2060</v>
      </c>
      <c r="U21" s="2050"/>
      <c r="V21" s="2050"/>
      <c r="W21" s="2050"/>
      <c r="X21" s="2063" t="s">
        <v>2061</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2093</v>
      </c>
      <c r="B23" s="2105"/>
      <c r="C23" s="2105"/>
      <c r="D23" s="2105"/>
      <c r="E23" s="2105"/>
      <c r="F23" s="2105"/>
      <c r="G23" s="2105"/>
      <c r="H23" s="2106"/>
      <c r="T23" s="2044" t="s">
        <v>2062</v>
      </c>
      <c r="U23" s="2045"/>
      <c r="V23" s="2045"/>
      <c r="W23" s="2045"/>
      <c r="X23" s="2060">
        <v>44469</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62420</v>
      </c>
      <c r="B25" s="2082"/>
      <c r="C25" s="2082"/>
      <c r="D25" s="2082"/>
      <c r="E25" s="2082"/>
      <c r="F25" s="2082"/>
      <c r="G25" s="2082"/>
      <c r="H25" s="2083"/>
      <c r="I25" s="110"/>
      <c r="J25" s="2148"/>
      <c r="K25" s="2148"/>
      <c r="L25" s="2148"/>
      <c r="M25" s="2148"/>
      <c r="N25" s="2148"/>
      <c r="O25" s="2148"/>
      <c r="P25" s="2148"/>
      <c r="Q25" s="2148"/>
      <c r="R25" s="2148"/>
      <c r="S25" s="2149"/>
      <c r="T25" s="2041" t="s">
        <v>2063</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2093</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2065</v>
      </c>
      <c r="B42" s="2131"/>
      <c r="C42" s="2132"/>
      <c r="D42" s="2145" t="s">
        <v>2066</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8" sqref="E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1539013</v>
      </c>
      <c r="C4" s="1722">
        <v>9636</v>
      </c>
      <c r="D4" s="1723">
        <f>B4-C4</f>
        <v>1529377</v>
      </c>
      <c r="E4" s="1722">
        <v>1664945</v>
      </c>
      <c r="F4" s="1723">
        <f>E4-C4</f>
        <v>1655309</v>
      </c>
    </row>
    <row r="5" spans="1:8" ht="13.7" customHeight="1" x14ac:dyDescent="0.2">
      <c r="A5" s="579" t="s">
        <v>865</v>
      </c>
      <c r="B5" s="1724">
        <f>'Revenues 9-14'!D5</f>
        <v>422749</v>
      </c>
      <c r="C5" s="1664">
        <v>2619</v>
      </c>
      <c r="D5" s="1725">
        <f t="shared" ref="D5:D18" si="0">B5-C5</f>
        <v>420130</v>
      </c>
      <c r="E5" s="1664">
        <v>452431</v>
      </c>
      <c r="F5" s="1725">
        <f>E5-C5</f>
        <v>449812</v>
      </c>
    </row>
    <row r="6" spans="1:8" ht="13.7" customHeight="1" x14ac:dyDescent="0.2">
      <c r="A6" s="579" t="s">
        <v>408</v>
      </c>
      <c r="B6" s="1724">
        <f>'Revenues 9-14'!E5</f>
        <v>663941</v>
      </c>
      <c r="C6" s="1664">
        <v>3994.52</v>
      </c>
      <c r="D6" s="1725">
        <f t="shared" si="0"/>
        <v>659946.48</v>
      </c>
      <c r="E6" s="1664">
        <v>664530</v>
      </c>
      <c r="F6" s="1725">
        <f t="shared" ref="F6:F18" si="1">E6-C6</f>
        <v>660535.48</v>
      </c>
    </row>
    <row r="7" spans="1:8" ht="13.7" customHeight="1" x14ac:dyDescent="0.2">
      <c r="A7" s="579" t="s">
        <v>154</v>
      </c>
      <c r="B7" s="1724">
        <f>'Revenues 9-14'!F5</f>
        <v>169101</v>
      </c>
      <c r="C7" s="1664">
        <v>1047</v>
      </c>
      <c r="D7" s="1725">
        <f t="shared" si="0"/>
        <v>168054</v>
      </c>
      <c r="E7" s="1664">
        <v>180972</v>
      </c>
      <c r="F7" s="1725">
        <f t="shared" si="1"/>
        <v>179925</v>
      </c>
    </row>
    <row r="8" spans="1:8" ht="13.7" customHeight="1" x14ac:dyDescent="0.2">
      <c r="A8" s="579" t="s">
        <v>1169</v>
      </c>
      <c r="B8" s="1724">
        <f>'Revenues 9-14'!G5</f>
        <v>145182</v>
      </c>
      <c r="C8" s="1664">
        <v>1172</v>
      </c>
      <c r="D8" s="1725">
        <f t="shared" si="0"/>
        <v>144010</v>
      </c>
      <c r="E8" s="1664">
        <v>195088</v>
      </c>
      <c r="F8" s="1725">
        <f t="shared" si="1"/>
        <v>193916</v>
      </c>
    </row>
    <row r="9" spans="1:8" ht="13.7" customHeight="1" x14ac:dyDescent="0.2">
      <c r="A9" s="579" t="s">
        <v>405</v>
      </c>
      <c r="B9" s="1724">
        <f>'Revenues 9-14'!H5</f>
        <v>0</v>
      </c>
      <c r="C9" s="1664">
        <v>0</v>
      </c>
      <c r="D9" s="1725">
        <f t="shared" si="0"/>
        <v>0</v>
      </c>
      <c r="E9" s="1664"/>
      <c r="F9" s="1725">
        <f t="shared" si="1"/>
        <v>0</v>
      </c>
    </row>
    <row r="10" spans="1:8" ht="13.7" customHeight="1" x14ac:dyDescent="0.2">
      <c r="A10" s="579" t="s">
        <v>404</v>
      </c>
      <c r="B10" s="1724">
        <f>'Revenues 9-14'!I5</f>
        <v>42274</v>
      </c>
      <c r="C10" s="1664">
        <v>262</v>
      </c>
      <c r="D10" s="1725">
        <f t="shared" si="0"/>
        <v>42012</v>
      </c>
      <c r="E10" s="1664">
        <v>45243</v>
      </c>
      <c r="F10" s="1725">
        <f t="shared" si="1"/>
        <v>44981</v>
      </c>
    </row>
    <row r="11" spans="1:8" x14ac:dyDescent="0.2">
      <c r="A11" s="579" t="s">
        <v>406</v>
      </c>
      <c r="B11" s="1724">
        <f>'Revenues 9-14'!J5</f>
        <v>529339</v>
      </c>
      <c r="C11" s="1664">
        <v>3006</v>
      </c>
      <c r="D11" s="1725">
        <f t="shared" si="0"/>
        <v>526333</v>
      </c>
      <c r="E11" s="1664">
        <v>500026</v>
      </c>
      <c r="F11" s="1725">
        <f t="shared" si="1"/>
        <v>497020</v>
      </c>
    </row>
    <row r="12" spans="1:8" ht="13.7" customHeight="1" x14ac:dyDescent="0.2">
      <c r="A12" s="579" t="s">
        <v>156</v>
      </c>
      <c r="B12" s="1724">
        <f>'Revenues 9-14'!K5</f>
        <v>42274</v>
      </c>
      <c r="C12" s="1664">
        <v>262</v>
      </c>
      <c r="D12" s="1725">
        <f t="shared" si="0"/>
        <v>42012</v>
      </c>
      <c r="E12" s="1664">
        <v>45243</v>
      </c>
      <c r="F12" s="1725">
        <f t="shared" si="1"/>
        <v>44981</v>
      </c>
    </row>
    <row r="13" spans="1:8" ht="13.7" customHeight="1" x14ac:dyDescent="0.2">
      <c r="A13" s="579" t="s">
        <v>930</v>
      </c>
      <c r="B13" s="1724">
        <f>SUM('Revenues 9-14'!C6:D6)</f>
        <v>42274</v>
      </c>
      <c r="C13" s="1664">
        <v>262</v>
      </c>
      <c r="D13" s="1725">
        <f t="shared" si="0"/>
        <v>42012</v>
      </c>
      <c r="E13" s="1664">
        <v>45243</v>
      </c>
      <c r="F13" s="1725">
        <f t="shared" si="1"/>
        <v>44981</v>
      </c>
    </row>
    <row r="14" spans="1:8" ht="13.7" customHeight="1" x14ac:dyDescent="0.2">
      <c r="A14" s="579" t="s">
        <v>407</v>
      </c>
      <c r="B14" s="1724">
        <f>SUM('Revenues 9-14'!C7:D7,'Revenues 9-14'!F7:H7)</f>
        <v>33822</v>
      </c>
      <c r="C14" s="1664">
        <v>209</v>
      </c>
      <c r="D14" s="1725">
        <f t="shared" si="0"/>
        <v>33613</v>
      </c>
      <c r="E14" s="1664">
        <v>36195</v>
      </c>
      <c r="F14" s="1725">
        <f t="shared" si="1"/>
        <v>35986</v>
      </c>
    </row>
    <row r="15" spans="1:8" ht="13.7" customHeight="1" x14ac:dyDescent="0.2">
      <c r="A15" s="579" t="s">
        <v>1148</v>
      </c>
      <c r="B15" s="1724">
        <f>SUM('Revenues 9-14'!D9:E9,'Revenues 9-14'!H9)</f>
        <v>0</v>
      </c>
      <c r="C15" s="1664">
        <v>0</v>
      </c>
      <c r="D15" s="1725">
        <f t="shared" si="0"/>
        <v>0</v>
      </c>
      <c r="E15" s="1664"/>
      <c r="F15" s="1725">
        <f t="shared" si="1"/>
        <v>0</v>
      </c>
    </row>
    <row r="16" spans="1:8" ht="13.7" customHeight="1" x14ac:dyDescent="0.2">
      <c r="A16" s="579" t="s">
        <v>1149</v>
      </c>
      <c r="B16" s="1724">
        <f>'Revenues 9-14'!G8</f>
        <v>160098</v>
      </c>
      <c r="C16" s="1664">
        <v>1202</v>
      </c>
      <c r="D16" s="1725">
        <f t="shared" si="0"/>
        <v>158896</v>
      </c>
      <c r="E16" s="1664">
        <v>200065</v>
      </c>
      <c r="F16" s="1725">
        <f t="shared" si="1"/>
        <v>198863</v>
      </c>
    </row>
    <row r="17" spans="1:6" ht="13.7" customHeight="1" x14ac:dyDescent="0.2">
      <c r="A17" s="579" t="s">
        <v>1150</v>
      </c>
      <c r="B17" s="1724">
        <f>'Revenues 9-14'!C10</f>
        <v>0</v>
      </c>
      <c r="C17" s="1664">
        <v>0</v>
      </c>
      <c r="D17" s="1725">
        <f t="shared" si="0"/>
        <v>0</v>
      </c>
      <c r="E17" s="1664"/>
      <c r="F17" s="1725">
        <f t="shared" si="1"/>
        <v>0</v>
      </c>
    </row>
    <row r="18" spans="1:6" ht="13.7" customHeight="1" x14ac:dyDescent="0.2">
      <c r="A18" s="579" t="s">
        <v>757</v>
      </c>
      <c r="B18" s="1724">
        <f>SUM('Revenues 9-14'!C11:K11)</f>
        <v>0</v>
      </c>
      <c r="C18" s="1664">
        <v>-295</v>
      </c>
      <c r="D18" s="1725">
        <f t="shared" si="0"/>
        <v>295</v>
      </c>
      <c r="E18" s="1664"/>
      <c r="F18" s="1725">
        <f t="shared" si="1"/>
        <v>295</v>
      </c>
    </row>
    <row r="19" spans="1:6" ht="13.7" customHeight="1" thickBot="1" x14ac:dyDescent="0.25">
      <c r="A19" s="1432" t="s">
        <v>1151</v>
      </c>
      <c r="B19" s="1726">
        <f>SUM(B4:B18)</f>
        <v>3790067</v>
      </c>
      <c r="C19" s="1726">
        <f>SUM(C4:C18)</f>
        <v>23376.52</v>
      </c>
      <c r="D19" s="1726">
        <f>SUM(D4:D18)</f>
        <v>3766690.48</v>
      </c>
      <c r="E19" s="1726">
        <f>SUM(E4:E18)</f>
        <v>4029981</v>
      </c>
      <c r="F19" s="1726">
        <f>SUM(F4:F18)</f>
        <v>4006604.48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41" sqref="J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39264</v>
      </c>
      <c r="C31" s="1734">
        <v>6630000</v>
      </c>
      <c r="D31" s="1735">
        <v>4</v>
      </c>
      <c r="E31" s="1734">
        <v>180000</v>
      </c>
      <c r="F31" s="1734"/>
      <c r="G31" s="1734"/>
      <c r="H31" s="1734">
        <v>20000</v>
      </c>
      <c r="I31" s="1736">
        <f>((E31+F31)-H31)+G31</f>
        <v>160000</v>
      </c>
      <c r="J31" s="1734">
        <v>160000</v>
      </c>
      <c r="K31" s="596"/>
    </row>
    <row r="32" spans="1:11" ht="12" customHeight="1" x14ac:dyDescent="0.2">
      <c r="A32" s="594" t="s">
        <v>2070</v>
      </c>
      <c r="B32" s="595">
        <v>41852</v>
      </c>
      <c r="C32" s="1734">
        <v>395000</v>
      </c>
      <c r="D32" s="1735">
        <v>4</v>
      </c>
      <c r="E32" s="1734">
        <v>95000</v>
      </c>
      <c r="F32" s="1734"/>
      <c r="G32" s="1734"/>
      <c r="H32" s="1734">
        <v>95000</v>
      </c>
      <c r="I32" s="1736">
        <f>((E32+F32)-H32)+G32</f>
        <v>0</v>
      </c>
      <c r="J32" s="1734"/>
      <c r="K32" s="596"/>
    </row>
    <row r="33" spans="1:11" ht="12" customHeight="1" x14ac:dyDescent="0.2">
      <c r="A33" s="594" t="s">
        <v>2069</v>
      </c>
      <c r="B33" s="595">
        <v>42450</v>
      </c>
      <c r="C33" s="1734">
        <v>4275000</v>
      </c>
      <c r="D33" s="1735">
        <v>3</v>
      </c>
      <c r="E33" s="1734">
        <v>3795000</v>
      </c>
      <c r="F33" s="1734"/>
      <c r="G33" s="1734"/>
      <c r="H33" s="1734">
        <v>390000</v>
      </c>
      <c r="I33" s="1736">
        <f t="shared" ref="I33:I48" si="1">((E33+F33)-H33)+G33</f>
        <v>3405000</v>
      </c>
      <c r="J33" s="1734">
        <v>3405000</v>
      </c>
      <c r="K33" s="596"/>
    </row>
    <row r="34" spans="1:11" ht="12" customHeight="1" x14ac:dyDescent="0.2">
      <c r="A34" s="594" t="s">
        <v>2069</v>
      </c>
      <c r="B34" s="595">
        <v>42450</v>
      </c>
      <c r="C34" s="1734">
        <v>935000</v>
      </c>
      <c r="D34" s="1735">
        <v>4</v>
      </c>
      <c r="E34" s="1734">
        <v>935000</v>
      </c>
      <c r="F34" s="1734"/>
      <c r="G34" s="1734"/>
      <c r="H34" s="1734"/>
      <c r="I34" s="1736">
        <f t="shared" si="1"/>
        <v>935000</v>
      </c>
      <c r="J34" s="1734">
        <v>935000</v>
      </c>
      <c r="K34" s="597"/>
    </row>
    <row r="35" spans="1:11" ht="12" customHeight="1" x14ac:dyDescent="0.2">
      <c r="A35" s="594" t="s">
        <v>2072</v>
      </c>
      <c r="B35" s="595">
        <v>43832</v>
      </c>
      <c r="C35" s="1737">
        <v>117100</v>
      </c>
      <c r="D35" s="1735">
        <v>8</v>
      </c>
      <c r="E35" s="1737"/>
      <c r="F35" s="1737"/>
      <c r="G35" s="1737">
        <v>117100</v>
      </c>
      <c r="H35" s="1737">
        <v>19691</v>
      </c>
      <c r="I35" s="1736">
        <f t="shared" si="1"/>
        <v>97409</v>
      </c>
      <c r="J35" s="1737">
        <v>97409</v>
      </c>
      <c r="K35" s="597"/>
    </row>
    <row r="36" spans="1:11" ht="12" customHeight="1" x14ac:dyDescent="0.2">
      <c r="A36" s="594" t="s">
        <v>2071</v>
      </c>
      <c r="B36" s="595">
        <v>43493</v>
      </c>
      <c r="C36" s="1734">
        <v>67150</v>
      </c>
      <c r="D36" s="1735">
        <v>8</v>
      </c>
      <c r="E36" s="1734">
        <v>56055</v>
      </c>
      <c r="F36" s="1734"/>
      <c r="G36" s="1734"/>
      <c r="H36" s="1734">
        <v>22088</v>
      </c>
      <c r="I36" s="1736">
        <f t="shared" si="1"/>
        <v>33967</v>
      </c>
      <c r="J36" s="1734">
        <v>33967</v>
      </c>
      <c r="K36" s="598"/>
    </row>
    <row r="37" spans="1:11" ht="12" customHeight="1" x14ac:dyDescent="0.2">
      <c r="A37" s="594" t="s">
        <v>2073</v>
      </c>
      <c r="B37" s="595">
        <v>43049</v>
      </c>
      <c r="C37" s="1574">
        <v>110950</v>
      </c>
      <c r="D37" s="1738">
        <v>8</v>
      </c>
      <c r="E37" s="1574">
        <v>56084</v>
      </c>
      <c r="F37" s="1574"/>
      <c r="G37" s="1574"/>
      <c r="H37" s="1574">
        <v>37204</v>
      </c>
      <c r="I37" s="1736">
        <f t="shared" si="1"/>
        <v>18880</v>
      </c>
      <c r="J37" s="1574">
        <v>18880</v>
      </c>
      <c r="K37" s="597"/>
    </row>
    <row r="38" spans="1:11" ht="12" customHeight="1" x14ac:dyDescent="0.2">
      <c r="A38" s="594" t="s">
        <v>2074</v>
      </c>
      <c r="B38" s="595">
        <v>42732</v>
      </c>
      <c r="C38" s="1734">
        <v>70600</v>
      </c>
      <c r="D38" s="1739">
        <v>8</v>
      </c>
      <c r="E38" s="1740">
        <v>12029</v>
      </c>
      <c r="F38" s="1740"/>
      <c r="G38" s="1740"/>
      <c r="H38" s="1740">
        <v>12029</v>
      </c>
      <c r="I38" s="1736">
        <f t="shared" si="1"/>
        <v>0</v>
      </c>
      <c r="J38" s="1741" t="s">
        <v>262</v>
      </c>
      <c r="K38" s="599"/>
    </row>
    <row r="39" spans="1:11" ht="12" customHeight="1" x14ac:dyDescent="0.2">
      <c r="A39" s="594" t="s">
        <v>2075</v>
      </c>
      <c r="B39" s="595">
        <v>43298</v>
      </c>
      <c r="C39" s="1734">
        <v>152376</v>
      </c>
      <c r="D39" s="1739">
        <v>7</v>
      </c>
      <c r="E39" s="1740">
        <v>119706</v>
      </c>
      <c r="F39" s="1740"/>
      <c r="G39" s="1740">
        <v>-28357</v>
      </c>
      <c r="H39" s="1740"/>
      <c r="I39" s="1736">
        <f t="shared" si="1"/>
        <v>91349</v>
      </c>
      <c r="J39" s="1741">
        <v>91349</v>
      </c>
      <c r="K39" s="599"/>
    </row>
    <row r="40" spans="1:11" ht="12" customHeight="1" x14ac:dyDescent="0.2">
      <c r="A40" s="594" t="s">
        <v>2078</v>
      </c>
      <c r="B40" s="595">
        <v>44027</v>
      </c>
      <c r="C40" s="1734">
        <v>107836</v>
      </c>
      <c r="D40" s="1739">
        <v>7</v>
      </c>
      <c r="E40" s="1740"/>
      <c r="F40" s="1740"/>
      <c r="G40" s="1740">
        <f>107836-23657</f>
        <v>84179</v>
      </c>
      <c r="H40" s="1740"/>
      <c r="I40" s="1736">
        <f t="shared" si="1"/>
        <v>84179</v>
      </c>
      <c r="J40" s="1741">
        <v>75294</v>
      </c>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12861012</v>
      </c>
      <c r="D49" s="1742"/>
      <c r="E49" s="1736">
        <f t="shared" ref="E49:J49" si="2">SUM(E31:E48)</f>
        <v>5248874</v>
      </c>
      <c r="F49" s="1736">
        <f t="shared" si="2"/>
        <v>0</v>
      </c>
      <c r="G49" s="1736">
        <f t="shared" si="2"/>
        <v>172922</v>
      </c>
      <c r="H49" s="1736">
        <f t="shared" si="2"/>
        <v>596012</v>
      </c>
      <c r="I49" s="1736">
        <f t="shared" si="2"/>
        <v>4825784</v>
      </c>
      <c r="J49" s="1736">
        <f t="shared" si="2"/>
        <v>4816899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2076</v>
      </c>
      <c r="G52" s="2312"/>
      <c r="H52" s="596"/>
      <c r="I52" s="596"/>
      <c r="J52" s="600"/>
    </row>
    <row r="53" spans="1:11" ht="11.25" customHeight="1" x14ac:dyDescent="0.2">
      <c r="A53" s="604" t="s">
        <v>907</v>
      </c>
      <c r="B53" s="605" t="s">
        <v>945</v>
      </c>
      <c r="C53" s="600"/>
      <c r="D53" s="597"/>
      <c r="E53" s="603" t="s">
        <v>494</v>
      </c>
      <c r="F53" s="2313" t="s">
        <v>2077</v>
      </c>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O27" sqref="O2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v>8407</v>
      </c>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33822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5350</v>
      </c>
    </row>
    <row r="8" spans="1:11" x14ac:dyDescent="0.2">
      <c r="A8" s="629" t="s">
        <v>342</v>
      </c>
      <c r="B8" s="630"/>
      <c r="C8" s="630"/>
      <c r="D8" s="630"/>
      <c r="E8" s="631"/>
      <c r="F8" s="622" t="s">
        <v>846</v>
      </c>
      <c r="G8" s="1753"/>
      <c r="H8" s="1753"/>
      <c r="I8" s="1753"/>
      <c r="J8" s="1745">
        <v>31077</v>
      </c>
      <c r="K8" s="1748"/>
    </row>
    <row r="9" spans="1:11" x14ac:dyDescent="0.2">
      <c r="A9" s="629" t="s">
        <v>137</v>
      </c>
      <c r="B9" s="630"/>
      <c r="C9" s="630"/>
      <c r="D9" s="630"/>
      <c r="E9" s="631"/>
      <c r="F9" s="628" t="s">
        <v>848</v>
      </c>
      <c r="G9" s="1753"/>
      <c r="H9" s="1749"/>
      <c r="I9" s="1749"/>
      <c r="J9" s="1752"/>
      <c r="K9" s="1745">
        <v>8364</v>
      </c>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33822</v>
      </c>
      <c r="I12" s="1755">
        <f>SUM(I5:I11)</f>
        <v>0</v>
      </c>
      <c r="J12" s="1755">
        <f>SUM(J5:J11)</f>
        <v>31077</v>
      </c>
      <c r="K12" s="1755">
        <f>SUM(K5:K11)</f>
        <v>13714</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33822</v>
      </c>
      <c r="I14" s="1749"/>
      <c r="J14" s="1751"/>
      <c r="K14" s="1745">
        <v>7521</v>
      </c>
    </row>
    <row r="15" spans="1:11" x14ac:dyDescent="0.2">
      <c r="A15" s="2319" t="s">
        <v>4</v>
      </c>
      <c r="B15" s="2319"/>
      <c r="C15" s="2319"/>
      <c r="D15" s="2319"/>
      <c r="E15" s="2349"/>
      <c r="F15" s="635" t="s">
        <v>850</v>
      </c>
      <c r="G15" s="1749"/>
      <c r="H15" s="1744"/>
      <c r="I15" s="1744"/>
      <c r="J15" s="1745">
        <v>31077</v>
      </c>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33822</v>
      </c>
      <c r="I23" s="1755">
        <f>SUM(I14:I16,I21,I22)</f>
        <v>0</v>
      </c>
      <c r="J23" s="1755">
        <f>SUM(J14:J16,J21,J22)</f>
        <v>31077</v>
      </c>
      <c r="K23" s="1755">
        <f>SUM(K14:K16,K21,K22)</f>
        <v>7521</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14600</v>
      </c>
      <c r="L24" s="1846"/>
      <c r="M24" s="1846"/>
      <c r="N24" s="1846"/>
      <c r="O24" s="1846"/>
    </row>
    <row r="25" spans="1:15" ht="13.5" thickTop="1" x14ac:dyDescent="0.2">
      <c r="A25" s="639" t="s">
        <v>417</v>
      </c>
      <c r="B25" s="640"/>
      <c r="C25" s="640"/>
      <c r="D25" s="640"/>
      <c r="E25" s="641"/>
      <c r="F25" s="642">
        <v>714</v>
      </c>
      <c r="G25" s="1768"/>
      <c r="H25" s="1768"/>
      <c r="I25" s="1768"/>
      <c r="J25" s="1766"/>
      <c r="K25" s="1766">
        <v>14600</v>
      </c>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212469</v>
      </c>
      <c r="D5" s="1770"/>
      <c r="E5" s="1770"/>
      <c r="F5" s="1765">
        <f>(C5+D5)-E5</f>
        <v>212469</v>
      </c>
      <c r="G5" s="676"/>
      <c r="H5" s="680"/>
      <c r="I5" s="680"/>
      <c r="J5" s="680"/>
      <c r="K5" s="637"/>
      <c r="L5" s="1442">
        <f>F5-K5</f>
        <v>212469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20639935</v>
      </c>
      <c r="D8" s="1771">
        <v>7640</v>
      </c>
      <c r="E8" s="1771"/>
      <c r="F8" s="1765">
        <f>(C8+D8)-E8</f>
        <v>20647575</v>
      </c>
      <c r="G8" s="681">
        <v>50</v>
      </c>
      <c r="H8" s="619">
        <v>7359551</v>
      </c>
      <c r="I8" s="619">
        <v>389822</v>
      </c>
      <c r="J8" s="619"/>
      <c r="K8" s="1442">
        <f>(H8+I8)-J8</f>
        <v>7749373</v>
      </c>
      <c r="L8" s="1442">
        <f>F8-K8</f>
        <v>12898202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1022268</v>
      </c>
      <c r="D10" s="1772">
        <v>73580</v>
      </c>
      <c r="E10" s="1772"/>
      <c r="F10" s="1773">
        <f>(C10+D10)-E10</f>
        <v>1095848</v>
      </c>
      <c r="G10" s="681">
        <v>20</v>
      </c>
      <c r="H10" s="683">
        <v>415907</v>
      </c>
      <c r="I10" s="683">
        <v>53196</v>
      </c>
      <c r="J10" s="683"/>
      <c r="K10" s="1442">
        <f>(H10+I10)-J10</f>
        <v>469103</v>
      </c>
      <c r="L10" s="1442">
        <f>F10-K10</f>
        <v>626745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1194220</v>
      </c>
      <c r="D12" s="1771">
        <v>189095</v>
      </c>
      <c r="E12" s="1771">
        <v>39304</v>
      </c>
      <c r="F12" s="1765">
        <f>(C12+D12)-E12</f>
        <v>1344011</v>
      </c>
      <c r="G12" s="681">
        <v>10</v>
      </c>
      <c r="H12" s="619">
        <v>532783</v>
      </c>
      <c r="I12" s="619">
        <v>127102</v>
      </c>
      <c r="J12" s="619">
        <v>39304</v>
      </c>
      <c r="K12" s="1442">
        <f>(H12+I12)-J12</f>
        <v>620581</v>
      </c>
      <c r="L12" s="1442">
        <f>F12-K12</f>
        <v>723430</v>
      </c>
    </row>
    <row r="13" spans="1:14" ht="14.25" thickTop="1" thickBot="1" x14ac:dyDescent="0.25">
      <c r="A13" s="684" t="s">
        <v>1112</v>
      </c>
      <c r="B13" s="679">
        <v>252</v>
      </c>
      <c r="C13" s="1771">
        <v>1098860</v>
      </c>
      <c r="D13" s="1771">
        <v>137440</v>
      </c>
      <c r="E13" s="1771"/>
      <c r="F13" s="1765">
        <f>(C13+D13)-E13</f>
        <v>1236300</v>
      </c>
      <c r="G13" s="681">
        <v>5</v>
      </c>
      <c r="H13" s="619">
        <v>968608</v>
      </c>
      <c r="I13" s="619">
        <v>64834</v>
      </c>
      <c r="J13" s="619"/>
      <c r="K13" s="1442">
        <f>(H13+I13)-J13</f>
        <v>1033442</v>
      </c>
      <c r="L13" s="1442">
        <f>F13-K13</f>
        <v>202858</v>
      </c>
    </row>
    <row r="14" spans="1:14" ht="14.25" thickTop="1" thickBot="1" x14ac:dyDescent="0.25">
      <c r="A14" s="684" t="s">
        <v>1113</v>
      </c>
      <c r="B14" s="679">
        <v>253</v>
      </c>
      <c r="C14" s="1745">
        <v>15418</v>
      </c>
      <c r="D14" s="1745"/>
      <c r="E14" s="1745"/>
      <c r="F14" s="1765">
        <f>(C14+D14)-E14</f>
        <v>15418</v>
      </c>
      <c r="G14" s="681">
        <v>3</v>
      </c>
      <c r="H14" s="619">
        <v>11995</v>
      </c>
      <c r="I14" s="619">
        <v>1956</v>
      </c>
      <c r="J14" s="619"/>
      <c r="K14" s="1442">
        <f>(H14+I14)-J14</f>
        <v>13951</v>
      </c>
      <c r="L14" s="1442">
        <f>F14-K14</f>
        <v>1467</v>
      </c>
    </row>
    <row r="15" spans="1:14" ht="15" customHeight="1" thickTop="1" thickBot="1" x14ac:dyDescent="0.25">
      <c r="A15" s="1366" t="s">
        <v>525</v>
      </c>
      <c r="B15" s="1365">
        <v>260</v>
      </c>
      <c r="C15" s="1771"/>
      <c r="D15" s="1771">
        <v>8960</v>
      </c>
      <c r="E15" s="1771"/>
      <c r="F15" s="1765">
        <f>(C15+D15)-E15</f>
        <v>8960</v>
      </c>
      <c r="G15" s="685" t="s">
        <v>857</v>
      </c>
      <c r="H15" s="632"/>
      <c r="I15" s="632"/>
      <c r="J15" s="632"/>
      <c r="K15" s="632"/>
      <c r="L15" s="1442">
        <f>F15-K15</f>
        <v>8960</v>
      </c>
    </row>
    <row r="16" spans="1:14" ht="15" customHeight="1" thickTop="1" thickBot="1" x14ac:dyDescent="0.25">
      <c r="A16" s="1438" t="s">
        <v>638</v>
      </c>
      <c r="B16" s="1439">
        <v>200</v>
      </c>
      <c r="C16" s="1765">
        <f>SUM(C3,C5:C6,C8:C10,C12:C15)</f>
        <v>24183170</v>
      </c>
      <c r="D16" s="1765">
        <f>SUM(D3,D5:D6,D8:D10,D12:D15)</f>
        <v>416715</v>
      </c>
      <c r="E16" s="1765">
        <f>SUM(E3,E5:E6,E8:E10,E12:E15)</f>
        <v>39304</v>
      </c>
      <c r="F16" s="1765">
        <f>SUM(F3,F5:F6,F8:F10,F12:F15)</f>
        <v>24560581</v>
      </c>
      <c r="G16" s="681"/>
      <c r="H16" s="1435">
        <f>SUM(H3,H6,H8:H10,H12:H14,)</f>
        <v>9288844</v>
      </c>
      <c r="I16" s="1435">
        <f>SUM(I3,I6,I8:I10,I12:I14,)</f>
        <v>636910</v>
      </c>
      <c r="J16" s="1435">
        <f>SUM(J3,J6,J8:J10,J12:J14,)</f>
        <v>39304</v>
      </c>
      <c r="K16" s="1435">
        <f>(H16+I16)-J16</f>
        <v>9886450</v>
      </c>
      <c r="L16" s="1435">
        <f>F16-K16</f>
        <v>14674131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636910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I181" sqref="I18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6249746</v>
      </c>
      <c r="G8" s="701"/>
    </row>
    <row r="9" spans="1:9" x14ac:dyDescent="0.2">
      <c r="A9" s="705" t="s">
        <v>457</v>
      </c>
      <c r="B9" s="706" t="s">
        <v>1848</v>
      </c>
      <c r="C9" s="707"/>
      <c r="D9" s="705" t="s">
        <v>498</v>
      </c>
      <c r="E9" s="704"/>
      <c r="F9" s="1775">
        <f>'Expenditures 15-22'!K151</f>
        <v>1123434</v>
      </c>
      <c r="G9" s="708"/>
    </row>
    <row r="10" spans="1:9" x14ac:dyDescent="0.2">
      <c r="A10" s="705" t="s">
        <v>496</v>
      </c>
      <c r="B10" s="706" t="s">
        <v>1849</v>
      </c>
      <c r="C10" s="707"/>
      <c r="D10" s="705" t="s">
        <v>498</v>
      </c>
      <c r="E10" s="704"/>
      <c r="F10" s="1775">
        <f>'Expenditures 15-22'!K174</f>
        <v>752870</v>
      </c>
      <c r="G10" s="708"/>
    </row>
    <row r="11" spans="1:9" x14ac:dyDescent="0.2">
      <c r="A11" s="705" t="s">
        <v>458</v>
      </c>
      <c r="B11" s="706" t="s">
        <v>1850</v>
      </c>
      <c r="C11" s="707"/>
      <c r="D11" s="705" t="s">
        <v>498</v>
      </c>
      <c r="E11" s="704"/>
      <c r="F11" s="1775">
        <f>'Expenditures 15-22'!K210</f>
        <v>733809</v>
      </c>
      <c r="G11" s="708"/>
    </row>
    <row r="12" spans="1:9" x14ac:dyDescent="0.2">
      <c r="A12" s="705" t="s">
        <v>459</v>
      </c>
      <c r="B12" s="706" t="s">
        <v>1851</v>
      </c>
      <c r="C12" s="707"/>
      <c r="D12" s="705" t="s">
        <v>498</v>
      </c>
      <c r="E12" s="704"/>
      <c r="F12" s="1775">
        <f>'Expenditures 15-22'!K295</f>
        <v>360739</v>
      </c>
      <c r="G12" s="708"/>
    </row>
    <row r="13" spans="1:9" x14ac:dyDescent="0.2">
      <c r="A13" s="705" t="s">
        <v>106</v>
      </c>
      <c r="B13" s="706" t="s">
        <v>1852</v>
      </c>
      <c r="C13" s="707"/>
      <c r="D13" s="705" t="s">
        <v>498</v>
      </c>
      <c r="E13" s="704"/>
      <c r="F13" s="1775">
        <f>'Expenditures 15-22'!K342</f>
        <v>561262</v>
      </c>
      <c r="G13" s="709"/>
    </row>
    <row r="14" spans="1:9" ht="12" customHeight="1" thickBot="1" x14ac:dyDescent="0.25">
      <c r="A14" s="1443"/>
      <c r="B14" s="1444"/>
      <c r="C14" s="1445"/>
      <c r="D14" s="1446" t="s">
        <v>498</v>
      </c>
      <c r="E14" s="1447" t="s">
        <v>952</v>
      </c>
      <c r="F14" s="1776">
        <f>SUM(F8:F13)</f>
        <v>9781860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44180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61278</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2530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60934</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10911</v>
      </c>
      <c r="G52" s="701"/>
    </row>
    <row r="53" spans="1:7" x14ac:dyDescent="0.2">
      <c r="A53" s="705" t="s">
        <v>456</v>
      </c>
      <c r="B53" s="705" t="s">
        <v>1458</v>
      </c>
      <c r="C53" s="724">
        <f>'Expenditures 15-22'!B102</f>
        <v>4000</v>
      </c>
      <c r="D53" s="723" t="str">
        <f>'Expenditures 15-22'!A102</f>
        <v>Total Payments to Other Govt Units</v>
      </c>
      <c r="E53" s="704"/>
      <c r="F53" s="1782">
        <f>'Expenditures 15-22'!K102</f>
        <v>163993</v>
      </c>
      <c r="G53" s="701"/>
    </row>
    <row r="54" spans="1:7" x14ac:dyDescent="0.2">
      <c r="A54" s="705" t="s">
        <v>456</v>
      </c>
      <c r="B54" s="705" t="s">
        <v>1459</v>
      </c>
      <c r="C54" s="724" t="s">
        <v>975</v>
      </c>
      <c r="D54" s="720" t="s">
        <v>1086</v>
      </c>
      <c r="E54" s="704"/>
      <c r="F54" s="1782">
        <f>'Expenditures 15-22'!G114</f>
        <v>65793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199552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596012</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52014</v>
      </c>
      <c r="G64" s="701"/>
    </row>
    <row r="65" spans="1:9" x14ac:dyDescent="0.2">
      <c r="A65" s="705" t="s">
        <v>458</v>
      </c>
      <c r="B65" s="705" t="s">
        <v>1861</v>
      </c>
      <c r="C65" s="721" t="s">
        <v>975</v>
      </c>
      <c r="D65" s="720" t="s">
        <v>1086</v>
      </c>
      <c r="E65" s="704"/>
      <c r="F65" s="1782">
        <f>'Expenditures 15-22'!G210</f>
        <v>107836</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1888</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1070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1367991</v>
      </c>
      <c r="G77" s="701"/>
    </row>
    <row r="78" spans="1:9" s="728" customFormat="1" ht="12" customHeight="1" thickTop="1" thickBot="1" x14ac:dyDescent="0.25">
      <c r="A78" s="1450"/>
      <c r="B78" s="1448"/>
      <c r="C78" s="1445"/>
      <c r="D78" s="1449" t="s">
        <v>2012</v>
      </c>
      <c r="E78" s="1447"/>
      <c r="F78" s="1788">
        <f>(F14-F77)</f>
        <v>8413869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835.7</v>
      </c>
      <c r="G79" s="733"/>
      <c r="H79" s="705"/>
      <c r="I79" s="705"/>
    </row>
    <row r="80" spans="1:9" s="728" customFormat="1" ht="12" customHeight="1" thickBot="1" x14ac:dyDescent="0.25">
      <c r="A80" s="1452"/>
      <c r="B80" s="1448"/>
      <c r="C80" s="1445"/>
      <c r="D80" s="1449" t="s">
        <v>2013</v>
      </c>
      <c r="E80" s="1447" t="s">
        <v>952</v>
      </c>
      <c r="F80" s="1790">
        <f>IF(F79&gt;0,F78/F79," Complete Line 79")</f>
        <v>10068.049539308364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97318</v>
      </c>
      <c r="G95" s="745"/>
    </row>
    <row r="96" spans="1:7" x14ac:dyDescent="0.2">
      <c r="A96" s="741" t="s">
        <v>139</v>
      </c>
      <c r="B96" s="741" t="s">
        <v>174</v>
      </c>
      <c r="C96" s="743">
        <v>1700</v>
      </c>
      <c r="D96" s="751" t="str">
        <f>'Revenues 9-14'!A82</f>
        <v>Total District/School Activity Income</v>
      </c>
      <c r="E96" s="739"/>
      <c r="F96" s="1793">
        <f>SUM('Revenues 9-14'!C82,'Revenues 9-14'!D82)</f>
        <v>51671</v>
      </c>
      <c r="G96" s="745"/>
    </row>
    <row r="97" spans="1:7" x14ac:dyDescent="0.2">
      <c r="A97" s="741" t="s">
        <v>456</v>
      </c>
      <c r="B97" s="741" t="s">
        <v>175</v>
      </c>
      <c r="C97" s="743">
        <f>'Revenues 9-14'!B84</f>
        <v>1811</v>
      </c>
      <c r="D97" s="744" t="str">
        <f>'Revenues 9-14'!A84</f>
        <v>Rentals - Regular Textbooks</v>
      </c>
      <c r="E97" s="739"/>
      <c r="F97" s="1793">
        <f>'Revenues 9-14'!C84</f>
        <v>18232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46581</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7220</v>
      </c>
      <c r="G105" s="745"/>
    </row>
    <row r="106" spans="1:7" x14ac:dyDescent="0.2">
      <c r="A106" s="741" t="s">
        <v>500</v>
      </c>
      <c r="B106" s="741" t="s">
        <v>1910</v>
      </c>
      <c r="C106" s="746">
        <v>3100</v>
      </c>
      <c r="D106" s="752" t="str">
        <f>'Revenues 9-14'!A132</f>
        <v>Total Special Education</v>
      </c>
      <c r="E106" s="739"/>
      <c r="F106" s="1793">
        <f>SUM('Revenues 9-14'!C132:D132,'Revenues 9-14'!F132)</f>
        <v>33945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33304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2697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8364</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346374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351772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197800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12229</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69000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5034</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29686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13077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65381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333335</v>
      </c>
      <c r="G172" s="760"/>
    </row>
    <row r="173" spans="1:7" x14ac:dyDescent="0.2">
      <c r="A173" s="1529" t="s">
        <v>659</v>
      </c>
      <c r="B173" s="1530" t="s">
        <v>1885</v>
      </c>
      <c r="C173" s="1531">
        <v>3300</v>
      </c>
      <c r="D173" s="1532" t="s">
        <v>1888</v>
      </c>
      <c r="E173" s="739"/>
      <c r="F173" s="1794">
        <v>325</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1724141</v>
      </c>
    </row>
    <row r="176" spans="1:7" ht="12" customHeight="1" x14ac:dyDescent="0.2">
      <c r="A176" s="1443"/>
      <c r="B176" s="1453"/>
      <c r="C176" s="1454"/>
      <c r="D176" s="1455" t="s">
        <v>2014</v>
      </c>
      <c r="E176" s="1456"/>
      <c r="F176" s="1793">
        <f>'PCTC-OEPP 27-28'!F78-F175</f>
        <v>6689728</v>
      </c>
    </row>
    <row r="177" spans="1:9" ht="12" customHeight="1" x14ac:dyDescent="0.2">
      <c r="A177" s="1443"/>
      <c r="B177" s="1453"/>
      <c r="C177" s="1454"/>
      <c r="D177" s="1455" t="s">
        <v>1794</v>
      </c>
      <c r="E177" s="1456"/>
      <c r="F177" s="1793">
        <f>'Cap Outlay Deprec 26'!I18</f>
        <v>636910</v>
      </c>
    </row>
    <row r="178" spans="1:9" ht="12" customHeight="1" x14ac:dyDescent="0.2">
      <c r="A178" s="1443"/>
      <c r="B178" s="1453"/>
      <c r="C178" s="1454"/>
      <c r="D178" s="1455" t="s">
        <v>2015</v>
      </c>
      <c r="E178" s="1456"/>
      <c r="F178" s="1793">
        <f>F176+F177</f>
        <v>7326638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835.7</v>
      </c>
      <c r="G179" s="763"/>
      <c r="I179" s="701"/>
    </row>
    <row r="180" spans="1:9" ht="12" customHeight="1" thickBot="1" x14ac:dyDescent="0.25">
      <c r="A180" s="1443"/>
      <c r="B180" s="1457"/>
      <c r="C180" s="1454"/>
      <c r="D180" s="1455" t="s">
        <v>2017</v>
      </c>
      <c r="E180" s="1456" t="s">
        <v>1528</v>
      </c>
      <c r="F180" s="1798">
        <f>F178/F179</f>
        <v>8767.0671293526375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1" sqref="B2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2110</v>
      </c>
      <c r="B18" s="1908">
        <v>802300300</v>
      </c>
      <c r="C18" s="2036" t="s">
        <v>2111</v>
      </c>
      <c r="D18" s="1886">
        <v>7260</v>
      </c>
      <c r="E18" s="1906">
        <f t="shared" ref="E18:E81" si="0">IF(D18&lt;25000,D18,"25,000")</f>
        <v>7260</v>
      </c>
      <c r="F18" s="1906" t="str">
        <f t="shared" ref="F18:F81" si="1">IF(D18&gt;=25000,(D18-E18),"0")</f>
        <v>0</v>
      </c>
      <c r="G18" s="1887"/>
    </row>
    <row r="19" spans="1:7" x14ac:dyDescent="0.25">
      <c r="A19" s="2035" t="s">
        <v>2113</v>
      </c>
      <c r="B19" s="1908">
        <v>102200400</v>
      </c>
      <c r="C19" s="2036" t="s">
        <v>2112</v>
      </c>
      <c r="D19" s="1886">
        <v>2450</v>
      </c>
      <c r="E19" s="1906">
        <f t="shared" si="0"/>
        <v>2450</v>
      </c>
      <c r="F19" s="1906" t="str">
        <f t="shared" si="1"/>
        <v>0</v>
      </c>
    </row>
    <row r="20" spans="1:7" x14ac:dyDescent="0.25">
      <c r="A20" s="2035" t="s">
        <v>2114</v>
      </c>
      <c r="B20" s="1908">
        <v>101000600</v>
      </c>
      <c r="C20" s="2036" t="s">
        <v>2115</v>
      </c>
      <c r="D20" s="1886">
        <v>57109</v>
      </c>
      <c r="E20" s="1906" t="str">
        <f t="shared" si="0"/>
        <v>25,000</v>
      </c>
      <c r="F20" s="1906">
        <f t="shared" si="1"/>
        <v>32109</v>
      </c>
    </row>
    <row r="21" spans="1:7" x14ac:dyDescent="0.25">
      <c r="A21" s="2035" t="s">
        <v>2114</v>
      </c>
      <c r="B21" s="1908">
        <v>101000600</v>
      </c>
      <c r="C21" s="2036" t="s">
        <v>2116</v>
      </c>
      <c r="D21" s="1886">
        <v>3525</v>
      </c>
      <c r="E21" s="1906">
        <f t="shared" si="0"/>
        <v>3525</v>
      </c>
      <c r="F21" s="1906" t="str">
        <f t="shared" si="1"/>
        <v>0</v>
      </c>
    </row>
    <row r="22" spans="1:7" x14ac:dyDescent="0.25">
      <c r="A22" s="2035" t="s">
        <v>2117</v>
      </c>
      <c r="B22" s="1908">
        <v>202540300</v>
      </c>
      <c r="C22" s="2036" t="s">
        <v>2118</v>
      </c>
      <c r="D22" s="1886">
        <v>3900</v>
      </c>
      <c r="E22" s="1906">
        <f t="shared" si="0"/>
        <v>3900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74244</v>
      </c>
      <c r="E142" s="1893">
        <f>SUM(E18:E141)</f>
        <v>17135</v>
      </c>
      <c r="F142" s="1894">
        <f>SUM(F18:F141)</f>
        <v>32109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Q19" sqref="Q1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275047</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40825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4400967</v>
      </c>
      <c r="F19" s="1802"/>
      <c r="G19" s="1804">
        <f>'Expenditures 15-22'!K33-SUM('Expenditures 15-22'!G33,'Expenditures 15-22'!I33)+'Expenditures 15-22'!D229</f>
        <v>4400967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328376</v>
      </c>
      <c r="F21" s="1805"/>
      <c r="G21" s="1808">
        <f>'Expenditures 15-22'!K42-SUM('Expenditures 15-22'!G42,'Expenditures 15-22'!I42)+'Expenditures 15-22'!K120-SUM('Expenditures 15-22'!G120,'Expenditures 15-22'!I120)+'Expenditures 15-22'!K180-SUM('Expenditures 15-22'!G180,'Expenditures 15-22'!I180)+'Expenditures 15-22'!D238</f>
        <v>328376</v>
      </c>
      <c r="H21" s="817"/>
      <c r="I21" s="157"/>
    </row>
    <row r="22" spans="1:9" s="542" customFormat="1" ht="12" customHeight="1" x14ac:dyDescent="0.2">
      <c r="A22" s="824" t="s">
        <v>560</v>
      </c>
      <c r="B22" s="825"/>
      <c r="C22" s="823">
        <v>2200</v>
      </c>
      <c r="D22" s="1805"/>
      <c r="E22" s="1807">
        <f>'Expenditures 15-22'!K47-SUM('Expenditures 15-22'!G47,'Expenditures 15-22'!I47)+'Expenditures 15-22'!D243</f>
        <v>226378</v>
      </c>
      <c r="F22" s="1805"/>
      <c r="G22" s="1808">
        <f>'Expenditures 15-22'!K47-SUM('Expenditures 15-22'!G47,'Expenditures 15-22'!I47)+'Expenditures 15-22'!D243</f>
        <v>226378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768890</v>
      </c>
      <c r="F23" s="1805"/>
      <c r="G23" s="1807">
        <f>'Expenditures 15-22'!K53-SUM('Expenditures 15-22'!G53,'Expenditures 15-22'!I53)+'Expenditures 15-22'!D257+'Expenditures 15-22'!K330-SUM('Expenditures 15-22'!G330,'Expenditures 15-22'!I330)</f>
        <v>768890</v>
      </c>
      <c r="H23" s="817"/>
      <c r="I23" s="157"/>
    </row>
    <row r="24" spans="1:9" s="542" customFormat="1" ht="12" customHeight="1" x14ac:dyDescent="0.2">
      <c r="A24" s="824" t="s">
        <v>562</v>
      </c>
      <c r="B24" s="825"/>
      <c r="C24" s="823">
        <v>2400</v>
      </c>
      <c r="D24" s="1805"/>
      <c r="E24" s="1807">
        <f>'Expenditures 15-22'!K57-SUM('Expenditures 15-22'!G57,'Expenditures 15-22'!I57)+'Expenditures 15-22'!D261</f>
        <v>530799</v>
      </c>
      <c r="F24" s="1805"/>
      <c r="G24" s="1808">
        <f>'Expenditures 15-22'!K57-SUM('Expenditures 15-22'!G57,'Expenditures 15-22'!I57)+'Expenditures 15-22'!D261</f>
        <v>530799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89828</v>
      </c>
      <c r="E27" s="1807">
        <f>E8</f>
        <v>0</v>
      </c>
      <c r="F27" s="1807">
        <f>'Expenditures 15-22'!K60-SUM('Expenditures 15-22'!G60,'Expenditures 15-22'!I60)+'Expenditures 15-22'!D264-E8</f>
        <v>89828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979712</v>
      </c>
      <c r="F28" s="1809">
        <f>'Expenditures 15-22'!K61-SUM('Expenditures 15-22'!G61,'Expenditures 15-22'!I61)+'Expenditures 15-22'!K124-SUM('Expenditures 15-22'!G124,'Expenditures 15-22'!I124)+'Expenditures 15-22'!D266-E9</f>
        <v>979712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625989</v>
      </c>
      <c r="F29" s="1805"/>
      <c r="G29" s="1808">
        <f>'Expenditures 15-22'!K62-SUM('Expenditures 15-22'!G62,'Expenditures 15-22'!I62)+'Expenditures 15-22'!K125-SUM('Expenditures 15-22'!G125,'Expenditures 15-22'!I125)+'Expenditures 15-22'!K182-SUM('Expenditures 15-22'!G182,'Expenditures 15-22'!I182)+'Expenditures 15-22'!D267</f>
        <v>625989</v>
      </c>
      <c r="H29" s="815"/>
    </row>
    <row r="30" spans="1:9" ht="12" customHeight="1" x14ac:dyDescent="0.2">
      <c r="A30" s="824" t="s">
        <v>100</v>
      </c>
      <c r="B30" s="827"/>
      <c r="C30" s="823">
        <v>2560</v>
      </c>
      <c r="D30" s="1805"/>
      <c r="E30" s="1807">
        <f>'Expenditures 15-22'!K63-SUM('Expenditures 15-22'!G63,'Expenditures 15-22'!I63)+'Expenditures 15-22'!D268-E10</f>
        <v>197522</v>
      </c>
      <c r="F30" s="1805"/>
      <c r="G30" s="1807">
        <f>'Expenditures 15-22'!K63-SUM('Expenditures 15-22'!G63,'Expenditures 15-22'!I63)+'Expenditures 15-22'!D268-E10</f>
        <v>197522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11981</v>
      </c>
      <c r="F39" s="1805"/>
      <c r="G39" s="1807">
        <f>'Expenditures 15-22'!K75-SUM('Expenditures 15-22'!G75,'Expenditures 15-22'!I75)+'Expenditures 15-22'!K130-SUM('Expenditures 15-22'!G130,'Expenditures 15-22'!I130)+'Expenditures 15-22'!K185-SUM('Expenditures 15-22'!G185,'Expenditures 15-22'!I185)+'Expenditures 15-22'!D280</f>
        <v>11981</v>
      </c>
    </row>
    <row r="40" spans="1:7" ht="12" customHeight="1" x14ac:dyDescent="0.2">
      <c r="A40" s="820" t="s">
        <v>1798</v>
      </c>
      <c r="B40" s="821"/>
      <c r="C40" s="823"/>
      <c r="D40" s="1805"/>
      <c r="E40" s="1809">
        <f>-'Contracts Paid in CY 29'!F142</f>
        <v>-32109</v>
      </c>
      <c r="F40" s="1805"/>
      <c r="G40" s="1809">
        <f>-'Contracts Paid in CY 29'!F142</f>
        <v>-32109</v>
      </c>
    </row>
    <row r="41" spans="1:7" ht="12" customHeight="1" x14ac:dyDescent="0.2">
      <c r="A41" s="828" t="s">
        <v>155</v>
      </c>
      <c r="B41" s="829"/>
      <c r="C41" s="830"/>
      <c r="D41" s="1809">
        <f>SUM(D19:D39)</f>
        <v>89828</v>
      </c>
      <c r="E41" s="1809">
        <f>SUM(E19:E40)</f>
        <v>8038505</v>
      </c>
      <c r="F41" s="1809">
        <f>SUM(F19:F39)</f>
        <v>1069540</v>
      </c>
      <c r="G41" s="1809">
        <f>SUM(G19:G40)</f>
        <v>7058793</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89828</v>
      </c>
      <c r="F43" s="1458" t="s">
        <v>470</v>
      </c>
      <c r="G43" s="1810">
        <f>F41</f>
        <v>1069540</v>
      </c>
    </row>
    <row r="44" spans="1:7" ht="12" customHeight="1" x14ac:dyDescent="0.2">
      <c r="A44" s="817"/>
      <c r="B44" s="157"/>
      <c r="C44" s="831"/>
      <c r="D44" s="1458" t="s">
        <v>471</v>
      </c>
      <c r="E44" s="1810">
        <f>E41</f>
        <v>8038505</v>
      </c>
      <c r="F44" s="1458" t="s">
        <v>471</v>
      </c>
      <c r="G44" s="1810">
        <f>G41</f>
        <v>7058793</v>
      </c>
    </row>
    <row r="45" spans="1:7" ht="12" customHeight="1" x14ac:dyDescent="0.2">
      <c r="A45" s="817"/>
      <c r="B45" s="157"/>
      <c r="C45" s="157"/>
      <c r="D45" s="1459" t="s">
        <v>999</v>
      </c>
      <c r="E45" s="1811">
        <f>(E43/E44)</f>
        <v>1.117471470130329E-2</v>
      </c>
      <c r="F45" s="1459" t="s">
        <v>999</v>
      </c>
      <c r="G45" s="1811">
        <f>(G43/G44)</f>
        <v>0.15151882198557176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27" sqref="C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Casey-Westfield CUSD 4C</v>
      </c>
      <c r="D6" s="2404"/>
      <c r="E6" s="2404"/>
      <c r="F6" s="1482"/>
      <c r="G6" s="1507"/>
      <c r="L6" s="1507"/>
      <c r="M6" s="1855"/>
      <c r="N6" s="1855"/>
      <c r="O6" s="1855"/>
    </row>
    <row r="7" spans="1:15" ht="11.25" customHeight="1" thickBot="1" x14ac:dyDescent="0.3">
      <c r="A7" s="1480"/>
      <c r="B7" s="1481"/>
      <c r="C7" s="2405" t="str">
        <f>COVER!A13</f>
        <v>11012004C26</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2079</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2080</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2081</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H23" sqref="H2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Casey-Westfield CUSD 4C</v>
      </c>
      <c r="K6" s="2420"/>
      <c r="L6" s="2421"/>
      <c r="M6" s="838"/>
      <c r="N6" s="1998"/>
    </row>
    <row r="7" spans="1:14" x14ac:dyDescent="0.2">
      <c r="A7" s="2422" t="s">
        <v>864</v>
      </c>
      <c r="B7" s="2423"/>
      <c r="C7" s="2423"/>
      <c r="D7" s="2423"/>
      <c r="E7" s="2424"/>
      <c r="F7" s="839"/>
      <c r="G7" s="838"/>
      <c r="H7" s="838"/>
      <c r="I7" s="1924" t="s">
        <v>369</v>
      </c>
      <c r="J7" s="2425" t="str">
        <f>COVER!A13</f>
        <v>11012004C26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136291</v>
      </c>
      <c r="F12" s="1942"/>
      <c r="G12" s="1968">
        <f>G68</f>
        <v>28612</v>
      </c>
      <c r="H12" s="1944">
        <f t="shared" ref="H12:H18" si="0">SUM(E12:G12)</f>
        <v>164903</v>
      </c>
      <c r="I12" s="1943">
        <v>103714</v>
      </c>
      <c r="J12" s="1942"/>
      <c r="K12" s="1943">
        <v>22000</v>
      </c>
      <c r="L12" s="1944">
        <f t="shared" ref="L12:L18" si="1">SUM(I12:K12)</f>
        <v>125714</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136291</v>
      </c>
      <c r="F19" s="1950">
        <f t="shared" si="2"/>
        <v>0</v>
      </c>
      <c r="G19" s="1950">
        <f t="shared" ref="G19" si="3">SUM(G12:G17)-G18</f>
        <v>28612</v>
      </c>
      <c r="H19" s="1950">
        <f t="shared" si="2"/>
        <v>164903</v>
      </c>
      <c r="I19" s="1950">
        <f t="shared" si="2"/>
        <v>103714</v>
      </c>
      <c r="J19" s="1950">
        <f t="shared" si="2"/>
        <v>0</v>
      </c>
      <c r="K19" s="1950">
        <f t="shared" si="2"/>
        <v>22000</v>
      </c>
      <c r="L19" s="1950">
        <f t="shared" si="2"/>
        <v>125714</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-0.23764879959733903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t="str">
        <f>COVER!A38</f>
        <v>Jon Julius</v>
      </c>
      <c r="D29" s="2437"/>
      <c r="E29" s="845"/>
      <c r="F29" s="2437" t="str">
        <f>COVER!A42</f>
        <v>217-932-2184</v>
      </c>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Casey-Westfield CUSD 4C</v>
      </c>
      <c r="M52" s="2420"/>
      <c r="N52" s="2450"/>
    </row>
    <row r="53" spans="1:14" x14ac:dyDescent="0.2">
      <c r="A53" s="1982"/>
      <c r="B53" s="1983"/>
      <c r="C53" s="1983"/>
      <c r="D53" s="1983"/>
      <c r="E53" s="1983"/>
      <c r="F53" s="1983"/>
      <c r="G53" s="1983"/>
      <c r="H53" s="1983"/>
      <c r="I53" s="1983"/>
      <c r="J53" s="1983"/>
      <c r="K53" s="1924" t="s">
        <v>369</v>
      </c>
      <c r="L53" s="2425" t="str">
        <f>J7</f>
        <v>11012004C26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48120</v>
      </c>
      <c r="F58" s="1972"/>
      <c r="G58" s="2031"/>
      <c r="H58" s="2032"/>
      <c r="I58" s="2032"/>
      <c r="J58" s="2032"/>
      <c r="K58" s="2032"/>
      <c r="L58" s="2032"/>
      <c r="M58" s="2032">
        <v>48120</v>
      </c>
      <c r="N58" s="1975">
        <f>IF((SUM(G58:M58))=E58,SUM(G58:M58),"Column N does not agree with Column E")</f>
        <v>48120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47828</v>
      </c>
      <c r="F60" s="1972"/>
      <c r="G60" s="2031"/>
      <c r="H60" s="2032"/>
      <c r="I60" s="2032"/>
      <c r="J60" s="2032"/>
      <c r="K60" s="2032"/>
      <c r="L60" s="2032"/>
      <c r="M60" s="2032">
        <v>47828</v>
      </c>
      <c r="N60" s="1975">
        <f t="shared" ref="N60:N67" si="4">IF((SUM(G60:M60))=E60,SUM(G60:M60),"Column N does not agree with Column E")</f>
        <v>47828</v>
      </c>
    </row>
    <row r="61" spans="1:14" ht="24.75" customHeight="1" x14ac:dyDescent="0.2">
      <c r="A61" s="2461" t="s">
        <v>697</v>
      </c>
      <c r="B61" s="2462"/>
      <c r="C61" s="2462"/>
      <c r="D61" s="1967">
        <v>2365</v>
      </c>
      <c r="E61" s="1977">
        <f>'Expenditures 15-22'!K323</f>
        <v>442998</v>
      </c>
      <c r="F61" s="1972"/>
      <c r="G61" s="2031">
        <v>28612</v>
      </c>
      <c r="H61" s="2032"/>
      <c r="I61" s="2032"/>
      <c r="J61" s="2032"/>
      <c r="K61" s="2032"/>
      <c r="L61" s="2032"/>
      <c r="M61" s="2032">
        <v>414386</v>
      </c>
      <c r="N61" s="1975">
        <f t="shared" si="4"/>
        <v>442998</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22316</v>
      </c>
      <c r="F65" s="1972"/>
      <c r="G65" s="2031"/>
      <c r="H65" s="2032"/>
      <c r="I65" s="2032"/>
      <c r="J65" s="2032"/>
      <c r="K65" s="2032"/>
      <c r="L65" s="2032"/>
      <c r="M65" s="2032">
        <v>22316</v>
      </c>
      <c r="N65" s="1975">
        <f t="shared" si="4"/>
        <v>22316</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561262</v>
      </c>
      <c r="F68" s="1973"/>
      <c r="G68" s="1974">
        <f t="shared" ref="G68:N68" si="5">SUM(G57:G67)</f>
        <v>28612</v>
      </c>
      <c r="H68" s="1974">
        <f t="shared" si="5"/>
        <v>0</v>
      </c>
      <c r="I68" s="1974">
        <f t="shared" si="5"/>
        <v>0</v>
      </c>
      <c r="J68" s="1974">
        <f t="shared" si="5"/>
        <v>0</v>
      </c>
      <c r="K68" s="1974">
        <f t="shared" si="5"/>
        <v>0</v>
      </c>
      <c r="L68" s="1974">
        <f t="shared" si="5"/>
        <v>0</v>
      </c>
      <c r="M68" s="1974">
        <f t="shared" si="5"/>
        <v>532650</v>
      </c>
      <c r="N68" s="1988">
        <f t="shared" si="5"/>
        <v>561262</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2096</v>
      </c>
    </row>
    <row r="6" spans="1:2" x14ac:dyDescent="0.2">
      <c r="A6" s="847">
        <v>2</v>
      </c>
      <c r="B6" s="307" t="s">
        <v>2094</v>
      </c>
    </row>
    <row r="7" spans="1:2" x14ac:dyDescent="0.2">
      <c r="A7" s="847">
        <v>3</v>
      </c>
      <c r="B7" s="307" t="s">
        <v>2095</v>
      </c>
    </row>
    <row r="8" spans="1:2" x14ac:dyDescent="0.2">
      <c r="A8" s="847">
        <v>4</v>
      </c>
      <c r="B8" s="307" t="s">
        <v>2097</v>
      </c>
    </row>
    <row r="9" spans="1:2" x14ac:dyDescent="0.2">
      <c r="A9" s="847">
        <v>5</v>
      </c>
      <c r="B9" s="307" t="s">
        <v>2098</v>
      </c>
    </row>
    <row r="10" spans="1:2" x14ac:dyDescent="0.2">
      <c r="A10" s="847">
        <v>6</v>
      </c>
      <c r="B10" s="307" t="s">
        <v>2099</v>
      </c>
    </row>
    <row r="11" spans="1:2" x14ac:dyDescent="0.2">
      <c r="A11" s="847">
        <v>7</v>
      </c>
      <c r="B11" s="307" t="s">
        <v>2100</v>
      </c>
    </row>
    <row r="12" spans="1:2" x14ac:dyDescent="0.2">
      <c r="A12" s="847">
        <v>8</v>
      </c>
      <c r="B12" s="307" t="s">
        <v>2101</v>
      </c>
    </row>
    <row r="13" spans="1:2" x14ac:dyDescent="0.2">
      <c r="A13" s="847">
        <v>9</v>
      </c>
      <c r="B13" s="307" t="s">
        <v>2102</v>
      </c>
    </row>
    <row r="14" spans="1:2" x14ac:dyDescent="0.2">
      <c r="A14" s="847">
        <v>10</v>
      </c>
      <c r="B14" s="307" t="s">
        <v>2103</v>
      </c>
    </row>
    <row r="15" spans="1:2" x14ac:dyDescent="0.2">
      <c r="A15" s="847">
        <v>11</v>
      </c>
      <c r="B15" s="307" t="s">
        <v>2104</v>
      </c>
    </row>
    <row r="16" spans="1:2" x14ac:dyDescent="0.2">
      <c r="A16" s="847">
        <v>12</v>
      </c>
      <c r="B16" s="307" t="s">
        <v>2105</v>
      </c>
    </row>
    <row r="17" spans="1:2" x14ac:dyDescent="0.2">
      <c r="A17" s="847">
        <v>13</v>
      </c>
      <c r="B17" s="307" t="s">
        <v>2106</v>
      </c>
    </row>
    <row r="18" spans="1:2" x14ac:dyDescent="0.2">
      <c r="A18" s="847">
        <v>14</v>
      </c>
      <c r="B18" s="307" t="s">
        <v>2107</v>
      </c>
    </row>
    <row r="19" spans="1:2" x14ac:dyDescent="0.2">
      <c r="A19" s="847">
        <v>15</v>
      </c>
      <c r="B19" s="307" t="s">
        <v>2108</v>
      </c>
    </row>
    <row r="20" spans="1:2" x14ac:dyDescent="0.2">
      <c r="A20" s="847">
        <v>16</v>
      </c>
      <c r="B20" s="307" t="s">
        <v>2109</v>
      </c>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Casey-Westfield CUSD 4C</v>
      </c>
    </row>
    <row r="65" spans="2:2" x14ac:dyDescent="0.2">
      <c r="B65" s="849" t="str">
        <f>COVER!A13</f>
        <v>11012004C26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5"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Document.2015" dvAspect="DVASPECT_ICON" shapeId="43009" r:id="rId4"/>
      </mc:Fallback>
    </mc:AlternateContent>
    <mc:AlternateContent xmlns:mc="http://schemas.openxmlformats.org/markup-compatibility/2006">
      <mc:Choice Requires="x14">
        <oleObject progId="Acrobat.Document.2015" dvAspect="DVASPECT_ICON" shapeId="43010" r:id="rId6">
          <objectPr defaultSize="0" r:id="rId5">
            <anchor moveWithCells="1">
              <from>
                <xdr:col>1</xdr:col>
                <xdr:colOff>1181100</xdr:colOff>
                <xdr:row>2</xdr:row>
                <xdr:rowOff>9525</xdr:rowOff>
              </from>
              <to>
                <xdr:col>1</xdr:col>
                <xdr:colOff>2095500</xdr:colOff>
                <xdr:row>6</xdr:row>
                <xdr:rowOff>47625</xdr:rowOff>
              </to>
            </anchor>
          </objectPr>
        </oleObject>
      </mc:Choice>
      <mc:Fallback>
        <oleObject progId="Acrobat.Document.2015" dvAspect="DVASPECT_ICON" shapeId="43010" r:id="rId6"/>
      </mc:Fallback>
    </mc:AlternateContent>
    <mc:AlternateContent xmlns:mc="http://schemas.openxmlformats.org/markup-compatibility/2006">
      <mc:Choice Requires="x14">
        <oleObject progId="Acrobat.Document.2015" dvAspect="DVASPECT_ICON" shapeId="43011" r:id="rId7">
          <objectPr defaultSize="0" r:id="rId5">
            <anchor moveWithCells="1">
              <from>
                <xdr:col>1</xdr:col>
                <xdr:colOff>2428875</xdr:colOff>
                <xdr:row>1</xdr:row>
                <xdr:rowOff>142875</xdr:rowOff>
              </from>
              <to>
                <xdr:col>1</xdr:col>
                <xdr:colOff>3343275</xdr:colOff>
                <xdr:row>6</xdr:row>
                <xdr:rowOff>19050</xdr:rowOff>
              </to>
            </anchor>
          </objectPr>
        </oleObject>
      </mc:Choice>
      <mc:Fallback>
        <oleObject progId="Acrobat.Document.2015" dvAspect="DVASPECT_ICON" shapeId="43011"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6319377</v>
      </c>
      <c r="C8" s="1813">
        <f>'Acct Summary 7-8'!D8</f>
        <v>1140874</v>
      </c>
      <c r="D8" s="1813">
        <f>'Acct Summary 7-8'!F8</f>
        <v>675879</v>
      </c>
      <c r="E8" s="1813">
        <f>'Acct Summary 7-8'!I8</f>
        <v>51891</v>
      </c>
      <c r="F8" s="1813">
        <f>SUM(B8:E8)</f>
        <v>8188021</v>
      </c>
    </row>
    <row r="9" spans="1:8" s="858" customFormat="1" ht="14.25" customHeight="1" thickBot="1" x14ac:dyDescent="0.25">
      <c r="A9" s="857" t="s">
        <v>1353</v>
      </c>
      <c r="B9" s="1814">
        <f>'Acct Summary 7-8'!C17</f>
        <v>6249746</v>
      </c>
      <c r="C9" s="1814">
        <f>'Acct Summary 7-8'!D17</f>
        <v>1123434</v>
      </c>
      <c r="D9" s="1814">
        <f>'Acct Summary 7-8'!F17</f>
        <v>733809</v>
      </c>
      <c r="E9" s="1813"/>
      <c r="F9" s="1813">
        <f>SUM(B9:E9)</f>
        <v>8106989</v>
      </c>
    </row>
    <row r="10" spans="1:8" s="858" customFormat="1" ht="14.25" thickTop="1" thickBot="1" x14ac:dyDescent="0.25">
      <c r="A10" s="859" t="s">
        <v>1354</v>
      </c>
      <c r="B10" s="1815">
        <f>(B8-B9)</f>
        <v>69631</v>
      </c>
      <c r="C10" s="1815">
        <f>(C8-C9)</f>
        <v>17440</v>
      </c>
      <c r="D10" s="1815">
        <f>(D8-D9)</f>
        <v>-57930</v>
      </c>
      <c r="E10" s="1814">
        <f>(E8-E9)</f>
        <v>51891</v>
      </c>
      <c r="F10" s="1816">
        <f>SUM(F8-F9)</f>
        <v>81032</v>
      </c>
    </row>
    <row r="11" spans="1:8" s="858" customFormat="1" ht="14.25" thickTop="1" thickBot="1" x14ac:dyDescent="0.25">
      <c r="A11" s="860" t="s">
        <v>1903</v>
      </c>
      <c r="B11" s="1817">
        <f>'Acct Summary 7-8'!C81</f>
        <v>1437259</v>
      </c>
      <c r="C11" s="1817">
        <f>'Acct Summary 7-8'!D81</f>
        <v>157082</v>
      </c>
      <c r="D11" s="1817">
        <f>'Acct Summary 7-8'!F81</f>
        <v>345374</v>
      </c>
      <c r="E11" s="1817">
        <f>'Acct Summary 7-8'!I81</f>
        <v>807756</v>
      </c>
      <c r="F11" s="1818">
        <f>SUM(B11:E11)</f>
        <v>2747471</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81" sqref="C8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t="str">
        <f>COVER!A13</f>
        <v>11012004C26</v>
      </c>
      <c r="E2" s="1542">
        <v>2020</v>
      </c>
      <c r="F2" s="1542">
        <v>1</v>
      </c>
      <c r="G2" s="1899">
        <v>101000300</v>
      </c>
    </row>
    <row r="3" spans="1:7" ht="15" x14ac:dyDescent="0.25">
      <c r="A3" t="s">
        <v>950</v>
      </c>
      <c r="B3" s="135" t="str">
        <f>COVER!A15</f>
        <v>Clark</v>
      </c>
      <c r="E3" s="1830" t="s">
        <v>1971</v>
      </c>
      <c r="F3" s="1830" t="s">
        <v>1970</v>
      </c>
      <c r="G3" s="1899">
        <v>101000400</v>
      </c>
    </row>
    <row r="4" spans="1:7" ht="15" x14ac:dyDescent="0.25">
      <c r="A4" t="s">
        <v>1000</v>
      </c>
      <c r="B4" s="135" t="str">
        <f>COVER!A17</f>
        <v xml:space="preserve">   Casey-Westfield CUSD 4C</v>
      </c>
      <c r="E4" s="1828">
        <v>44119</v>
      </c>
      <c r="F4" s="1829">
        <v>44151</v>
      </c>
      <c r="G4" s="1899">
        <v>101000600</v>
      </c>
    </row>
    <row r="5" spans="1:7" ht="15" x14ac:dyDescent="0.25">
      <c r="A5" t="s">
        <v>699</v>
      </c>
      <c r="B5" s="135" t="str">
        <f>COVER!A38</f>
        <v>Jon Julius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066-003998</v>
      </c>
      <c r="G15" s="1899">
        <v>402100400</v>
      </c>
    </row>
    <row r="16" spans="1:7" ht="15" x14ac:dyDescent="0.25">
      <c r="A16" t="s">
        <v>419</v>
      </c>
      <c r="B16" s="135" t="str">
        <f>COVER!T13</f>
        <v>Kemper CPA Group LLP</v>
      </c>
      <c r="G16" s="1899">
        <v>402100600</v>
      </c>
    </row>
    <row r="17" spans="1:7" ht="15" x14ac:dyDescent="0.25">
      <c r="A17" t="s">
        <v>878</v>
      </c>
      <c r="B17" s="135" t="str">
        <f>COVER!T15</f>
        <v>Brian S. Bradbury</v>
      </c>
      <c r="G17" s="1899">
        <v>402100800</v>
      </c>
    </row>
    <row r="18" spans="1:7" ht="15" x14ac:dyDescent="0.25">
      <c r="A18" t="s">
        <v>1140</v>
      </c>
      <c r="B18" s="135" t="str">
        <f>COVER!T17</f>
        <v>P.O. Box 694</v>
      </c>
      <c r="G18" s="1899">
        <v>102200300</v>
      </c>
    </row>
    <row r="19" spans="1:7" ht="15" x14ac:dyDescent="0.25">
      <c r="A19" t="s">
        <v>880</v>
      </c>
      <c r="B19" s="135" t="str">
        <f>COVER!T25</f>
        <v>bbradbury@kempercpa.com</v>
      </c>
      <c r="G19" s="1899">
        <v>102200400</v>
      </c>
    </row>
    <row r="20" spans="1:7" ht="15" x14ac:dyDescent="0.25">
      <c r="A20" t="s">
        <v>881</v>
      </c>
      <c r="B20" s="135" t="str">
        <f>COVER!T19</f>
        <v>Robinson</v>
      </c>
      <c r="G20" s="1899">
        <v>102200600</v>
      </c>
    </row>
    <row r="21" spans="1:7" ht="15" x14ac:dyDescent="0.25">
      <c r="A21" t="s">
        <v>476</v>
      </c>
      <c r="B21" s="135" t="str">
        <f>COVER!X19</f>
        <v>IL</v>
      </c>
      <c r="G21" s="1899">
        <v>102200800</v>
      </c>
    </row>
    <row r="22" spans="1:7" ht="15" x14ac:dyDescent="0.25">
      <c r="A22" t="s">
        <v>882</v>
      </c>
      <c r="B22" s="135">
        <f>COVER!Z19</f>
        <v>62454</v>
      </c>
      <c r="G22" s="1899">
        <v>102300300</v>
      </c>
    </row>
    <row r="23" spans="1:7" ht="15" x14ac:dyDescent="0.25">
      <c r="A23" t="s">
        <v>1142</v>
      </c>
      <c r="B23" s="135" t="str">
        <f>COVER!T21</f>
        <v>618-546-1502</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479664</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1448973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11714</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11714</v>
      </c>
      <c r="C91" s="2" t="s">
        <v>569</v>
      </c>
      <c r="D91" s="2" t="str">
        <f t="shared" si="0"/>
        <v>Error?</v>
      </c>
      <c r="G91" s="1899">
        <v>102640400</v>
      </c>
    </row>
    <row r="92" spans="1:7" ht="15" x14ac:dyDescent="0.25">
      <c r="A92" s="5">
        <v>31</v>
      </c>
      <c r="B92" s="1832">
        <f>'Assets-Liab 5-6'!C39</f>
        <v>1422659</v>
      </c>
      <c r="D92" s="2" t="str">
        <f t="shared" si="0"/>
        <v>Error?</v>
      </c>
      <c r="G92" s="1899">
        <v>102640600</v>
      </c>
    </row>
    <row r="93" spans="1:7" ht="15" x14ac:dyDescent="0.25">
      <c r="A93" s="5">
        <v>32</v>
      </c>
      <c r="B93" s="1832">
        <f>'Assets-Liab 5-6'!C41</f>
        <v>1448973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157747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665</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665</v>
      </c>
      <c r="C122" s="2" t="s">
        <v>569</v>
      </c>
      <c r="D122" s="2" t="str">
        <f t="shared" si="0"/>
        <v>Error?</v>
      </c>
      <c r="G122" s="1899">
        <v>203000300</v>
      </c>
    </row>
    <row r="123" spans="1:7" ht="15" x14ac:dyDescent="0.25">
      <c r="A123" s="5">
        <v>62</v>
      </c>
      <c r="B123" s="1832">
        <f>'Assets-Liab 5-6'!D39</f>
        <v>157082</v>
      </c>
      <c r="D123" s="2" t="str">
        <f t="shared" si="0"/>
        <v>Error?</v>
      </c>
      <c r="G123" s="1899">
        <v>203000400</v>
      </c>
    </row>
    <row r="124" spans="1:7" ht="15" x14ac:dyDescent="0.25">
      <c r="A124" s="5">
        <v>63</v>
      </c>
      <c r="B124" s="1832">
        <f>'Assets-Liab 5-6'!D41</f>
        <v>157747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8885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8885</v>
      </c>
      <c r="D140" s="2" t="str">
        <f t="shared" si="1"/>
        <v>Error?</v>
      </c>
    </row>
    <row r="141" spans="1:7" x14ac:dyDescent="0.2">
      <c r="A141" s="5">
        <v>80</v>
      </c>
      <c r="B141" s="1832">
        <f>'Assets-Liab 5-6'!E41</f>
        <v>8885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346047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673</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673</v>
      </c>
      <c r="C169" s="2" t="s">
        <v>569</v>
      </c>
      <c r="D169" s="2" t="str">
        <f t="shared" si="1"/>
        <v>Error?</v>
      </c>
    </row>
    <row r="170" spans="1:4" x14ac:dyDescent="0.2">
      <c r="A170" s="5">
        <v>109</v>
      </c>
      <c r="B170" s="1832">
        <f>'Assets-Liab 5-6'!F39</f>
        <v>345374</v>
      </c>
      <c r="D170" s="2" t="str">
        <f t="shared" si="1"/>
        <v>Error?</v>
      </c>
    </row>
    <row r="171" spans="1:4" x14ac:dyDescent="0.2">
      <c r="A171" s="5">
        <v>110</v>
      </c>
      <c r="B171" s="1832">
        <f>'Assets-Liab 5-6'!F41</f>
        <v>346047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107667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84605</v>
      </c>
      <c r="D189" s="2" t="str">
        <f t="shared" si="1"/>
        <v>Error?</v>
      </c>
    </row>
    <row r="190" spans="1:4" x14ac:dyDescent="0.2">
      <c r="A190" s="5">
        <v>129</v>
      </c>
      <c r="B190" s="1832">
        <f>'Assets-Liab 5-6'!G41</f>
        <v>107667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51275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1275</v>
      </c>
      <c r="D212" s="2" t="str">
        <f t="shared" si="2"/>
        <v>Error?</v>
      </c>
    </row>
    <row r="213" spans="1:4" x14ac:dyDescent="0.2">
      <c r="A213" s="12">
        <v>152</v>
      </c>
      <c r="B213" s="1832">
        <f>'Assets-Liab 5-6'!H41</f>
        <v>51275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212469</v>
      </c>
      <c r="D273" s="2" t="str">
        <f t="shared" si="3"/>
        <v>Error?</v>
      </c>
    </row>
    <row r="274" spans="1:4" x14ac:dyDescent="0.2">
      <c r="A274" s="5">
        <v>213</v>
      </c>
      <c r="B274" s="1832">
        <f>'Assets-Liab 5-6'!M17</f>
        <v>20647575</v>
      </c>
      <c r="D274" s="2" t="str">
        <f t="shared" si="3"/>
        <v>Error?</v>
      </c>
    </row>
    <row r="275" spans="1:4" x14ac:dyDescent="0.2">
      <c r="A275" s="5">
        <v>214</v>
      </c>
      <c r="B275" s="1832">
        <f>'Assets-Liab 5-6'!M18</f>
        <v>1095848</v>
      </c>
      <c r="D275" s="2" t="str">
        <f t="shared" si="3"/>
        <v>Error?</v>
      </c>
    </row>
    <row r="276" spans="1:4" x14ac:dyDescent="0.2">
      <c r="A276" s="5">
        <v>215</v>
      </c>
      <c r="B276" s="1832">
        <f>'Assets-Liab 5-6'!M19</f>
        <v>2595729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24560581</v>
      </c>
      <c r="C279" s="2" t="s">
        <v>569</v>
      </c>
      <c r="D279" s="2" t="str">
        <f t="shared" si="3"/>
        <v>Error?</v>
      </c>
    </row>
    <row r="280" spans="1:4" x14ac:dyDescent="0.2">
      <c r="A280" s="5">
        <v>219</v>
      </c>
      <c r="B280" s="1832">
        <f>'Assets-Liab 5-6'!M40</f>
        <v>24560581</v>
      </c>
      <c r="D280" s="2" t="str">
        <f t="shared" si="3"/>
        <v>Error?</v>
      </c>
    </row>
    <row r="281" spans="1:4" x14ac:dyDescent="0.2">
      <c r="A281" s="5">
        <v>220</v>
      </c>
      <c r="B281" s="1832">
        <f>'Assets-Liab 5-6'!M41</f>
        <v>24560581</v>
      </c>
      <c r="C281" s="2" t="s">
        <v>569</v>
      </c>
      <c r="D281" s="2" t="str">
        <f t="shared" si="3"/>
        <v>Error?</v>
      </c>
    </row>
    <row r="282" spans="1:4" x14ac:dyDescent="0.2">
      <c r="A282" s="5">
        <v>221</v>
      </c>
      <c r="B282" s="1832">
        <f>'Assets-Liab 5-6'!N21</f>
        <v>8885</v>
      </c>
      <c r="D282" s="2" t="str">
        <f t="shared" si="3"/>
        <v>Error?</v>
      </c>
    </row>
    <row r="283" spans="1:4" x14ac:dyDescent="0.2">
      <c r="A283" s="5">
        <v>222</v>
      </c>
      <c r="B283" s="1832">
        <f>'Assets-Liab 5-6'!N22</f>
        <v>4816899</v>
      </c>
      <c r="D283" s="2" t="str">
        <f t="shared" si="3"/>
        <v>Error?</v>
      </c>
    </row>
    <row r="284" spans="1:4" x14ac:dyDescent="0.2">
      <c r="A284" s="5">
        <v>223</v>
      </c>
      <c r="B284" s="1832">
        <f>'Assets-Liab 5-6'!N23</f>
        <v>4825784</v>
      </c>
      <c r="C284" s="2" t="s">
        <v>569</v>
      </c>
      <c r="D284" s="2" t="str">
        <f t="shared" si="3"/>
        <v>Error?</v>
      </c>
    </row>
    <row r="285" spans="1:4" x14ac:dyDescent="0.2">
      <c r="A285" s="5">
        <v>224</v>
      </c>
      <c r="B285" s="1832">
        <f>'Assets-Liab 5-6'!N36</f>
        <v>4825784</v>
      </c>
      <c r="D285" s="2" t="str">
        <f t="shared" si="3"/>
        <v>Error?</v>
      </c>
    </row>
    <row r="286" spans="1:4" x14ac:dyDescent="0.2">
      <c r="A286" s="10">
        <v>225</v>
      </c>
      <c r="B286" s="1832"/>
      <c r="D286" s="2" t="str">
        <f t="shared" si="3"/>
        <v>OK</v>
      </c>
    </row>
    <row r="287" spans="1:4" x14ac:dyDescent="0.2">
      <c r="A287" s="5">
        <v>226</v>
      </c>
      <c r="B287" s="1832">
        <f>'Assets-Liab 5-6'!N37</f>
        <v>4825784</v>
      </c>
      <c r="C287" s="2" t="s">
        <v>569</v>
      </c>
      <c r="D287" s="2" t="str">
        <f t="shared" si="3"/>
        <v>Error?</v>
      </c>
    </row>
    <row r="288" spans="1:4" x14ac:dyDescent="0.2">
      <c r="A288" s="5">
        <v>227</v>
      </c>
      <c r="B288" s="1832">
        <f>'Assets-Liab 5-6'!N41</f>
        <v>4825784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2115007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195907</v>
      </c>
      <c r="D717" s="2" t="str">
        <f t="shared" si="10"/>
        <v>Error?</v>
      </c>
    </row>
    <row r="718" spans="1:4" x14ac:dyDescent="0.2">
      <c r="A718" s="5">
        <v>657</v>
      </c>
      <c r="B718" s="1832">
        <f>'Expenditures 15-22'!C14</f>
        <v>127463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3269803</v>
      </c>
      <c r="C720" s="2" t="s">
        <v>569</v>
      </c>
      <c r="D720" s="2" t="str">
        <f t="shared" si="10"/>
        <v>Error?</v>
      </c>
    </row>
    <row r="721" spans="1:4" x14ac:dyDescent="0.2">
      <c r="A721" s="5">
        <v>660</v>
      </c>
      <c r="B721" s="1832">
        <f>'Expenditures 15-22'!C36</f>
        <v>43180</v>
      </c>
      <c r="D721" s="2" t="str">
        <f t="shared" si="10"/>
        <v>Error?</v>
      </c>
    </row>
    <row r="722" spans="1:4" x14ac:dyDescent="0.2">
      <c r="A722" s="5">
        <v>661</v>
      </c>
      <c r="B722" s="1832">
        <f>'Expenditures 15-22'!C37</f>
        <v>121847</v>
      </c>
      <c r="D722" s="2" t="str">
        <f t="shared" si="10"/>
        <v>Error?</v>
      </c>
    </row>
    <row r="723" spans="1:4" x14ac:dyDescent="0.2">
      <c r="A723" s="5">
        <v>662</v>
      </c>
      <c r="B723" s="1832">
        <f>'Expenditures 15-22'!C38</f>
        <v>33621</v>
      </c>
      <c r="D723" s="2" t="str">
        <f t="shared" si="10"/>
        <v>Error?</v>
      </c>
    </row>
    <row r="724" spans="1:4" x14ac:dyDescent="0.2">
      <c r="A724" s="5">
        <v>663</v>
      </c>
      <c r="B724" s="1832">
        <f>'Expenditures 15-22'!C39</f>
        <v>65804</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3400</v>
      </c>
      <c r="D726" s="2" t="str">
        <f t="shared" si="10"/>
        <v>Error?</v>
      </c>
    </row>
    <row r="727" spans="1:4" x14ac:dyDescent="0.2">
      <c r="A727" s="5">
        <v>666</v>
      </c>
      <c r="B727" s="1832">
        <f>'Expenditures 15-22'!C42</f>
        <v>267852</v>
      </c>
      <c r="C727" s="2" t="s">
        <v>569</v>
      </c>
      <c r="D727" s="2" t="str">
        <f t="shared" si="10"/>
        <v>Error?</v>
      </c>
    </row>
    <row r="728" spans="1:4" x14ac:dyDescent="0.2">
      <c r="A728" s="5">
        <v>667</v>
      </c>
      <c r="B728" s="1832">
        <f>'Expenditures 15-22'!C44</f>
        <v>41915</v>
      </c>
      <c r="D728" s="2" t="str">
        <f t="shared" si="10"/>
        <v>Error?</v>
      </c>
    </row>
    <row r="729" spans="1:4" x14ac:dyDescent="0.2">
      <c r="A729" s="5">
        <v>668</v>
      </c>
      <c r="B729" s="1832">
        <f>'Expenditures 15-22'!C45</f>
        <v>121170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163085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116832</v>
      </c>
      <c r="D733" s="2" t="str">
        <f t="shared" si="10"/>
        <v>Error?</v>
      </c>
    </row>
    <row r="734" spans="1:4" x14ac:dyDescent="0.2">
      <c r="A734" s="5">
        <v>673</v>
      </c>
      <c r="B734" s="1832">
        <f>'Expenditures 15-22'!C53</f>
        <v>116832</v>
      </c>
      <c r="C734" s="2" t="s">
        <v>569</v>
      </c>
      <c r="D734" s="2" t="str">
        <f t="shared" si="10"/>
        <v>Error?</v>
      </c>
    </row>
    <row r="735" spans="1:4" x14ac:dyDescent="0.2">
      <c r="A735" s="5">
        <v>674</v>
      </c>
      <c r="B735" s="1832">
        <f>'Expenditures 15-22'!C55</f>
        <v>436926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436926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65427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153671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219098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1203793</v>
      </c>
      <c r="C755" s="2" t="s">
        <v>569</v>
      </c>
      <c r="D755" s="2" t="str">
        <f t="shared" si="10"/>
        <v>Error?</v>
      </c>
    </row>
    <row r="756" spans="1:4" x14ac:dyDescent="0.2">
      <c r="A756" s="5">
        <v>695</v>
      </c>
      <c r="B756" s="1832">
        <f>'Expenditures 15-22'!C75</f>
        <v>10051</v>
      </c>
      <c r="D756" s="2" t="str">
        <f t="shared" si="10"/>
        <v>Error?</v>
      </c>
    </row>
    <row r="757" spans="1:4" x14ac:dyDescent="0.2">
      <c r="A757" s="5">
        <v>696</v>
      </c>
      <c r="B757" s="1832">
        <f>'Expenditures 15-22'!C114</f>
        <v>4483647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437311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33763</v>
      </c>
      <c r="D775" s="2" t="str">
        <f t="shared" si="11"/>
        <v>Error?</v>
      </c>
    </row>
    <row r="776" spans="1:4" x14ac:dyDescent="0.2">
      <c r="A776" s="5">
        <v>715</v>
      </c>
      <c r="B776" s="1832">
        <f>'Expenditures 15-22'!D14</f>
        <v>6545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632962</v>
      </c>
      <c r="C778" s="2" t="s">
        <v>569</v>
      </c>
      <c r="D778" s="2" t="str">
        <f t="shared" si="11"/>
        <v>Error?</v>
      </c>
    </row>
    <row r="779" spans="1:4" x14ac:dyDescent="0.2">
      <c r="A779" s="5">
        <v>718</v>
      </c>
      <c r="B779" s="1832">
        <f>'Expenditures 15-22'!D36</f>
        <v>1201</v>
      </c>
      <c r="D779" s="2" t="str">
        <f t="shared" si="11"/>
        <v>Error?</v>
      </c>
    </row>
    <row r="780" spans="1:4" x14ac:dyDescent="0.2">
      <c r="A780" s="5">
        <v>719</v>
      </c>
      <c r="B780" s="1832">
        <f>'Expenditures 15-22'!D37</f>
        <v>17997</v>
      </c>
      <c r="D780" s="2" t="str">
        <f t="shared" si="11"/>
        <v>Error?</v>
      </c>
    </row>
    <row r="781" spans="1:4" x14ac:dyDescent="0.2">
      <c r="A781" s="5">
        <v>720</v>
      </c>
      <c r="B781" s="1832">
        <f>'Expenditures 15-22'!D38</f>
        <v>10831</v>
      </c>
      <c r="D781" s="2" t="str">
        <f t="shared" si="11"/>
        <v>Error?</v>
      </c>
    </row>
    <row r="782" spans="1:4" x14ac:dyDescent="0.2">
      <c r="A782" s="5">
        <v>721</v>
      </c>
      <c r="B782" s="1832">
        <f>'Expenditures 15-22'!D39</f>
        <v>6984</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37013</v>
      </c>
      <c r="C785" s="2" t="s">
        <v>569</v>
      </c>
      <c r="D785" s="2" t="str">
        <f t="shared" si="11"/>
        <v>Error?</v>
      </c>
    </row>
    <row r="786" spans="1:4" x14ac:dyDescent="0.2">
      <c r="A786" s="5">
        <v>725</v>
      </c>
      <c r="B786" s="1832">
        <f>'Expenditures 15-22'!D44</f>
        <v>4883</v>
      </c>
      <c r="D786" s="2" t="str">
        <f t="shared" si="11"/>
        <v>Error?</v>
      </c>
    </row>
    <row r="787" spans="1:4" x14ac:dyDescent="0.2">
      <c r="A787" s="5">
        <v>726</v>
      </c>
      <c r="B787" s="1832">
        <f>'Expenditures 15-22'!D45</f>
        <v>15329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20212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18786</v>
      </c>
      <c r="D791" s="2" t="str">
        <f t="shared" si="11"/>
        <v>Error?</v>
      </c>
    </row>
    <row r="792" spans="1:4" x14ac:dyDescent="0.2">
      <c r="A792" s="5">
        <v>731</v>
      </c>
      <c r="B792" s="1832">
        <f>'Expenditures 15-22'!D53</f>
        <v>18786</v>
      </c>
      <c r="C792" s="2" t="s">
        <v>569</v>
      </c>
      <c r="D792" s="2" t="str">
        <f t="shared" si="11"/>
        <v>Error?</v>
      </c>
    </row>
    <row r="793" spans="1:4" x14ac:dyDescent="0.2">
      <c r="A793" s="5">
        <v>732</v>
      </c>
      <c r="B793" s="1832">
        <f>'Expenditures 15-22'!D55</f>
        <v>58161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58161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21168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21192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155364</v>
      </c>
      <c r="C813" s="2" t="s">
        <v>569</v>
      </c>
      <c r="D813" s="2" t="str">
        <f t="shared" si="11"/>
        <v>Error?</v>
      </c>
    </row>
    <row r="814" spans="1:4" x14ac:dyDescent="0.2">
      <c r="A814" s="5">
        <v>753</v>
      </c>
      <c r="B814" s="1832">
        <f>'Expenditures 15-22'!D75</f>
        <v>860</v>
      </c>
      <c r="D814" s="2" t="str">
        <f t="shared" si="11"/>
        <v>Error?</v>
      </c>
    </row>
    <row r="815" spans="1:4" x14ac:dyDescent="0.2">
      <c r="A815" s="5">
        <v>754</v>
      </c>
      <c r="B815" s="1832">
        <f>'Expenditures 15-22'!D114</f>
        <v>789186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96073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16444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112517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1137</v>
      </c>
      <c r="D839" s="2" t="str">
        <f t="shared" si="12"/>
        <v>Error?</v>
      </c>
    </row>
    <row r="840" spans="1:4" x14ac:dyDescent="0.2">
      <c r="A840" s="5">
        <v>779</v>
      </c>
      <c r="B840" s="1832">
        <f>'Expenditures 15-22'!E39</f>
        <v>1074</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9900</v>
      </c>
      <c r="D842" s="2" t="str">
        <f t="shared" si="12"/>
        <v>Error?</v>
      </c>
    </row>
    <row r="843" spans="1:4" x14ac:dyDescent="0.2">
      <c r="A843" s="5">
        <v>782</v>
      </c>
      <c r="B843" s="1832">
        <f>'Expenditures 15-22'!E42</f>
        <v>12111</v>
      </c>
      <c r="C843" s="2" t="s">
        <v>569</v>
      </c>
      <c r="D843" s="2" t="str">
        <f t="shared" si="12"/>
        <v>Error?</v>
      </c>
    </row>
    <row r="844" spans="1:4" x14ac:dyDescent="0.2">
      <c r="A844" s="5">
        <v>783</v>
      </c>
      <c r="B844" s="1832">
        <f>'Expenditures 15-22'!E44</f>
        <v>11775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11775</v>
      </c>
      <c r="C847" s="2" t="s">
        <v>569</v>
      </c>
      <c r="D847" s="2" t="str">
        <f t="shared" si="12"/>
        <v>Error?</v>
      </c>
    </row>
    <row r="848" spans="1:4" x14ac:dyDescent="0.2">
      <c r="A848" s="5">
        <v>787</v>
      </c>
      <c r="B848" s="1832">
        <f>'Expenditures 15-22'!E49</f>
        <v>26175</v>
      </c>
      <c r="D848" s="2" t="str">
        <f t="shared" si="12"/>
        <v>Error?</v>
      </c>
    </row>
    <row r="849" spans="1:4" x14ac:dyDescent="0.2">
      <c r="A849" s="5">
        <v>788</v>
      </c>
      <c r="B849" s="1832">
        <f>'Expenditures 15-22'!E50</f>
        <v>673</v>
      </c>
      <c r="D849" s="2" t="str">
        <f t="shared" si="12"/>
        <v>Error?</v>
      </c>
    </row>
    <row r="850" spans="1:4" x14ac:dyDescent="0.2">
      <c r="A850" s="5">
        <v>789</v>
      </c>
      <c r="B850" s="1832">
        <f>'Expenditures 15-22'!E53</f>
        <v>26848</v>
      </c>
      <c r="C850" s="2" t="s">
        <v>569</v>
      </c>
      <c r="D850" s="2" t="str">
        <f t="shared" si="12"/>
        <v>Error?</v>
      </c>
    </row>
    <row r="851" spans="1:4" x14ac:dyDescent="0.2">
      <c r="A851" s="5">
        <v>790</v>
      </c>
      <c r="B851" s="1832">
        <f>'Expenditures 15-22'!E55</f>
        <v>1101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1101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3621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146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3767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55602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190789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211865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2556</v>
      </c>
      <c r="D891" s="2" t="str">
        <f t="shared" si="12"/>
        <v>Error?</v>
      </c>
    </row>
    <row r="892" spans="1:4" x14ac:dyDescent="0.2">
      <c r="A892" s="5">
        <v>831</v>
      </c>
      <c r="B892" s="1832">
        <f>'Expenditures 15-22'!F14</f>
        <v>3406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221934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4276</v>
      </c>
      <c r="D897" s="2" t="str">
        <f t="shared" si="13"/>
        <v>Error?</v>
      </c>
    </row>
    <row r="898" spans="1:4" x14ac:dyDescent="0.2">
      <c r="A898" s="5">
        <v>837</v>
      </c>
      <c r="B898" s="1832">
        <f>'Expenditures 15-22'!F39</f>
        <v>1413</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5689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2450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2450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2970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274901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277871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286010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507944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61568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2865</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64433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1360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1360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1360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65793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63464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1273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1273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6327</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6327</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7600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141323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212387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2921824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235091</v>
      </c>
      <c r="C1105" s="2" t="s">
        <v>569</v>
      </c>
      <c r="D1105" s="2" t="str">
        <f t="shared" si="16"/>
        <v>Error?</v>
      </c>
    </row>
    <row r="1106" spans="1:4" x14ac:dyDescent="0.2">
      <c r="A1106" s="5">
        <v>1045</v>
      </c>
      <c r="B1106" s="1832">
        <f>'Expenditures 15-22'!K14</f>
        <v>153858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4365113</v>
      </c>
      <c r="C1108" s="2" t="s">
        <v>569</v>
      </c>
      <c r="D1108" s="2" t="str">
        <f t="shared" si="16"/>
        <v>Error?</v>
      </c>
    </row>
    <row r="1109" spans="1:4" x14ac:dyDescent="0.2">
      <c r="A1109" s="5">
        <v>1048</v>
      </c>
      <c r="B1109" s="1832">
        <f>'Expenditures 15-22'!K36</f>
        <v>44381</v>
      </c>
      <c r="C1109" s="2" t="s">
        <v>569</v>
      </c>
      <c r="D1109" s="2" t="str">
        <f t="shared" si="16"/>
        <v>Error?</v>
      </c>
    </row>
    <row r="1110" spans="1:4" x14ac:dyDescent="0.2">
      <c r="A1110" s="5">
        <v>1049</v>
      </c>
      <c r="B1110" s="1832">
        <f>'Expenditures 15-22'!K37</f>
        <v>139844</v>
      </c>
      <c r="C1110" s="2" t="s">
        <v>569</v>
      </c>
      <c r="D1110" s="2" t="str">
        <f t="shared" si="16"/>
        <v>Error?</v>
      </c>
    </row>
    <row r="1111" spans="1:4" x14ac:dyDescent="0.2">
      <c r="A1111" s="5">
        <v>1050</v>
      </c>
      <c r="B1111" s="1832">
        <f>'Expenditures 15-22'!K38</f>
        <v>49865</v>
      </c>
      <c r="C1111" s="2" t="s">
        <v>569</v>
      </c>
      <c r="D1111" s="2" t="str">
        <f t="shared" si="16"/>
        <v>Error?</v>
      </c>
    </row>
    <row r="1112" spans="1:4" x14ac:dyDescent="0.2">
      <c r="A1112" s="5">
        <v>1051</v>
      </c>
      <c r="B1112" s="1832">
        <f>'Expenditures 15-22'!K39</f>
        <v>75275</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13300</v>
      </c>
      <c r="C1114" s="2" t="s">
        <v>569</v>
      </c>
      <c r="D1114" s="2" t="str">
        <f t="shared" si="16"/>
        <v>Error?</v>
      </c>
    </row>
    <row r="1115" spans="1:4" x14ac:dyDescent="0.2">
      <c r="A1115" s="5">
        <v>1054</v>
      </c>
      <c r="B1115" s="1832">
        <f>'Expenditures 15-22'!K42</f>
        <v>322665</v>
      </c>
      <c r="C1115" s="2" t="s">
        <v>569</v>
      </c>
      <c r="D1115" s="2" t="str">
        <f t="shared" si="16"/>
        <v>Error?</v>
      </c>
    </row>
    <row r="1116" spans="1:4" x14ac:dyDescent="0.2">
      <c r="A1116" s="5">
        <v>1055</v>
      </c>
      <c r="B1116" s="1832">
        <f>'Expenditures 15-22'!K44</f>
        <v>58573</v>
      </c>
      <c r="C1116" s="2" t="s">
        <v>569</v>
      </c>
      <c r="D1116" s="2" t="str">
        <f t="shared" si="16"/>
        <v>Error?</v>
      </c>
    </row>
    <row r="1117" spans="1:4" x14ac:dyDescent="0.2">
      <c r="A1117" s="5">
        <v>1056</v>
      </c>
      <c r="B1117" s="1832">
        <f>'Expenditures 15-22'!K45</f>
        <v>138949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197522</v>
      </c>
      <c r="C1119" s="2" t="s">
        <v>569</v>
      </c>
      <c r="D1119" s="2" t="str">
        <f t="shared" si="16"/>
        <v>Error?</v>
      </c>
    </row>
    <row r="1120" spans="1:4" x14ac:dyDescent="0.2">
      <c r="A1120" s="5">
        <v>1059</v>
      </c>
      <c r="B1120" s="1832">
        <f>'Expenditures 15-22'!K49</f>
        <v>26175</v>
      </c>
      <c r="C1120" s="2" t="s">
        <v>569</v>
      </c>
      <c r="D1120" s="2" t="str">
        <f t="shared" si="16"/>
        <v>Error?</v>
      </c>
    </row>
    <row r="1121" spans="1:4" x14ac:dyDescent="0.2">
      <c r="A1121" s="5">
        <v>1060</v>
      </c>
      <c r="B1121" s="1832">
        <f>'Expenditures 15-22'!K50</f>
        <v>136291</v>
      </c>
      <c r="C1121" s="2" t="s">
        <v>569</v>
      </c>
      <c r="D1121" s="2" t="str">
        <f t="shared" si="16"/>
        <v>Error?</v>
      </c>
    </row>
    <row r="1122" spans="1:4" x14ac:dyDescent="0.2">
      <c r="A1122" s="5">
        <v>1061</v>
      </c>
      <c r="B1122" s="1832">
        <f>'Expenditures 15-22'!K53</f>
        <v>162466</v>
      </c>
      <c r="C1122" s="2" t="s">
        <v>569</v>
      </c>
      <c r="D1122" s="2" t="str">
        <f t="shared" si="16"/>
        <v>Error?</v>
      </c>
    </row>
    <row r="1123" spans="1:4" x14ac:dyDescent="0.2">
      <c r="A1123" s="5">
        <v>1062</v>
      </c>
      <c r="B1123" s="1832">
        <f>'Expenditures 15-22'!K55</f>
        <v>497461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497461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78369</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451246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529615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1709729</v>
      </c>
      <c r="C1143" s="2" t="s">
        <v>569</v>
      </c>
      <c r="D1143" s="2" t="str">
        <f t="shared" si="16"/>
        <v>Error?</v>
      </c>
    </row>
    <row r="1144" spans="1:4" x14ac:dyDescent="0.2">
      <c r="A1144" s="5">
        <v>1083</v>
      </c>
      <c r="B1144" s="1832">
        <f>'Expenditures 15-22'!K75</f>
        <v>10911</v>
      </c>
      <c r="C1144" s="2" t="s">
        <v>569</v>
      </c>
      <c r="D1144" s="2" t="str">
        <f t="shared" si="16"/>
        <v>Error?</v>
      </c>
    </row>
    <row r="1145" spans="1:4" x14ac:dyDescent="0.2">
      <c r="A1145" s="5">
        <v>1084</v>
      </c>
      <c r="B1145" s="1832">
        <f>'Expenditures 15-22'!K102</f>
        <v>163993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6249746</v>
      </c>
      <c r="C1152" s="2" t="s">
        <v>569</v>
      </c>
      <c r="D1152" s="2" t="str">
        <f t="shared" si="17"/>
        <v>Error?</v>
      </c>
    </row>
    <row r="1153" spans="1:4" x14ac:dyDescent="0.2">
      <c r="A1153" s="5">
        <v>1092</v>
      </c>
      <c r="B1153" s="1832">
        <f>'Expenditures 15-22'!K115</f>
        <v>69631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328189</v>
      </c>
      <c r="D1221" s="2" t="str">
        <f t="shared" si="18"/>
        <v>Error?</v>
      </c>
    </row>
    <row r="1222" spans="1:4" x14ac:dyDescent="0.2">
      <c r="A1222" s="10">
        <v>1161</v>
      </c>
      <c r="B1222" s="1832"/>
      <c r="D1222" s="2" t="str">
        <f t="shared" si="18"/>
        <v>OK</v>
      </c>
    </row>
    <row r="1223" spans="1:4" x14ac:dyDescent="0.2">
      <c r="A1223" s="5">
        <v>1162</v>
      </c>
      <c r="B1223" s="1832">
        <f>'Expenditures 15-22'!C127</f>
        <v>328189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328189</v>
      </c>
      <c r="C1225" s="2" t="s">
        <v>569</v>
      </c>
      <c r="D1225" s="2" t="str">
        <f t="shared" si="18"/>
        <v>Error?</v>
      </c>
    </row>
    <row r="1226" spans="1:4" x14ac:dyDescent="0.2">
      <c r="A1226" s="5">
        <v>1165</v>
      </c>
      <c r="B1226" s="1832">
        <f>'Expenditures 15-22'!C151</f>
        <v>328189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29522</v>
      </c>
      <c r="D1229" s="2" t="str">
        <f t="shared" si="18"/>
        <v>Error?</v>
      </c>
    </row>
    <row r="1230" spans="1:4" x14ac:dyDescent="0.2">
      <c r="A1230" s="10">
        <v>1169</v>
      </c>
      <c r="B1230" s="1832"/>
      <c r="D1230" s="2" t="str">
        <f t="shared" si="18"/>
        <v>OK</v>
      </c>
    </row>
    <row r="1231" spans="1:4" x14ac:dyDescent="0.2">
      <c r="A1231" s="5">
        <v>1170</v>
      </c>
      <c r="B1231" s="1832">
        <f>'Expenditures 15-22'!D127</f>
        <v>29522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29522</v>
      </c>
      <c r="C1233" s="2" t="s">
        <v>569</v>
      </c>
      <c r="D1233" s="2" t="str">
        <f t="shared" si="18"/>
        <v>Error?</v>
      </c>
    </row>
    <row r="1234" spans="1:4" x14ac:dyDescent="0.2">
      <c r="A1234" s="5">
        <v>1173</v>
      </c>
      <c r="B1234" s="1832">
        <f>'Expenditures 15-22'!D151</f>
        <v>29522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137706</v>
      </c>
      <c r="D1237" s="2" t="str">
        <f t="shared" si="18"/>
        <v>Error?</v>
      </c>
    </row>
    <row r="1238" spans="1:4" x14ac:dyDescent="0.2">
      <c r="A1238" s="10">
        <v>1177</v>
      </c>
      <c r="B1238" s="1832"/>
      <c r="D1238" s="2" t="str">
        <f t="shared" si="18"/>
        <v>OK</v>
      </c>
    </row>
    <row r="1239" spans="1:4" x14ac:dyDescent="0.2">
      <c r="A1239" s="5">
        <v>1178</v>
      </c>
      <c r="B1239" s="1832">
        <f>'Expenditures 15-22'!E127</f>
        <v>137706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137706</v>
      </c>
      <c r="C1241" s="2" t="s">
        <v>569</v>
      </c>
      <c r="D1241" s="2" t="str">
        <f t="shared" si="18"/>
        <v>Error?</v>
      </c>
    </row>
    <row r="1242" spans="1:4" x14ac:dyDescent="0.2">
      <c r="A1242" s="5">
        <v>1181</v>
      </c>
      <c r="B1242" s="1832">
        <f>'Expenditures 15-22'!E151</f>
        <v>137706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428465</v>
      </c>
      <c r="D1245" s="2" t="str">
        <f t="shared" si="18"/>
        <v>Error?</v>
      </c>
    </row>
    <row r="1246" spans="1:4" x14ac:dyDescent="0.2">
      <c r="A1246" s="10">
        <v>1185</v>
      </c>
      <c r="B1246" s="1832"/>
      <c r="D1246" s="2" t="str">
        <f t="shared" si="18"/>
        <v>OK</v>
      </c>
    </row>
    <row r="1247" spans="1:4" x14ac:dyDescent="0.2">
      <c r="A1247" s="5">
        <v>1186</v>
      </c>
      <c r="B1247" s="1832">
        <f>'Expenditures 15-22'!F127</f>
        <v>428465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428465</v>
      </c>
      <c r="C1249" s="2" t="s">
        <v>569</v>
      </c>
      <c r="D1249" s="2" t="str">
        <f t="shared" si="18"/>
        <v>Error?</v>
      </c>
    </row>
    <row r="1250" spans="1:4" x14ac:dyDescent="0.2">
      <c r="A1250" s="5">
        <v>1189</v>
      </c>
      <c r="B1250" s="1832">
        <f>'Expenditures 15-22'!F151</f>
        <v>428465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52838</v>
      </c>
      <c r="D1252" s="2" t="str">
        <f t="shared" si="18"/>
        <v>Error?</v>
      </c>
    </row>
    <row r="1253" spans="1:4" x14ac:dyDescent="0.2">
      <c r="A1253" s="5">
        <v>1192</v>
      </c>
      <c r="B1253" s="1832">
        <f>'Expenditures 15-22'!G124</f>
        <v>146714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199552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199552</v>
      </c>
      <c r="C1258" s="2" t="s">
        <v>569</v>
      </c>
      <c r="D1258" s="2" t="str">
        <f t="shared" si="18"/>
        <v>Error?</v>
      </c>
    </row>
    <row r="1259" spans="1:4" x14ac:dyDescent="0.2">
      <c r="A1259" s="5">
        <v>1198</v>
      </c>
      <c r="B1259" s="1832">
        <f>'Expenditures 15-22'!G151</f>
        <v>199552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52838</v>
      </c>
      <c r="C1275" s="2" t="s">
        <v>569</v>
      </c>
      <c r="D1275" s="2" t="str">
        <f t="shared" si="18"/>
        <v>Error?</v>
      </c>
    </row>
    <row r="1276" spans="1:4" x14ac:dyDescent="0.2">
      <c r="A1276" s="5">
        <v>1215</v>
      </c>
      <c r="B1276" s="1832">
        <f>'Expenditures 15-22'!K124</f>
        <v>1070596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1123434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1123434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1123434</v>
      </c>
      <c r="C1288" s="2" t="s">
        <v>569</v>
      </c>
      <c r="D1288" s="2" t="str">
        <f t="shared" si="19"/>
        <v>Error?</v>
      </c>
    </row>
    <row r="1289" spans="1:4" x14ac:dyDescent="0.2">
      <c r="A1289" s="5">
        <v>1228</v>
      </c>
      <c r="B1289" s="1832">
        <f>'Expenditures 15-22'!K152</f>
        <v>17440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155458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596012</v>
      </c>
      <c r="D1315" s="2" t="str">
        <f t="shared" si="19"/>
        <v>Error?</v>
      </c>
    </row>
    <row r="1316" spans="1:4" x14ac:dyDescent="0.2">
      <c r="A1316" s="5">
        <v>1255</v>
      </c>
      <c r="B1316" s="1832">
        <f>'Expenditures 15-22'!H171</f>
        <v>1400</v>
      </c>
      <c r="D1316" s="2" t="str">
        <f t="shared" si="19"/>
        <v>Error?</v>
      </c>
    </row>
    <row r="1317" spans="1:4" x14ac:dyDescent="0.2">
      <c r="A1317" s="5">
        <v>1256</v>
      </c>
      <c r="B1317" s="1832">
        <f>'Expenditures 15-22'!H172</f>
        <v>752870</v>
      </c>
      <c r="C1317" s="2" t="s">
        <v>569</v>
      </c>
      <c r="D1317" s="2" t="str">
        <f t="shared" si="19"/>
        <v>Error?</v>
      </c>
    </row>
    <row r="1318" spans="1:4" x14ac:dyDescent="0.2">
      <c r="A1318" s="5">
        <v>1257</v>
      </c>
      <c r="B1318" s="1832">
        <f>'Expenditures 15-22'!H174</f>
        <v>752870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155458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596012</v>
      </c>
      <c r="C1329" s="2" t="s">
        <v>569</v>
      </c>
      <c r="D1329" s="2" t="str">
        <f t="shared" si="19"/>
        <v>Error?</v>
      </c>
    </row>
    <row r="1330" spans="1:4" x14ac:dyDescent="0.2">
      <c r="A1330" s="5">
        <v>1269</v>
      </c>
      <c r="B1330" s="1832">
        <f>'Expenditures 15-22'!K171</f>
        <v>1400</v>
      </c>
      <c r="C1330" s="2" t="s">
        <v>569</v>
      </c>
      <c r="D1330" s="2" t="str">
        <f t="shared" si="19"/>
        <v>Error?</v>
      </c>
    </row>
    <row r="1331" spans="1:4" x14ac:dyDescent="0.2">
      <c r="A1331" s="5">
        <v>1270</v>
      </c>
      <c r="B1331" s="1832">
        <f>'Expenditures 15-22'!K172</f>
        <v>752870</v>
      </c>
      <c r="C1331" s="2" t="s">
        <v>569</v>
      </c>
      <c r="D1331" s="2" t="str">
        <f t="shared" si="19"/>
        <v>Error?</v>
      </c>
    </row>
    <row r="1332" spans="1:4" x14ac:dyDescent="0.2">
      <c r="A1332" s="5">
        <v>1271</v>
      </c>
      <c r="B1332" s="1832">
        <f>'Expenditures 15-22'!K174</f>
        <v>752870</v>
      </c>
      <c r="C1332" s="2" t="s">
        <v>569</v>
      </c>
      <c r="D1332" s="2" t="str">
        <f t="shared" si="19"/>
        <v>Error?</v>
      </c>
    </row>
    <row r="1333" spans="1:4" x14ac:dyDescent="0.2">
      <c r="A1333" s="5">
        <v>1272</v>
      </c>
      <c r="B1333" s="1832">
        <f>'Expenditures 15-22'!K175</f>
        <v>2739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326289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326289</v>
      </c>
      <c r="C1339" s="2" t="s">
        <v>569</v>
      </c>
      <c r="D1339" s="2" t="str">
        <f t="shared" si="19"/>
        <v>Error?</v>
      </c>
    </row>
    <row r="1340" spans="1:4" x14ac:dyDescent="0.2">
      <c r="A1340" s="5">
        <v>1279</v>
      </c>
      <c r="B1340" s="1832">
        <f>'Expenditures 15-22'!C210</f>
        <v>326289</v>
      </c>
      <c r="C1340" s="2" t="s">
        <v>569</v>
      </c>
      <c r="D1340" s="2" t="str">
        <f t="shared" si="19"/>
        <v>Error?</v>
      </c>
    </row>
    <row r="1341" spans="1:4" x14ac:dyDescent="0.2">
      <c r="A1341" s="5">
        <v>1280</v>
      </c>
      <c r="B1341" s="1832">
        <f>'Expenditures 15-22'!D182</f>
        <v>31659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31659</v>
      </c>
      <c r="C1345" s="2" t="s">
        <v>569</v>
      </c>
      <c r="D1345" s="2" t="str">
        <f t="shared" si="20"/>
        <v>Error?</v>
      </c>
    </row>
    <row r="1346" spans="1:4" x14ac:dyDescent="0.2">
      <c r="A1346" s="5">
        <v>1285</v>
      </c>
      <c r="B1346" s="1832">
        <f>'Expenditures 15-22'!D210</f>
        <v>31659</v>
      </c>
      <c r="C1346" s="2" t="s">
        <v>569</v>
      </c>
      <c r="D1346" s="2" t="str">
        <f t="shared" si="20"/>
        <v>Error?</v>
      </c>
    </row>
    <row r="1347" spans="1:4" x14ac:dyDescent="0.2">
      <c r="A1347" s="5">
        <v>1286</v>
      </c>
      <c r="B1347" s="1832">
        <f>'Expenditures 15-22'!E182</f>
        <v>35432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35432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35432</v>
      </c>
      <c r="C1353" s="2" t="s">
        <v>569</v>
      </c>
      <c r="D1353" s="2" t="str">
        <f t="shared" si="20"/>
        <v>Error?</v>
      </c>
    </row>
    <row r="1354" spans="1:4" x14ac:dyDescent="0.2">
      <c r="A1354" s="5">
        <v>1293</v>
      </c>
      <c r="B1354" s="1832">
        <f>'Expenditures 15-22'!F182</f>
        <v>68811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68811</v>
      </c>
      <c r="C1358" s="2" t="s">
        <v>569</v>
      </c>
      <c r="D1358" s="2" t="str">
        <f t="shared" si="20"/>
        <v>Error?</v>
      </c>
    </row>
    <row r="1359" spans="1:4" x14ac:dyDescent="0.2">
      <c r="A1359" s="5">
        <v>1298</v>
      </c>
      <c r="B1359" s="1832">
        <f>'Expenditures 15-22'!F210</f>
        <v>68811</v>
      </c>
      <c r="C1359" s="2" t="s">
        <v>569</v>
      </c>
      <c r="D1359" s="2" t="str">
        <f t="shared" si="20"/>
        <v>Error?</v>
      </c>
    </row>
    <row r="1360" spans="1:4" x14ac:dyDescent="0.2">
      <c r="A1360" s="5">
        <v>1299</v>
      </c>
      <c r="B1360" s="1832">
        <f>'Expenditures 15-22'!G182</f>
        <v>107836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107836</v>
      </c>
      <c r="C1364" s="2" t="s">
        <v>569</v>
      </c>
      <c r="D1364" s="2" t="str">
        <f t="shared" si="20"/>
        <v>Error?</v>
      </c>
    </row>
    <row r="1365" spans="1:4" x14ac:dyDescent="0.2">
      <c r="A1365" s="5">
        <v>1304</v>
      </c>
      <c r="B1365" s="1832">
        <f>'Expenditures 15-22'!G210</f>
        <v>107836</v>
      </c>
      <c r="C1365" s="2" t="s">
        <v>569</v>
      </c>
      <c r="D1365" s="2" t="str">
        <f t="shared" si="20"/>
        <v>Error?</v>
      </c>
    </row>
    <row r="1366" spans="1:4" x14ac:dyDescent="0.2">
      <c r="A1366" s="5">
        <v>1305</v>
      </c>
      <c r="B1366" s="1832">
        <f>'Expenditures 15-22'!H182</f>
        <v>107455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107455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56327</v>
      </c>
      <c r="C1375" s="2" t="s">
        <v>569</v>
      </c>
      <c r="D1375" s="2" t="str">
        <f t="shared" si="20"/>
        <v>Error?</v>
      </c>
    </row>
    <row r="1376" spans="1:4" x14ac:dyDescent="0.2">
      <c r="A1376" s="5">
        <v>1315</v>
      </c>
      <c r="B1376" s="1832">
        <f>'Expenditures 15-22'!H210</f>
        <v>163782</v>
      </c>
      <c r="C1376" s="2" t="s">
        <v>569</v>
      </c>
      <c r="D1376" s="2" t="str">
        <f t="shared" si="20"/>
        <v>Error?</v>
      </c>
    </row>
    <row r="1377" spans="1:4" x14ac:dyDescent="0.2">
      <c r="A1377" s="5">
        <v>1316</v>
      </c>
      <c r="B1377" s="1832">
        <f>'Expenditures 15-22'!K182</f>
        <v>677482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677482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56327</v>
      </c>
      <c r="C1387" s="2" t="s">
        <v>569</v>
      </c>
      <c r="D1387" s="2" t="str">
        <f t="shared" si="20"/>
        <v>Error?</v>
      </c>
    </row>
    <row r="1388" spans="1:4" x14ac:dyDescent="0.2">
      <c r="A1388" s="5">
        <v>1327</v>
      </c>
      <c r="B1388" s="1832">
        <f>'Expenditures 15-22'!K210</f>
        <v>733809</v>
      </c>
      <c r="C1388" s="2" t="s">
        <v>569</v>
      </c>
      <c r="D1388" s="2" t="str">
        <f t="shared" si="20"/>
        <v>Error?</v>
      </c>
    </row>
    <row r="1389" spans="1:4" x14ac:dyDescent="0.2">
      <c r="A1389" s="5">
        <v>1328</v>
      </c>
      <c r="B1389" s="1832">
        <f>'Expenditures 15-22'!K211</f>
        <v>-57930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8928</v>
      </c>
      <c r="D1407" s="2" t="str">
        <f t="shared" ref="D1407:D1470" si="21">IF(ISBLANK(B1407),"OK",IF(A1407-B1407=0,"OK","Error?"))</f>
        <v>Error?</v>
      </c>
    </row>
    <row r="1408" spans="1:4" x14ac:dyDescent="0.2">
      <c r="A1408" s="5">
        <v>1347</v>
      </c>
      <c r="B1408" s="1832">
        <f>'Expenditures 15-22'!D223</f>
        <v>6192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100287</v>
      </c>
      <c r="C1410" s="2" t="s">
        <v>569</v>
      </c>
      <c r="D1410" s="2" t="str">
        <f t="shared" si="21"/>
        <v>Error?</v>
      </c>
    </row>
    <row r="1411" spans="1:4" x14ac:dyDescent="0.2">
      <c r="A1411" s="5">
        <v>1350</v>
      </c>
      <c r="B1411" s="1832">
        <f>'Expenditures 15-22'!D232</f>
        <v>626</v>
      </c>
      <c r="D1411" s="2" t="str">
        <f t="shared" si="21"/>
        <v>Error?</v>
      </c>
    </row>
    <row r="1412" spans="1:4" x14ac:dyDescent="0.2">
      <c r="A1412" s="5">
        <v>1351</v>
      </c>
      <c r="B1412" s="1832">
        <f>'Expenditures 15-22'!D233</f>
        <v>1724</v>
      </c>
      <c r="D1412" s="2" t="str">
        <f t="shared" si="21"/>
        <v>Error?</v>
      </c>
    </row>
    <row r="1413" spans="1:4" x14ac:dyDescent="0.2">
      <c r="A1413" s="5">
        <v>1352</v>
      </c>
      <c r="B1413" s="1832">
        <f>'Expenditures 15-22'!D234</f>
        <v>1963</v>
      </c>
      <c r="D1413" s="2" t="str">
        <f t="shared" si="21"/>
        <v>Error?</v>
      </c>
    </row>
    <row r="1414" spans="1:4" x14ac:dyDescent="0.2">
      <c r="A1414" s="5">
        <v>1353</v>
      </c>
      <c r="B1414" s="1832">
        <f>'Expenditures 15-22'!D235</f>
        <v>789</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609</v>
      </c>
      <c r="D1416" s="2" t="str">
        <f t="shared" si="21"/>
        <v>Error?</v>
      </c>
    </row>
    <row r="1417" spans="1:4" x14ac:dyDescent="0.2">
      <c r="A1417" s="5">
        <v>1356</v>
      </c>
      <c r="B1417" s="1832">
        <f>'Expenditures 15-22'!D238</f>
        <v>5711</v>
      </c>
      <c r="C1417" s="2" t="s">
        <v>569</v>
      </c>
      <c r="D1417" s="2" t="str">
        <f t="shared" si="21"/>
        <v>Error?</v>
      </c>
    </row>
    <row r="1418" spans="1:4" x14ac:dyDescent="0.2">
      <c r="A1418" s="5">
        <v>1357</v>
      </c>
      <c r="B1418" s="1832">
        <f>'Expenditures 15-22'!D240</f>
        <v>3707</v>
      </c>
      <c r="D1418" s="2" t="str">
        <f t="shared" si="21"/>
        <v>Error?</v>
      </c>
    </row>
    <row r="1419" spans="1:4" x14ac:dyDescent="0.2">
      <c r="A1419" s="5">
        <v>1358</v>
      </c>
      <c r="B1419" s="1832">
        <f>'Expenditures 15-22'!D241</f>
        <v>25149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28856</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1918</v>
      </c>
      <c r="D1423" s="2" t="str">
        <f t="shared" si="21"/>
        <v>Error?</v>
      </c>
    </row>
    <row r="1424" spans="1:4" x14ac:dyDescent="0.2">
      <c r="A1424" s="5">
        <v>1363</v>
      </c>
      <c r="B1424" s="1832">
        <f>'Expenditures 15-22'!D257</f>
        <v>45162</v>
      </c>
      <c r="C1424" s="2" t="s">
        <v>569</v>
      </c>
      <c r="D1424" s="2" t="str">
        <f t="shared" si="21"/>
        <v>Error?</v>
      </c>
    </row>
    <row r="1425" spans="1:4" x14ac:dyDescent="0.2">
      <c r="A1425" s="5">
        <v>1364</v>
      </c>
      <c r="B1425" s="1832">
        <f>'Expenditures 15-22'!D259</f>
        <v>33338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33338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11459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55830</v>
      </c>
      <c r="D1431" s="2" t="str">
        <f t="shared" si="21"/>
        <v>Error?</v>
      </c>
    </row>
    <row r="1432" spans="1:4" x14ac:dyDescent="0.2">
      <c r="A1432" s="5">
        <v>1371</v>
      </c>
      <c r="B1432" s="1832">
        <f>'Expenditures 15-22'!D267</f>
        <v>56343</v>
      </c>
      <c r="D1432" s="2" t="str">
        <f t="shared" si="21"/>
        <v>Error?</v>
      </c>
    </row>
    <row r="1433" spans="1:4" x14ac:dyDescent="0.2">
      <c r="A1433" s="5">
        <v>1372</v>
      </c>
      <c r="B1433" s="1832">
        <f>'Expenditures 15-22'!D268</f>
        <v>22683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146315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259382</v>
      </c>
      <c r="C1446" s="2" t="s">
        <v>569</v>
      </c>
      <c r="D1446" s="2" t="str">
        <f t="shared" si="21"/>
        <v>Error?</v>
      </c>
    </row>
    <row r="1447" spans="1:4" x14ac:dyDescent="0.2">
      <c r="A1447" s="5">
        <v>1386</v>
      </c>
      <c r="B1447" s="1832">
        <f>'Expenditures 15-22'!D280</f>
        <v>1070</v>
      </c>
      <c r="D1447" s="2" t="str">
        <f t="shared" si="21"/>
        <v>Error?</v>
      </c>
    </row>
    <row r="1448" spans="1:4" x14ac:dyDescent="0.2">
      <c r="A1448" s="5">
        <v>1387</v>
      </c>
      <c r="B1448" s="1832">
        <f>'Expenditures 15-22'!D295</f>
        <v>360739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8928</v>
      </c>
      <c r="C1471" s="2" t="s">
        <v>569</v>
      </c>
      <c r="D1471" s="2" t="str">
        <f t="shared" ref="D1471:D1534" si="22">IF(ISBLANK(B1471),"OK",IF(A1471-B1471=0,"OK","Error?"))</f>
        <v>Error?</v>
      </c>
    </row>
    <row r="1472" spans="1:4" x14ac:dyDescent="0.2">
      <c r="A1472" s="5">
        <v>1411</v>
      </c>
      <c r="B1472" s="1832">
        <f>'Expenditures 15-22'!K223</f>
        <v>6192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100287</v>
      </c>
      <c r="C1474" s="2" t="s">
        <v>569</v>
      </c>
      <c r="D1474" s="2" t="str">
        <f t="shared" si="22"/>
        <v>Error?</v>
      </c>
    </row>
    <row r="1475" spans="1:4" x14ac:dyDescent="0.2">
      <c r="A1475" s="5">
        <v>1414</v>
      </c>
      <c r="B1475" s="1832">
        <f>'Expenditures 15-22'!K232</f>
        <v>626</v>
      </c>
      <c r="C1475" s="2" t="s">
        <v>569</v>
      </c>
      <c r="D1475" s="2" t="str">
        <f t="shared" si="22"/>
        <v>Error?</v>
      </c>
    </row>
    <row r="1476" spans="1:4" x14ac:dyDescent="0.2">
      <c r="A1476" s="5">
        <v>1415</v>
      </c>
      <c r="B1476" s="1832">
        <f>'Expenditures 15-22'!K233</f>
        <v>1724</v>
      </c>
      <c r="C1476" s="2" t="s">
        <v>569</v>
      </c>
      <c r="D1476" s="2" t="str">
        <f t="shared" si="22"/>
        <v>Error?</v>
      </c>
    </row>
    <row r="1477" spans="1:4" x14ac:dyDescent="0.2">
      <c r="A1477" s="5">
        <v>1416</v>
      </c>
      <c r="B1477" s="1832">
        <f>'Expenditures 15-22'!K234</f>
        <v>1963</v>
      </c>
      <c r="C1477" s="2" t="s">
        <v>569</v>
      </c>
      <c r="D1477" s="2" t="str">
        <f t="shared" si="22"/>
        <v>Error?</v>
      </c>
    </row>
    <row r="1478" spans="1:4" x14ac:dyDescent="0.2">
      <c r="A1478" s="5">
        <v>1417</v>
      </c>
      <c r="B1478" s="1832">
        <f>'Expenditures 15-22'!K235</f>
        <v>789</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609</v>
      </c>
      <c r="C1480" s="2" t="s">
        <v>569</v>
      </c>
      <c r="D1480" s="2" t="str">
        <f t="shared" si="22"/>
        <v>Error?</v>
      </c>
    </row>
    <row r="1481" spans="1:4" x14ac:dyDescent="0.2">
      <c r="A1481" s="5">
        <v>1420</v>
      </c>
      <c r="B1481" s="1832">
        <f>'Expenditures 15-22'!K238</f>
        <v>5711</v>
      </c>
      <c r="C1481" s="2" t="s">
        <v>569</v>
      </c>
      <c r="D1481" s="2" t="str">
        <f t="shared" si="22"/>
        <v>Error?</v>
      </c>
    </row>
    <row r="1482" spans="1:4" x14ac:dyDescent="0.2">
      <c r="A1482" s="5">
        <v>1421</v>
      </c>
      <c r="B1482" s="1832">
        <f>'Expenditures 15-22'!K240</f>
        <v>3707</v>
      </c>
      <c r="C1482" s="2" t="s">
        <v>569</v>
      </c>
      <c r="D1482" s="2" t="str">
        <f t="shared" si="22"/>
        <v>Error?</v>
      </c>
    </row>
    <row r="1483" spans="1:4" x14ac:dyDescent="0.2">
      <c r="A1483" s="5">
        <v>1422</v>
      </c>
      <c r="B1483" s="1832">
        <f>'Expenditures 15-22'!K241</f>
        <v>25149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28856</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1918</v>
      </c>
      <c r="C1487" s="2" t="s">
        <v>569</v>
      </c>
      <c r="D1487" s="2" t="str">
        <f t="shared" si="22"/>
        <v>Error?</v>
      </c>
    </row>
    <row r="1488" spans="1:4" x14ac:dyDescent="0.2">
      <c r="A1488" s="5">
        <v>1427</v>
      </c>
      <c r="B1488" s="1832">
        <f>'Expenditures 15-22'!K257</f>
        <v>45162</v>
      </c>
      <c r="C1488" s="2" t="s">
        <v>569</v>
      </c>
      <c r="D1488" s="2" t="str">
        <f t="shared" si="22"/>
        <v>Error?</v>
      </c>
    </row>
    <row r="1489" spans="1:4" x14ac:dyDescent="0.2">
      <c r="A1489" s="5">
        <v>1428</v>
      </c>
      <c r="B1489" s="1832">
        <f>'Expenditures 15-22'!K259</f>
        <v>33338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33338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11459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55830</v>
      </c>
      <c r="C1495" s="2" t="s">
        <v>569</v>
      </c>
      <c r="D1495" s="2" t="str">
        <f t="shared" si="22"/>
        <v>Error?</v>
      </c>
    </row>
    <row r="1496" spans="1:4" x14ac:dyDescent="0.2">
      <c r="A1496" s="5">
        <v>1435</v>
      </c>
      <c r="B1496" s="1832">
        <f>'Expenditures 15-22'!K267</f>
        <v>56343</v>
      </c>
      <c r="C1496" s="2" t="s">
        <v>569</v>
      </c>
      <c r="D1496" s="2" t="str">
        <f t="shared" si="22"/>
        <v>Error?</v>
      </c>
    </row>
    <row r="1497" spans="1:4" x14ac:dyDescent="0.2">
      <c r="A1497" s="5">
        <v>1436</v>
      </c>
      <c r="B1497" s="1832">
        <f>'Expenditures 15-22'!K268</f>
        <v>22683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146315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259382</v>
      </c>
      <c r="C1510" s="2" t="s">
        <v>569</v>
      </c>
      <c r="D1510" s="2" t="str">
        <f t="shared" si="22"/>
        <v>Error?</v>
      </c>
    </row>
    <row r="1511" spans="1:4" x14ac:dyDescent="0.2">
      <c r="A1511" s="5">
        <v>1450</v>
      </c>
      <c r="B1511" s="1832">
        <f>'Expenditures 15-22'!K280</f>
        <v>1070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360739</v>
      </c>
      <c r="C1517" s="2" t="s">
        <v>569</v>
      </c>
      <c r="D1517" s="2" t="str">
        <f t="shared" si="22"/>
        <v>Error?</v>
      </c>
    </row>
    <row r="1518" spans="1:4" x14ac:dyDescent="0.2">
      <c r="A1518" s="5">
        <v>1457</v>
      </c>
      <c r="B1518" s="1832">
        <f>'Expenditures 15-22'!K296</f>
        <v>-40764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7750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7750</v>
      </c>
      <c r="C1535" s="2" t="s">
        <v>569</v>
      </c>
      <c r="D1535" s="2" t="str">
        <f t="shared" ref="D1535:D1598" si="23">IF(ISBLANK(B1535),"OK",IF(A1535-B1535=0,"OK","Error?"))</f>
        <v>Error?</v>
      </c>
    </row>
    <row r="1536" spans="1:4" x14ac:dyDescent="0.2">
      <c r="A1536" s="5">
        <v>1475</v>
      </c>
      <c r="B1536" s="1832">
        <f>'Expenditures 15-22'!E312</f>
        <v>7750</v>
      </c>
      <c r="C1536" s="2" t="s">
        <v>569</v>
      </c>
      <c r="D1536" s="2" t="str">
        <f t="shared" si="23"/>
        <v>Error?</v>
      </c>
    </row>
    <row r="1537" spans="1:4" x14ac:dyDescent="0.2">
      <c r="A1537" s="5">
        <v>1476</v>
      </c>
      <c r="B1537" s="1832">
        <f>'Expenditures 15-22'!F301</f>
        <v>273</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273</v>
      </c>
      <c r="C1541" s="2" t="s">
        <v>569</v>
      </c>
      <c r="D1541" s="2" t="str">
        <f t="shared" si="23"/>
        <v>Error?</v>
      </c>
    </row>
    <row r="1542" spans="1:4" x14ac:dyDescent="0.2">
      <c r="A1542" s="5">
        <v>1481</v>
      </c>
      <c r="B1542" s="1832">
        <f>'Expenditures 15-22'!F312</f>
        <v>273</v>
      </c>
      <c r="C1542" s="2" t="s">
        <v>569</v>
      </c>
      <c r="D1542" s="2" t="str">
        <f t="shared" si="23"/>
        <v>Error?</v>
      </c>
    </row>
    <row r="1543" spans="1:4" x14ac:dyDescent="0.2">
      <c r="A1543" s="5">
        <v>1482</v>
      </c>
      <c r="B1543" s="1832">
        <f>'Expenditures 15-22'!G301</f>
        <v>34574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34574</v>
      </c>
      <c r="C1547" s="2" t="s">
        <v>569</v>
      </c>
      <c r="D1547" s="2" t="str">
        <f t="shared" si="23"/>
        <v>Error?</v>
      </c>
    </row>
    <row r="1548" spans="1:4" x14ac:dyDescent="0.2">
      <c r="A1548" s="5">
        <v>1487</v>
      </c>
      <c r="B1548" s="1832">
        <f>'Expenditures 15-22'!G312</f>
        <v>34574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42597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42597</v>
      </c>
      <c r="C1559" s="2" t="s">
        <v>569</v>
      </c>
      <c r="D1559" s="2" t="str">
        <f t="shared" si="23"/>
        <v>Error?</v>
      </c>
    </row>
    <row r="1560" spans="1:4" x14ac:dyDescent="0.2">
      <c r="A1560" s="5">
        <v>1499</v>
      </c>
      <c r="B1560" s="1832">
        <f>'Expenditures 15-22'!K312</f>
        <v>42597</v>
      </c>
      <c r="C1560" s="2" t="s">
        <v>569</v>
      </c>
      <c r="D1560" s="2" t="str">
        <f t="shared" si="23"/>
        <v>Error?</v>
      </c>
    </row>
    <row r="1561" spans="1:4" x14ac:dyDescent="0.2">
      <c r="A1561" s="5">
        <v>1500</v>
      </c>
      <c r="B1561" s="1832">
        <f>'Expenditures 15-22'!K313</f>
        <v>44526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1250528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1437259</v>
      </c>
      <c r="C1630" s="2" t="s">
        <v>569</v>
      </c>
      <c r="D1630" s="2" t="str">
        <f t="shared" si="24"/>
        <v>Error?</v>
      </c>
    </row>
    <row r="1631" spans="1:4" x14ac:dyDescent="0.2">
      <c r="A1631" s="5">
        <v>1570</v>
      </c>
      <c r="B1631" s="1832">
        <f>'Acct Summary 7-8'!D79</f>
        <v>139642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157082</v>
      </c>
      <c r="C1644" s="2" t="s">
        <v>569</v>
      </c>
      <c r="D1644" s="2" t="str">
        <f t="shared" si="24"/>
        <v>Error?</v>
      </c>
    </row>
    <row r="1645" spans="1:4" x14ac:dyDescent="0.2">
      <c r="A1645" s="5">
        <v>1584</v>
      </c>
      <c r="B1645" s="1832">
        <f>'Acct Summary 7-8'!E79</f>
        <v>6146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8885</v>
      </c>
      <c r="C1658" s="2" t="s">
        <v>569</v>
      </c>
      <c r="D1658" s="2" t="str">
        <f t="shared" si="24"/>
        <v>Error?</v>
      </c>
    </row>
    <row r="1659" spans="1:4" x14ac:dyDescent="0.2">
      <c r="A1659" s="5">
        <v>1598</v>
      </c>
      <c r="B1659" s="1832">
        <f>'Acct Summary 7-8'!F79</f>
        <v>295468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345374</v>
      </c>
      <c r="C1672" s="2" t="s">
        <v>569</v>
      </c>
      <c r="D1672" s="2" t="str">
        <f t="shared" si="25"/>
        <v>Error?</v>
      </c>
    </row>
    <row r="1673" spans="1:4" x14ac:dyDescent="0.2">
      <c r="A1673" s="5">
        <v>1612</v>
      </c>
      <c r="B1673" s="1832">
        <f>'Acct Summary 7-8'!G79</f>
        <v>148431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107667</v>
      </c>
      <c r="C1686" s="2" t="s">
        <v>569</v>
      </c>
      <c r="D1686" s="2" t="str">
        <f t="shared" si="25"/>
        <v>Error?</v>
      </c>
    </row>
    <row r="1687" spans="1:4" x14ac:dyDescent="0.2">
      <c r="A1687" s="5">
        <v>1626</v>
      </c>
      <c r="B1687" s="1832">
        <f>'Acct Summary 7-8'!H79</f>
        <v>6749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51275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1539013</v>
      </c>
      <c r="C1744" s="2" t="s">
        <v>569</v>
      </c>
      <c r="D1744" s="2" t="str">
        <f t="shared" si="26"/>
        <v>Error?</v>
      </c>
    </row>
    <row r="1745" spans="1:5" x14ac:dyDescent="0.2">
      <c r="A1745" s="5">
        <v>1684</v>
      </c>
      <c r="B1745" s="1832">
        <f>'Tax Sched 23'!B5</f>
        <v>422749</v>
      </c>
      <c r="C1745" s="2" t="s">
        <v>569</v>
      </c>
      <c r="D1745" s="2" t="str">
        <f t="shared" si="26"/>
        <v>Error?</v>
      </c>
    </row>
    <row r="1746" spans="1:5" x14ac:dyDescent="0.2">
      <c r="A1746" s="5">
        <v>1685</v>
      </c>
      <c r="B1746" s="1832">
        <f>'Tax Sched 23'!B6</f>
        <v>663941</v>
      </c>
      <c r="C1746" s="2" t="s">
        <v>569</v>
      </c>
      <c r="D1746" s="2" t="str">
        <f t="shared" si="26"/>
        <v>Error?</v>
      </c>
    </row>
    <row r="1747" spans="1:5" x14ac:dyDescent="0.2">
      <c r="A1747" s="5">
        <v>1686</v>
      </c>
      <c r="B1747" s="1832">
        <f>'Tax Sched 23'!B7</f>
        <v>169101</v>
      </c>
      <c r="C1747" s="2" t="s">
        <v>569</v>
      </c>
      <c r="D1747" s="2" t="str">
        <f t="shared" si="26"/>
        <v>Error?</v>
      </c>
    </row>
    <row r="1748" spans="1:5" x14ac:dyDescent="0.2">
      <c r="A1748" s="5">
        <v>1687</v>
      </c>
      <c r="B1748" s="1832">
        <f>'Tax Sched 23'!B8</f>
        <v>145182</v>
      </c>
      <c r="C1748" s="2" t="s">
        <v>569</v>
      </c>
      <c r="D1748" s="2" t="str">
        <f t="shared" si="26"/>
        <v>Error?</v>
      </c>
    </row>
    <row r="1749" spans="1:5" x14ac:dyDescent="0.2">
      <c r="A1749" s="5">
        <v>1688</v>
      </c>
      <c r="B1749" s="1832">
        <f>'Tax Sched 23'!B10</f>
        <v>42274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529339</v>
      </c>
      <c r="C1752" s="2" t="s">
        <v>569</v>
      </c>
      <c r="D1752" s="2" t="str">
        <f t="shared" si="26"/>
        <v>Error?</v>
      </c>
    </row>
    <row r="1753" spans="1:5" x14ac:dyDescent="0.2">
      <c r="A1753" s="5">
        <v>1692</v>
      </c>
      <c r="B1753" s="1832">
        <f>'Tax Sched 23'!B12</f>
        <v>42274</v>
      </c>
      <c r="C1753" s="2" t="s">
        <v>569</v>
      </c>
      <c r="D1753" s="2" t="str">
        <f t="shared" si="26"/>
        <v>Error?</v>
      </c>
    </row>
    <row r="1754" spans="1:5" x14ac:dyDescent="0.2">
      <c r="A1754" s="5">
        <v>1693</v>
      </c>
      <c r="B1754" s="1832">
        <f>'Tax Sched 23'!B14</f>
        <v>33822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3790067</v>
      </c>
      <c r="C1759" s="2" t="s">
        <v>569</v>
      </c>
      <c r="D1759" s="2" t="str">
        <f t="shared" si="26"/>
        <v>Error?</v>
      </c>
    </row>
    <row r="1760" spans="1:5" x14ac:dyDescent="0.2">
      <c r="A1760" s="5">
        <v>1699</v>
      </c>
      <c r="B1760" s="1832">
        <f>'Tax Sched 23'!D4</f>
        <v>1529377</v>
      </c>
      <c r="C1760" s="2" t="s">
        <v>569</v>
      </c>
      <c r="D1760" s="2" t="str">
        <f t="shared" si="26"/>
        <v>Error?</v>
      </c>
    </row>
    <row r="1761" spans="1:7" x14ac:dyDescent="0.2">
      <c r="A1761" s="5">
        <v>1700</v>
      </c>
      <c r="B1761" s="1832">
        <f>'Tax Sched 23'!D5</f>
        <v>420130</v>
      </c>
      <c r="C1761" s="2" t="s">
        <v>569</v>
      </c>
      <c r="D1761" s="2" t="str">
        <f t="shared" si="26"/>
        <v>Error?</v>
      </c>
    </row>
    <row r="1762" spans="1:7" s="8" customFormat="1" x14ac:dyDescent="0.2">
      <c r="A1762" s="5">
        <v>1701</v>
      </c>
      <c r="B1762" s="1832">
        <f>'Tax Sched 23'!D6</f>
        <v>659946.48</v>
      </c>
      <c r="C1762" s="2" t="s">
        <v>569</v>
      </c>
      <c r="D1762" s="2" t="str">
        <f t="shared" si="26"/>
        <v>Error?</v>
      </c>
      <c r="E1762" s="9"/>
      <c r="G1762"/>
    </row>
    <row r="1763" spans="1:7" x14ac:dyDescent="0.2">
      <c r="A1763" s="5">
        <v>1702</v>
      </c>
      <c r="B1763" s="1832">
        <f>'Tax Sched 23'!D7</f>
        <v>168054</v>
      </c>
      <c r="C1763" s="2" t="s">
        <v>569</v>
      </c>
      <c r="D1763" s="2" t="str">
        <f t="shared" si="26"/>
        <v>Error?</v>
      </c>
    </row>
    <row r="1764" spans="1:7" x14ac:dyDescent="0.2">
      <c r="A1764" s="5">
        <v>1703</v>
      </c>
      <c r="B1764" s="1832">
        <f>'Tax Sched 23'!D8</f>
        <v>144010</v>
      </c>
      <c r="C1764" s="2" t="s">
        <v>569</v>
      </c>
      <c r="D1764" s="2" t="str">
        <f t="shared" si="26"/>
        <v>Error?</v>
      </c>
    </row>
    <row r="1765" spans="1:7" x14ac:dyDescent="0.2">
      <c r="A1765" s="5">
        <v>1704</v>
      </c>
      <c r="B1765" s="1832">
        <f>'Tax Sched 23'!D10</f>
        <v>42012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526333</v>
      </c>
      <c r="C1768" s="2" t="s">
        <v>569</v>
      </c>
      <c r="D1768" s="2" t="str">
        <f t="shared" si="26"/>
        <v>Error?</v>
      </c>
    </row>
    <row r="1769" spans="1:7" x14ac:dyDescent="0.2">
      <c r="A1769" s="5">
        <v>1708</v>
      </c>
      <c r="B1769" s="1832">
        <f>'Tax Sched 23'!D12</f>
        <v>42012</v>
      </c>
      <c r="C1769" s="2" t="s">
        <v>569</v>
      </c>
      <c r="D1769" s="2" t="str">
        <f t="shared" si="26"/>
        <v>Error?</v>
      </c>
    </row>
    <row r="1770" spans="1:7" x14ac:dyDescent="0.2">
      <c r="A1770" s="5">
        <v>1709</v>
      </c>
      <c r="B1770" s="1832">
        <f>'Tax Sched 23'!D14</f>
        <v>33613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3766690.48</v>
      </c>
      <c r="C1775" s="2" t="s">
        <v>569</v>
      </c>
      <c r="D1775" s="2" t="str">
        <f t="shared" si="26"/>
        <v>Error?</v>
      </c>
    </row>
    <row r="1776" spans="1:7" x14ac:dyDescent="0.2">
      <c r="A1776" s="5">
        <v>1715</v>
      </c>
      <c r="B1776" s="1832">
        <f>'Tax Sched 23'!C4</f>
        <v>9636</v>
      </c>
      <c r="D1776" s="2" t="str">
        <f t="shared" si="26"/>
        <v>Error?</v>
      </c>
    </row>
    <row r="1777" spans="1:4" x14ac:dyDescent="0.2">
      <c r="A1777" s="5">
        <v>1716</v>
      </c>
      <c r="B1777" s="1832">
        <f>'Tax Sched 23'!C5</f>
        <v>2619</v>
      </c>
      <c r="D1777" s="2" t="str">
        <f t="shared" si="26"/>
        <v>Error?</v>
      </c>
    </row>
    <row r="1778" spans="1:4" x14ac:dyDescent="0.2">
      <c r="A1778" s="5">
        <v>1717</v>
      </c>
      <c r="B1778" s="1832">
        <f>'Tax Sched 23'!C6</f>
        <v>3994.52</v>
      </c>
      <c r="D1778" s="2" t="str">
        <f t="shared" si="26"/>
        <v>Error?</v>
      </c>
    </row>
    <row r="1779" spans="1:4" x14ac:dyDescent="0.2">
      <c r="A1779" s="5">
        <v>1718</v>
      </c>
      <c r="B1779" s="1832">
        <f>'Tax Sched 23'!C7</f>
        <v>1047</v>
      </c>
      <c r="D1779" s="2" t="str">
        <f t="shared" si="26"/>
        <v>Error?</v>
      </c>
    </row>
    <row r="1780" spans="1:4" x14ac:dyDescent="0.2">
      <c r="A1780" s="5">
        <v>1719</v>
      </c>
      <c r="B1780" s="1832">
        <f>'Tax Sched 23'!C8</f>
        <v>1172</v>
      </c>
      <c r="D1780" s="2" t="str">
        <f t="shared" si="26"/>
        <v>Error?</v>
      </c>
    </row>
    <row r="1781" spans="1:4" x14ac:dyDescent="0.2">
      <c r="A1781" s="5">
        <v>1720</v>
      </c>
      <c r="B1781" s="1832">
        <f>'Tax Sched 23'!C10</f>
        <v>262</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3006</v>
      </c>
      <c r="D1784" s="2" t="str">
        <f t="shared" si="26"/>
        <v>Error?</v>
      </c>
    </row>
    <row r="1785" spans="1:4" x14ac:dyDescent="0.2">
      <c r="A1785" s="5">
        <v>1724</v>
      </c>
      <c r="B1785" s="1832">
        <f>'Tax Sched 23'!C12</f>
        <v>262</v>
      </c>
      <c r="D1785" s="2" t="str">
        <f t="shared" si="26"/>
        <v>Error?</v>
      </c>
    </row>
    <row r="1786" spans="1:4" x14ac:dyDescent="0.2">
      <c r="A1786" s="5">
        <v>1725</v>
      </c>
      <c r="B1786" s="1832">
        <f>'Tax Sched 23'!C14</f>
        <v>209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23376.52</v>
      </c>
      <c r="C1791" s="2" t="s">
        <v>569</v>
      </c>
      <c r="D1791" s="2" t="str">
        <f t="shared" ref="D1791:D1854" si="27">IF(ISBLANK(B1791),"OK",IF(A1791-B1791=0,"OK","Error?"))</f>
        <v>Error?</v>
      </c>
    </row>
    <row r="1792" spans="1:4" x14ac:dyDescent="0.2">
      <c r="A1792" s="5">
        <v>1731</v>
      </c>
      <c r="B1792" s="1832">
        <f>'Tax Sched 23'!F4</f>
        <v>1655309</v>
      </c>
      <c r="C1792" s="2" t="s">
        <v>569</v>
      </c>
      <c r="D1792" s="2" t="str">
        <f t="shared" si="27"/>
        <v>Error?</v>
      </c>
    </row>
    <row r="1793" spans="1:4" x14ac:dyDescent="0.2">
      <c r="A1793" s="5">
        <v>1732</v>
      </c>
      <c r="B1793" s="1832">
        <f>'Tax Sched 23'!F5</f>
        <v>449812</v>
      </c>
      <c r="C1793" s="2" t="s">
        <v>569</v>
      </c>
      <c r="D1793" s="2" t="str">
        <f t="shared" si="27"/>
        <v>Error?</v>
      </c>
    </row>
    <row r="1794" spans="1:4" x14ac:dyDescent="0.2">
      <c r="A1794" s="5">
        <v>1733</v>
      </c>
      <c r="B1794" s="1832">
        <f>'Tax Sched 23'!F6</f>
        <v>660535.48</v>
      </c>
      <c r="C1794" s="2" t="s">
        <v>569</v>
      </c>
      <c r="D1794" s="2" t="str">
        <f t="shared" si="27"/>
        <v>Error?</v>
      </c>
    </row>
    <row r="1795" spans="1:4" x14ac:dyDescent="0.2">
      <c r="A1795" s="5">
        <v>1734</v>
      </c>
      <c r="B1795" s="1832">
        <f>'Tax Sched 23'!F7</f>
        <v>179925</v>
      </c>
      <c r="C1795" s="2" t="s">
        <v>569</v>
      </c>
      <c r="D1795" s="2" t="str">
        <f t="shared" si="27"/>
        <v>Error?</v>
      </c>
    </row>
    <row r="1796" spans="1:4" x14ac:dyDescent="0.2">
      <c r="A1796" s="5">
        <v>1735</v>
      </c>
      <c r="B1796" s="1832">
        <f>'Tax Sched 23'!F8</f>
        <v>193916</v>
      </c>
      <c r="C1796" s="2" t="s">
        <v>569</v>
      </c>
      <c r="D1796" s="2" t="str">
        <f t="shared" si="27"/>
        <v>Error?</v>
      </c>
    </row>
    <row r="1797" spans="1:4" x14ac:dyDescent="0.2">
      <c r="A1797" s="5">
        <v>1736</v>
      </c>
      <c r="B1797" s="1832">
        <f>'Tax Sched 23'!F10</f>
        <v>44981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497020</v>
      </c>
      <c r="C1800" s="2" t="s">
        <v>569</v>
      </c>
      <c r="D1800" s="2" t="str">
        <f t="shared" si="27"/>
        <v>Error?</v>
      </c>
    </row>
    <row r="1801" spans="1:4" x14ac:dyDescent="0.2">
      <c r="A1801" s="5">
        <v>1740</v>
      </c>
      <c r="B1801" s="1832">
        <f>'Tax Sched 23'!F12</f>
        <v>44981</v>
      </c>
      <c r="C1801" s="2" t="s">
        <v>569</v>
      </c>
      <c r="D1801" s="2" t="str">
        <f t="shared" si="27"/>
        <v>Error?</v>
      </c>
    </row>
    <row r="1802" spans="1:4" x14ac:dyDescent="0.2">
      <c r="A1802" s="5">
        <v>1741</v>
      </c>
      <c r="B1802" s="1832">
        <f>'Tax Sched 23'!F14</f>
        <v>35986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4006604.48</v>
      </c>
      <c r="C1807" s="2" t="s">
        <v>569</v>
      </c>
      <c r="D1807" s="2" t="str">
        <f t="shared" si="27"/>
        <v>Error?</v>
      </c>
    </row>
    <row r="1808" spans="1:4" x14ac:dyDescent="0.2">
      <c r="A1808" s="5">
        <v>1747</v>
      </c>
      <c r="B1808" s="1832">
        <f>'Tax Sched 23'!E4</f>
        <v>1664945</v>
      </c>
      <c r="D1808" s="2" t="str">
        <f t="shared" si="27"/>
        <v>Error?</v>
      </c>
    </row>
    <row r="1809" spans="1:4" x14ac:dyDescent="0.2">
      <c r="A1809" s="5">
        <v>1748</v>
      </c>
      <c r="B1809" s="1832">
        <f>'Tax Sched 23'!E5</f>
        <v>452431</v>
      </c>
      <c r="D1809" s="2" t="str">
        <f t="shared" si="27"/>
        <v>Error?</v>
      </c>
    </row>
    <row r="1810" spans="1:4" x14ac:dyDescent="0.2">
      <c r="A1810" s="5">
        <v>1749</v>
      </c>
      <c r="B1810" s="1832">
        <f>'Tax Sched 23'!E6</f>
        <v>664530</v>
      </c>
      <c r="D1810" s="2" t="str">
        <f t="shared" si="27"/>
        <v>Error?</v>
      </c>
    </row>
    <row r="1811" spans="1:4" x14ac:dyDescent="0.2">
      <c r="A1811" s="5">
        <v>1750</v>
      </c>
      <c r="B1811" s="1832">
        <f>'Tax Sched 23'!E7</f>
        <v>180972</v>
      </c>
      <c r="D1811" s="2" t="str">
        <f t="shared" si="27"/>
        <v>Error?</v>
      </c>
    </row>
    <row r="1812" spans="1:4" x14ac:dyDescent="0.2">
      <c r="A1812" s="5">
        <v>1751</v>
      </c>
      <c r="B1812" s="1832">
        <f>'Tax Sched 23'!E8</f>
        <v>195088</v>
      </c>
      <c r="D1812" s="2" t="str">
        <f t="shared" si="27"/>
        <v>Error?</v>
      </c>
    </row>
    <row r="1813" spans="1:4" x14ac:dyDescent="0.2">
      <c r="A1813" s="5">
        <v>1752</v>
      </c>
      <c r="B1813" s="1832">
        <f>'Tax Sched 23'!E10</f>
        <v>45243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500026</v>
      </c>
      <c r="D1816" s="2" t="str">
        <f t="shared" si="27"/>
        <v>Error?</v>
      </c>
    </row>
    <row r="1817" spans="1:4" x14ac:dyDescent="0.2">
      <c r="A1817" s="5">
        <v>1756</v>
      </c>
      <c r="B1817" s="1832">
        <f>'Tax Sched 23'!E12</f>
        <v>45243</v>
      </c>
      <c r="D1817" s="2" t="str">
        <f t="shared" si="27"/>
        <v>Error?</v>
      </c>
    </row>
    <row r="1818" spans="1:4" x14ac:dyDescent="0.2">
      <c r="A1818" s="5">
        <v>1757</v>
      </c>
      <c r="B1818" s="1832">
        <f>'Tax Sched 23'!E14</f>
        <v>36195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4029981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5248874</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33822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33822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33822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212469</v>
      </c>
      <c r="D2008" s="2" t="str">
        <f t="shared" si="30"/>
        <v>Error?</v>
      </c>
    </row>
    <row r="2009" spans="1:4" x14ac:dyDescent="0.2">
      <c r="A2009" s="5">
        <v>1948</v>
      </c>
      <c r="B2009" s="1832">
        <f>'Cap Outlay Deprec 26'!C8</f>
        <v>20639935</v>
      </c>
      <c r="D2009" s="2" t="str">
        <f t="shared" si="30"/>
        <v>Error?</v>
      </c>
    </row>
    <row r="2010" spans="1:4" x14ac:dyDescent="0.2">
      <c r="A2010" s="5">
        <v>1949</v>
      </c>
      <c r="B2010" s="1832">
        <f>'Cap Outlay Deprec 26'!C10</f>
        <v>1022268</v>
      </c>
      <c r="D2010" s="2" t="str">
        <f t="shared" si="30"/>
        <v>Error?</v>
      </c>
    </row>
    <row r="2011" spans="1:4" x14ac:dyDescent="0.2">
      <c r="A2011" s="5">
        <v>1950</v>
      </c>
      <c r="B2011" s="1832">
        <f>'Cap Outlay Deprec 26'!C12</f>
        <v>1194220</v>
      </c>
      <c r="D2011" s="2" t="str">
        <f t="shared" si="30"/>
        <v>Error?</v>
      </c>
    </row>
    <row r="2012" spans="1:4" x14ac:dyDescent="0.2">
      <c r="A2012" s="5">
        <v>1951</v>
      </c>
      <c r="B2012" s="1832">
        <f>'Cap Outlay Deprec 26'!C13</f>
        <v>1098860</v>
      </c>
      <c r="D2012" s="2" t="str">
        <f t="shared" si="30"/>
        <v>Error?</v>
      </c>
    </row>
    <row r="2013" spans="1:4" x14ac:dyDescent="0.2">
      <c r="A2013" s="5">
        <v>1952</v>
      </c>
      <c r="B2013" s="1832">
        <f>'Cap Outlay Deprec 26'!C16</f>
        <v>24183170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7640</v>
      </c>
      <c r="D2015" s="2" t="str">
        <f t="shared" si="30"/>
        <v>Error?</v>
      </c>
    </row>
    <row r="2016" spans="1:4" x14ac:dyDescent="0.2">
      <c r="A2016" s="5">
        <v>1955</v>
      </c>
      <c r="B2016" s="1832">
        <f>'Cap Outlay Deprec 26'!D10</f>
        <v>73580</v>
      </c>
      <c r="D2016" s="2" t="str">
        <f t="shared" si="30"/>
        <v>Error?</v>
      </c>
    </row>
    <row r="2017" spans="1:4" x14ac:dyDescent="0.2">
      <c r="A2017" s="5">
        <v>1956</v>
      </c>
      <c r="B2017" s="1832">
        <f>'Cap Outlay Deprec 26'!D12</f>
        <v>189095</v>
      </c>
      <c r="D2017" s="2" t="str">
        <f t="shared" si="30"/>
        <v>Error?</v>
      </c>
    </row>
    <row r="2018" spans="1:4" x14ac:dyDescent="0.2">
      <c r="A2018" s="5">
        <v>1957</v>
      </c>
      <c r="B2018" s="1832">
        <f>'Cap Outlay Deprec 26'!D13</f>
        <v>137440</v>
      </c>
      <c r="D2018" s="2" t="str">
        <f t="shared" si="30"/>
        <v>Error?</v>
      </c>
    </row>
    <row r="2019" spans="1:4" x14ac:dyDescent="0.2">
      <c r="A2019" s="5">
        <v>1958</v>
      </c>
      <c r="B2019" s="1832">
        <f>'Cap Outlay Deprec 26'!D16</f>
        <v>416715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39304</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39304</v>
      </c>
      <c r="C2025" s="2" t="s">
        <v>569</v>
      </c>
      <c r="D2025" s="2" t="str">
        <f t="shared" si="30"/>
        <v>Error?</v>
      </c>
    </row>
    <row r="2026" spans="1:4" x14ac:dyDescent="0.2">
      <c r="A2026" s="5">
        <v>1965</v>
      </c>
      <c r="B2026" s="1832">
        <f>'Cap Outlay Deprec 26'!F5</f>
        <v>212469</v>
      </c>
      <c r="C2026" s="2" t="s">
        <v>569</v>
      </c>
      <c r="D2026" s="2" t="str">
        <f t="shared" si="30"/>
        <v>Error?</v>
      </c>
    </row>
    <row r="2027" spans="1:4" x14ac:dyDescent="0.2">
      <c r="A2027" s="5">
        <v>1966</v>
      </c>
      <c r="B2027" s="1832">
        <f>'Cap Outlay Deprec 26'!F8</f>
        <v>20647575</v>
      </c>
      <c r="C2027" s="2" t="s">
        <v>569</v>
      </c>
      <c r="D2027" s="2" t="str">
        <f t="shared" si="30"/>
        <v>Error?</v>
      </c>
    </row>
    <row r="2028" spans="1:4" x14ac:dyDescent="0.2">
      <c r="A2028" s="5">
        <v>1967</v>
      </c>
      <c r="B2028" s="1832">
        <f>'Cap Outlay Deprec 26'!F10</f>
        <v>1095848</v>
      </c>
      <c r="C2028" s="2" t="s">
        <v>569</v>
      </c>
      <c r="D2028" s="2" t="str">
        <f t="shared" si="30"/>
        <v>Error?</v>
      </c>
    </row>
    <row r="2029" spans="1:4" x14ac:dyDescent="0.2">
      <c r="A2029" s="5">
        <v>1968</v>
      </c>
      <c r="B2029" s="1832">
        <f>'Cap Outlay Deprec 26'!F12</f>
        <v>1344011</v>
      </c>
      <c r="C2029" s="2" t="s">
        <v>569</v>
      </c>
      <c r="D2029" s="2" t="str">
        <f t="shared" si="30"/>
        <v>Error?</v>
      </c>
    </row>
    <row r="2030" spans="1:4" x14ac:dyDescent="0.2">
      <c r="A2030" s="5">
        <v>1969</v>
      </c>
      <c r="B2030" s="1832">
        <f>'Cap Outlay Deprec 26'!F13</f>
        <v>1236300</v>
      </c>
      <c r="C2030" s="2" t="s">
        <v>569</v>
      </c>
      <c r="D2030" s="2" t="str">
        <f t="shared" si="30"/>
        <v>Error?</v>
      </c>
    </row>
    <row r="2031" spans="1:4" x14ac:dyDescent="0.2">
      <c r="A2031" s="5">
        <v>1970</v>
      </c>
      <c r="B2031" s="1832">
        <f>'Cap Outlay Deprec 26'!F16</f>
        <v>24560581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7359551</v>
      </c>
      <c r="D2033" s="2" t="str">
        <f t="shared" si="30"/>
        <v>Error?</v>
      </c>
    </row>
    <row r="2034" spans="1:4" x14ac:dyDescent="0.2">
      <c r="A2034" s="5">
        <v>1973</v>
      </c>
      <c r="B2034" s="1832">
        <f>'Cap Outlay Deprec 26'!H10</f>
        <v>415907</v>
      </c>
      <c r="D2034" s="2" t="str">
        <f t="shared" si="30"/>
        <v>Error?</v>
      </c>
    </row>
    <row r="2035" spans="1:4" x14ac:dyDescent="0.2">
      <c r="A2035" s="5">
        <v>1974</v>
      </c>
      <c r="B2035" s="1832">
        <f>'Cap Outlay Deprec 26'!H12</f>
        <v>532783</v>
      </c>
      <c r="D2035" s="2" t="str">
        <f t="shared" si="30"/>
        <v>Error?</v>
      </c>
    </row>
    <row r="2036" spans="1:4" x14ac:dyDescent="0.2">
      <c r="A2036" s="5">
        <v>1975</v>
      </c>
      <c r="B2036" s="1832">
        <f>'Cap Outlay Deprec 26'!H13</f>
        <v>968608</v>
      </c>
      <c r="D2036" s="2" t="str">
        <f t="shared" si="30"/>
        <v>Error?</v>
      </c>
    </row>
    <row r="2037" spans="1:4" x14ac:dyDescent="0.2">
      <c r="A2037" s="5">
        <v>1976</v>
      </c>
      <c r="B2037" s="1832">
        <f>'Cap Outlay Deprec 26'!H16</f>
        <v>9288844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389822</v>
      </c>
      <c r="D2039" s="2" t="str">
        <f t="shared" si="30"/>
        <v>Error?</v>
      </c>
    </row>
    <row r="2040" spans="1:4" x14ac:dyDescent="0.2">
      <c r="A2040" s="5">
        <v>1979</v>
      </c>
      <c r="B2040" s="1832">
        <f>'Cap Outlay Deprec 26'!I10</f>
        <v>53196</v>
      </c>
      <c r="D2040" s="2" t="str">
        <f t="shared" si="30"/>
        <v>Error?</v>
      </c>
    </row>
    <row r="2041" spans="1:4" x14ac:dyDescent="0.2">
      <c r="A2041" s="5">
        <v>1980</v>
      </c>
      <c r="B2041" s="1832">
        <f>'Cap Outlay Deprec 26'!I12</f>
        <v>127102</v>
      </c>
      <c r="D2041" s="2" t="str">
        <f t="shared" si="30"/>
        <v>Error?</v>
      </c>
    </row>
    <row r="2042" spans="1:4" x14ac:dyDescent="0.2">
      <c r="A2042" s="5">
        <v>1981</v>
      </c>
      <c r="B2042" s="1832">
        <f>'Cap Outlay Deprec 26'!I13</f>
        <v>64834</v>
      </c>
      <c r="D2042" s="2" t="str">
        <f t="shared" si="30"/>
        <v>Error?</v>
      </c>
    </row>
    <row r="2043" spans="1:4" x14ac:dyDescent="0.2">
      <c r="A2043" s="5">
        <v>1982</v>
      </c>
      <c r="B2043" s="1832">
        <f>'Cap Outlay Deprec 26'!I16</f>
        <v>636910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39304</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39304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7749373</v>
      </c>
      <c r="C2051" s="2" t="s">
        <v>569</v>
      </c>
      <c r="D2051" s="2" t="str">
        <f t="shared" si="31"/>
        <v>Error?</v>
      </c>
    </row>
    <row r="2052" spans="1:4" x14ac:dyDescent="0.2">
      <c r="A2052" s="5">
        <v>1991</v>
      </c>
      <c r="B2052" s="1832">
        <f>'Cap Outlay Deprec 26'!K10</f>
        <v>469103</v>
      </c>
      <c r="C2052" s="2" t="s">
        <v>569</v>
      </c>
      <c r="D2052" s="2" t="str">
        <f t="shared" si="31"/>
        <v>Error?</v>
      </c>
    </row>
    <row r="2053" spans="1:4" x14ac:dyDescent="0.2">
      <c r="A2053" s="5">
        <v>1992</v>
      </c>
      <c r="B2053" s="1832">
        <f>'Cap Outlay Deprec 26'!K12</f>
        <v>620581</v>
      </c>
      <c r="C2053" s="2" t="s">
        <v>569</v>
      </c>
      <c r="D2053" s="2" t="str">
        <f t="shared" si="31"/>
        <v>Error?</v>
      </c>
    </row>
    <row r="2054" spans="1:4" x14ac:dyDescent="0.2">
      <c r="A2054" s="5">
        <v>1993</v>
      </c>
      <c r="B2054" s="1832">
        <f>'Cap Outlay Deprec 26'!K13</f>
        <v>1033442</v>
      </c>
      <c r="C2054" s="2" t="s">
        <v>569</v>
      </c>
      <c r="D2054" s="2" t="str">
        <f t="shared" si="31"/>
        <v>Error?</v>
      </c>
    </row>
    <row r="2055" spans="1:4" x14ac:dyDescent="0.2">
      <c r="A2055" s="5">
        <v>1994</v>
      </c>
      <c r="B2055" s="1832">
        <f>'Cap Outlay Deprec 26'!K16</f>
        <v>9886450</v>
      </c>
      <c r="C2055" s="2" t="s">
        <v>569</v>
      </c>
      <c r="D2055" s="2" t="str">
        <f t="shared" si="31"/>
        <v>Error?</v>
      </c>
    </row>
    <row r="2056" spans="1:4" x14ac:dyDescent="0.2">
      <c r="A2056" s="5">
        <v>1995</v>
      </c>
      <c r="B2056" s="1832">
        <f>'Cap Outlay Deprec 26'!L5</f>
        <v>212469</v>
      </c>
      <c r="C2056" s="2" t="s">
        <v>569</v>
      </c>
      <c r="D2056" s="2" t="str">
        <f t="shared" si="31"/>
        <v>Error?</v>
      </c>
    </row>
    <row r="2057" spans="1:4" x14ac:dyDescent="0.2">
      <c r="A2057" s="5">
        <v>1996</v>
      </c>
      <c r="B2057" s="1832">
        <f>'Cap Outlay Deprec 26'!L8</f>
        <v>12898202</v>
      </c>
      <c r="C2057" s="2" t="s">
        <v>569</v>
      </c>
      <c r="D2057" s="2" t="str">
        <f t="shared" si="31"/>
        <v>Error?</v>
      </c>
    </row>
    <row r="2058" spans="1:4" x14ac:dyDescent="0.2">
      <c r="A2058" s="5">
        <v>1997</v>
      </c>
      <c r="B2058" s="1832">
        <f>'Cap Outlay Deprec 26'!L10</f>
        <v>626745</v>
      </c>
      <c r="C2058" s="2" t="s">
        <v>569</v>
      </c>
      <c r="D2058" s="2" t="str">
        <f t="shared" si="31"/>
        <v>Error?</v>
      </c>
    </row>
    <row r="2059" spans="1:4" x14ac:dyDescent="0.2">
      <c r="A2059" s="5">
        <v>1998</v>
      </c>
      <c r="B2059" s="1832">
        <f>'Cap Outlay Deprec 26'!L12</f>
        <v>723430</v>
      </c>
      <c r="C2059" s="2" t="s">
        <v>569</v>
      </c>
      <c r="D2059" s="2" t="str">
        <f t="shared" si="31"/>
        <v>Error?</v>
      </c>
    </row>
    <row r="2060" spans="1:4" x14ac:dyDescent="0.2">
      <c r="A2060" s="5">
        <v>1999</v>
      </c>
      <c r="B2060" s="1832">
        <f>'Cap Outlay Deprec 26'!L13</f>
        <v>202858</v>
      </c>
      <c r="C2060" s="2" t="s">
        <v>569</v>
      </c>
      <c r="D2060" s="2" t="str">
        <f t="shared" si="31"/>
        <v>Error?</v>
      </c>
    </row>
    <row r="2061" spans="1:4" x14ac:dyDescent="0.2">
      <c r="A2061" s="5">
        <v>2000</v>
      </c>
      <c r="B2061" s="1832">
        <f>'Cap Outlay Deprec 26'!L16</f>
        <v>14674131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11080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33750</v>
      </c>
      <c r="C2088" s="2" t="s">
        <v>569</v>
      </c>
      <c r="D2088" s="2" t="str">
        <f t="shared" si="31"/>
        <v>Error?</v>
      </c>
    </row>
    <row r="2089" spans="1:4" x14ac:dyDescent="0.2">
      <c r="A2089" s="5">
        <v>2028</v>
      </c>
      <c r="B2089" s="1832">
        <f>'Expenditures 15-22'!K92</f>
        <v>130243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14600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23062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2109338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3466060</v>
      </c>
      <c r="C2553" s="2" t="s">
        <v>569</v>
      </c>
      <c r="D2553" s="2" t="str">
        <f t="shared" si="38"/>
        <v>Error?</v>
      </c>
    </row>
    <row r="2554" spans="1:4" x14ac:dyDescent="0.2">
      <c r="A2554" s="5">
        <v>2493</v>
      </c>
      <c r="B2554" s="1832">
        <f>'Acct Summary 7-8'!C7</f>
        <v>743979</v>
      </c>
      <c r="C2554" s="2" t="s">
        <v>569</v>
      </c>
      <c r="D2554" s="2" t="str">
        <f t="shared" si="38"/>
        <v>Error?</v>
      </c>
    </row>
    <row r="2555" spans="1:4" x14ac:dyDescent="0.2">
      <c r="A2555" s="5">
        <v>2494</v>
      </c>
      <c r="B2555" s="1832">
        <f>'Acct Summary 7-8'!C8</f>
        <v>6319377</v>
      </c>
      <c r="C2555" s="2" t="s">
        <v>569</v>
      </c>
      <c r="D2555" s="2" t="str">
        <f t="shared" si="38"/>
        <v>Error?</v>
      </c>
    </row>
    <row r="2556" spans="1:4" x14ac:dyDescent="0.2">
      <c r="A2556" s="5">
        <v>2495</v>
      </c>
      <c r="B2556" s="1832">
        <f>'Acct Summary 7-8'!C12</f>
        <v>4365113</v>
      </c>
      <c r="C2556" s="2" t="s">
        <v>569</v>
      </c>
      <c r="D2556" s="2" t="str">
        <f t="shared" si="38"/>
        <v>Error?</v>
      </c>
    </row>
    <row r="2557" spans="1:4" x14ac:dyDescent="0.2">
      <c r="A2557" s="5">
        <v>2496</v>
      </c>
      <c r="B2557" s="1832">
        <f>'Acct Summary 7-8'!C13</f>
        <v>1709729</v>
      </c>
      <c r="C2557" s="2" t="s">
        <v>569</v>
      </c>
      <c r="D2557" s="2" t="str">
        <f t="shared" si="38"/>
        <v>Error?</v>
      </c>
    </row>
    <row r="2558" spans="1:4" x14ac:dyDescent="0.2">
      <c r="A2558" s="5">
        <v>2497</v>
      </c>
      <c r="B2558" s="1832">
        <f>'Acct Summary 7-8'!C14</f>
        <v>10911</v>
      </c>
      <c r="C2558" s="2" t="s">
        <v>569</v>
      </c>
      <c r="D2558" s="2" t="str">
        <f t="shared" si="38"/>
        <v>Error?</v>
      </c>
    </row>
    <row r="2559" spans="1:4" x14ac:dyDescent="0.2">
      <c r="A2559" s="5">
        <v>2498</v>
      </c>
      <c r="B2559" s="1832">
        <f>'Acct Summary 7-8'!C15</f>
        <v>163993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6249746</v>
      </c>
      <c r="C2561" s="2" t="s">
        <v>569</v>
      </c>
      <c r="D2561" s="2" t="str">
        <f t="shared" si="39"/>
        <v>Error?</v>
      </c>
    </row>
    <row r="2562" spans="1:4" x14ac:dyDescent="0.2">
      <c r="A2562" s="5">
        <v>2501</v>
      </c>
      <c r="B2562" s="1832">
        <f>'Acct Summary 7-8'!C20</f>
        <v>69631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460063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680811</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1140874</v>
      </c>
      <c r="C2568" s="2" t="s">
        <v>569</v>
      </c>
      <c r="D2568" s="2" t="str">
        <f t="shared" si="39"/>
        <v>Error?</v>
      </c>
    </row>
    <row r="2569" spans="1:4" x14ac:dyDescent="0.2">
      <c r="A2569" s="5">
        <v>2508</v>
      </c>
      <c r="B2569" s="1832">
        <f>'Acct Summary 7-8'!D13</f>
        <v>1123434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1123434</v>
      </c>
      <c r="C2573" s="2" t="s">
        <v>569</v>
      </c>
      <c r="D2573" s="2" t="str">
        <f t="shared" si="39"/>
        <v>Error?</v>
      </c>
    </row>
    <row r="2574" spans="1:4" x14ac:dyDescent="0.2">
      <c r="A2574" s="5">
        <v>2513</v>
      </c>
      <c r="B2574" s="1832">
        <f>'Acct Summary 7-8'!D20</f>
        <v>17440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216005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459874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675879</v>
      </c>
      <c r="C2595" s="2" t="s">
        <v>569</v>
      </c>
      <c r="D2595" s="2" t="str">
        <f t="shared" si="39"/>
        <v>Error?</v>
      </c>
    </row>
    <row r="2596" spans="1:4" x14ac:dyDescent="0.2">
      <c r="A2596" s="5">
        <v>2535</v>
      </c>
      <c r="B2596" s="1832">
        <f>'Acct Summary 7-8'!F13</f>
        <v>677482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56327</v>
      </c>
      <c r="C2599" s="2" t="s">
        <v>569</v>
      </c>
      <c r="D2599" s="2" t="str">
        <f t="shared" si="39"/>
        <v>Error?</v>
      </c>
    </row>
    <row r="2600" spans="1:4" x14ac:dyDescent="0.2">
      <c r="A2600" s="5">
        <v>2539</v>
      </c>
      <c r="B2600" s="1832">
        <f>'Acct Summary 7-8'!F17</f>
        <v>733809</v>
      </c>
      <c r="C2600" s="2" t="s">
        <v>569</v>
      </c>
      <c r="D2600" s="2" t="str">
        <f t="shared" si="39"/>
        <v>Error?</v>
      </c>
    </row>
    <row r="2601" spans="1:4" x14ac:dyDescent="0.2">
      <c r="A2601" s="5">
        <v>2540</v>
      </c>
      <c r="B2601" s="1832">
        <f>'Acct Summary 7-8'!F20</f>
        <v>-57930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319975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319975</v>
      </c>
      <c r="C2606" s="2" t="s">
        <v>569</v>
      </c>
      <c r="D2606" s="2" t="str">
        <f t="shared" si="39"/>
        <v>Error?</v>
      </c>
    </row>
    <row r="2607" spans="1:4" x14ac:dyDescent="0.2">
      <c r="A2607" s="5">
        <v>2546</v>
      </c>
      <c r="B2607" s="1832">
        <f>'Acct Summary 7-8'!G12</f>
        <v>100287</v>
      </c>
      <c r="C2607" s="2" t="s">
        <v>569</v>
      </c>
      <c r="D2607" s="2" t="str">
        <f t="shared" si="39"/>
        <v>Error?</v>
      </c>
    </row>
    <row r="2608" spans="1:4" x14ac:dyDescent="0.2">
      <c r="A2608" s="5">
        <v>2547</v>
      </c>
      <c r="B2608" s="1832">
        <f>'Acct Summary 7-8'!G13</f>
        <v>259382</v>
      </c>
      <c r="C2608" s="2" t="s">
        <v>569</v>
      </c>
      <c r="D2608" s="2" t="str">
        <f t="shared" si="39"/>
        <v>Error?</v>
      </c>
    </row>
    <row r="2609" spans="1:4" x14ac:dyDescent="0.2">
      <c r="A2609" s="5">
        <v>2548</v>
      </c>
      <c r="B2609" s="1832">
        <f>'Acct Summary 7-8'!G14</f>
        <v>1070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360739</v>
      </c>
      <c r="C2612" s="2" t="s">
        <v>569</v>
      </c>
      <c r="D2612" s="2" t="str">
        <f t="shared" si="39"/>
        <v>Error?</v>
      </c>
    </row>
    <row r="2613" spans="1:4" x14ac:dyDescent="0.2">
      <c r="A2613" s="5">
        <v>2552</v>
      </c>
      <c r="B2613" s="1832">
        <f>'Acct Summary 7-8'!G20</f>
        <v>-40764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666609</v>
      </c>
      <c r="C2630" s="2" t="s">
        <v>569</v>
      </c>
      <c r="D2630" s="2" t="str">
        <f t="shared" si="40"/>
        <v>Error?</v>
      </c>
    </row>
    <row r="2631" spans="1:4" x14ac:dyDescent="0.2">
      <c r="A2631" s="5">
        <v>2570</v>
      </c>
      <c r="B2631" s="1832">
        <f>'Acct Summary 7-8'!E6</f>
        <v>89000</v>
      </c>
      <c r="C2631" s="2" t="s">
        <v>569</v>
      </c>
      <c r="D2631" s="2" t="str">
        <f t="shared" si="40"/>
        <v>Error?</v>
      </c>
    </row>
    <row r="2632" spans="1:4" x14ac:dyDescent="0.2">
      <c r="A2632" s="5">
        <v>2571</v>
      </c>
      <c r="B2632" s="1832">
        <f>'Acct Summary 7-8'!E8</f>
        <v>755609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752870</v>
      </c>
      <c r="C2634" s="2" t="s">
        <v>569</v>
      </c>
      <c r="D2634" s="2" t="str">
        <f t="shared" si="40"/>
        <v>Error?</v>
      </c>
    </row>
    <row r="2635" spans="1:4" x14ac:dyDescent="0.2">
      <c r="A2635" s="5">
        <v>2574</v>
      </c>
      <c r="B2635" s="1832">
        <f>'Acct Summary 7-8'!E17</f>
        <v>752870</v>
      </c>
      <c r="C2635" s="2" t="s">
        <v>569</v>
      </c>
      <c r="D2635" s="2" t="str">
        <f t="shared" si="40"/>
        <v>Error?</v>
      </c>
    </row>
    <row r="2636" spans="1:4" x14ac:dyDescent="0.2">
      <c r="A2636" s="5">
        <v>2575</v>
      </c>
      <c r="B2636" s="1832">
        <f>'Acct Summary 7-8'!E20</f>
        <v>2739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31123</v>
      </c>
      <c r="C2655" s="2" t="s">
        <v>569</v>
      </c>
      <c r="D2655" s="2" t="str">
        <f t="shared" si="40"/>
        <v>Error?</v>
      </c>
    </row>
    <row r="2656" spans="1:4" x14ac:dyDescent="0.2">
      <c r="A2656" s="5">
        <v>2595</v>
      </c>
      <c r="B2656" s="1832">
        <f>'Acct Summary 7-8'!H6</f>
        <v>56000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87123</v>
      </c>
      <c r="C2658" s="2" t="s">
        <v>569</v>
      </c>
      <c r="D2658" s="2" t="str">
        <f t="shared" si="40"/>
        <v>Error?</v>
      </c>
    </row>
    <row r="2659" spans="1:4" x14ac:dyDescent="0.2">
      <c r="A2659" s="5">
        <v>2598</v>
      </c>
      <c r="B2659" s="1832">
        <f>'Acct Summary 7-8'!H13</f>
        <v>42597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42597</v>
      </c>
      <c r="C2661" s="2" t="s">
        <v>569</v>
      </c>
      <c r="D2661" s="2" t="str">
        <f t="shared" si="40"/>
        <v>Error?</v>
      </c>
    </row>
    <row r="2662" spans="1:4" x14ac:dyDescent="0.2">
      <c r="A2662" s="5">
        <v>2601</v>
      </c>
      <c r="B2662" s="1832">
        <f>'Acct Summary 7-8'!H20</f>
        <v>44526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22670</v>
      </c>
      <c r="C2789" s="2" t="s">
        <v>569</v>
      </c>
      <c r="D2789" s="2" t="str">
        <f t="shared" si="42"/>
        <v>Error?</v>
      </c>
    </row>
    <row r="2790" spans="1:4" x14ac:dyDescent="0.2">
      <c r="A2790" s="5">
        <v>2729</v>
      </c>
      <c r="B2790" s="1832">
        <f>'Expenditures 15-22'!E102</f>
        <v>22670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8960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293960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807756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251159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807756</v>
      </c>
      <c r="D2912" s="2" t="str">
        <f t="shared" si="44"/>
        <v>Error?</v>
      </c>
    </row>
    <row r="2913" spans="1:4" x14ac:dyDescent="0.2">
      <c r="A2913" s="5">
        <v>2852</v>
      </c>
      <c r="B2913" s="1832">
        <f>'Assets-Liab 5-6'!I41</f>
        <v>807756</v>
      </c>
      <c r="C2913" s="2" t="s">
        <v>569</v>
      </c>
      <c r="D2913" s="2" t="str">
        <f t="shared" si="44"/>
        <v>Error?</v>
      </c>
    </row>
    <row r="2914" spans="1:4" x14ac:dyDescent="0.2">
      <c r="A2914" s="5">
        <v>2853</v>
      </c>
      <c r="B2914" s="1832">
        <f>'Assets-Liab 5-6'!L33</f>
        <v>251159</v>
      </c>
      <c r="D2914" s="2" t="str">
        <f t="shared" si="44"/>
        <v>Error?</v>
      </c>
    </row>
    <row r="2915" spans="1:4" x14ac:dyDescent="0.2">
      <c r="A2915" s="10">
        <v>2854</v>
      </c>
      <c r="B2915" s="1832"/>
      <c r="D2915" s="2" t="str">
        <f t="shared" si="44"/>
        <v>OK</v>
      </c>
    </row>
    <row r="2916" spans="1:4" x14ac:dyDescent="0.2">
      <c r="A2916" s="5">
        <v>2855</v>
      </c>
      <c r="B2916" s="1832">
        <f>'Assets-Liab 5-6'!L34</f>
        <v>251159</v>
      </c>
      <c r="C2916" s="2" t="s">
        <v>569</v>
      </c>
      <c r="D2916" s="2" t="str">
        <f t="shared" si="44"/>
        <v>Error?</v>
      </c>
    </row>
    <row r="2917" spans="1:4" x14ac:dyDescent="0.2">
      <c r="A2917" s="5">
        <v>2856</v>
      </c>
      <c r="B2917" s="1832">
        <f>'Assets-Liab 5-6'!L41</f>
        <v>251159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22670</v>
      </c>
      <c r="D2954" s="2" t="str">
        <f t="shared" si="45"/>
        <v>Error?</v>
      </c>
    </row>
    <row r="2955" spans="1:4" x14ac:dyDescent="0.2">
      <c r="A2955" s="5">
        <v>2894</v>
      </c>
      <c r="B2955" s="1832">
        <f>'Expenditures 15-22'!H78</f>
        <v>797</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10283</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797</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32953</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116294</v>
      </c>
      <c r="D3055" s="2" t="str">
        <f t="shared" si="46"/>
        <v>Error?</v>
      </c>
    </row>
    <row r="3056" spans="1:4" x14ac:dyDescent="0.2">
      <c r="A3056" s="5">
        <v>2995</v>
      </c>
      <c r="B3056" s="1832">
        <f>'Expenditures 15-22'!D10</f>
        <v>14869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446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131609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20514</v>
      </c>
      <c r="D3064" s="2" t="str">
        <f t="shared" si="46"/>
        <v>Error?</v>
      </c>
    </row>
    <row r="3065" spans="1:4" x14ac:dyDescent="0.2">
      <c r="A3065" s="5">
        <v>3004</v>
      </c>
      <c r="B3065" s="1832">
        <f>'Expenditures 15-22'!K219</f>
        <v>20514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51891</v>
      </c>
      <c r="C3225" s="2" t="s">
        <v>569</v>
      </c>
      <c r="D3225" s="2" t="str">
        <f t="shared" si="49"/>
        <v>Error?</v>
      </c>
    </row>
    <row r="3226" spans="1:4" x14ac:dyDescent="0.2">
      <c r="A3226" s="5">
        <v>3165</v>
      </c>
      <c r="B3226" s="1832">
        <f>'Acct Summary 7-8'!I8</f>
        <v>51891</v>
      </c>
      <c r="C3226" s="2" t="s">
        <v>569</v>
      </c>
      <c r="D3226" s="2" t="str">
        <f t="shared" si="49"/>
        <v>Error?</v>
      </c>
    </row>
    <row r="3227" spans="1:4" x14ac:dyDescent="0.2">
      <c r="A3227" s="5">
        <v>3166</v>
      </c>
      <c r="B3227" s="1832">
        <f>'Acct Summary 7-8'!I20</f>
        <v>51891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117100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117100</v>
      </c>
      <c r="C3232" s="2" t="s">
        <v>569</v>
      </c>
      <c r="D3232" s="2" t="str">
        <f t="shared" si="49"/>
        <v>Error?</v>
      </c>
    </row>
    <row r="3233" spans="1:4" x14ac:dyDescent="0.2">
      <c r="A3233" s="5">
        <v>3172</v>
      </c>
      <c r="B3233" s="1832">
        <f>'Acct Summary 7-8'!C78</f>
        <v>186731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17440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107836</v>
      </c>
      <c r="D3251" s="2" t="str">
        <f t="shared" si="49"/>
        <v>Error?</v>
      </c>
    </row>
    <row r="3252" spans="1:4" x14ac:dyDescent="0.2">
      <c r="A3252" s="5">
        <v>3191</v>
      </c>
      <c r="B3252" s="1832">
        <f>'Acct Summary 7-8'!F44</f>
        <v>107836</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107836</v>
      </c>
      <c r="C3255" s="2" t="s">
        <v>569</v>
      </c>
      <c r="D3255" s="2" t="str">
        <f t="shared" si="49"/>
        <v>Error?</v>
      </c>
    </row>
    <row r="3256" spans="1:4" x14ac:dyDescent="0.2">
      <c r="A3256" s="5">
        <v>3195</v>
      </c>
      <c r="B3256" s="1832">
        <f>'Acct Summary 7-8'!F78</f>
        <v>49906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-40764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2739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44526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51891</v>
      </c>
      <c r="C3320" s="2" t="s">
        <v>569</v>
      </c>
      <c r="D3320" s="2" t="str">
        <f t="shared" si="50"/>
        <v>Error?</v>
      </c>
    </row>
    <row r="3321" spans="1:4" x14ac:dyDescent="0.2">
      <c r="A3321" s="5">
        <v>3260</v>
      </c>
      <c r="B3321" s="1832">
        <f>'Acct Summary 7-8'!I79</f>
        <v>755865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807756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660787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129355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380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790522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34902</v>
      </c>
      <c r="D3387" s="2" t="str">
        <f t="shared" si="51"/>
        <v>Error?</v>
      </c>
    </row>
    <row r="3388" spans="1:4" x14ac:dyDescent="0.2">
      <c r="A3388" s="5">
        <v>3327</v>
      </c>
      <c r="B3388" s="1832">
        <f>'Expenditures 15-22'!D217</f>
        <v>27809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34902</v>
      </c>
      <c r="C3390" s="2" t="s">
        <v>569</v>
      </c>
      <c r="D3390" s="2" t="str">
        <f t="shared" si="51"/>
        <v>Error?</v>
      </c>
    </row>
    <row r="3391" spans="1:4" x14ac:dyDescent="0.2">
      <c r="A3391" s="5">
        <v>3330</v>
      </c>
      <c r="B3391" s="1832">
        <f>'Expenditures 15-22'!K217</f>
        <v>27809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969309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157747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8885</v>
      </c>
      <c r="D3417" s="2" t="str">
        <f t="shared" si="52"/>
        <v>Error?</v>
      </c>
    </row>
    <row r="3418" spans="1:4" x14ac:dyDescent="0.2">
      <c r="A3418" s="10">
        <v>3357</v>
      </c>
      <c r="B3418" s="1832"/>
      <c r="D3418" s="2" t="str">
        <f t="shared" si="52"/>
        <v>OK</v>
      </c>
    </row>
    <row r="3419" spans="1:4" x14ac:dyDescent="0.2">
      <c r="A3419" s="5">
        <v>3358</v>
      </c>
      <c r="B3419" s="1832">
        <f>'Assets-Liab 5-6'!F4</f>
        <v>346047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107667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51275</v>
      </c>
      <c r="D3425" s="2" t="str">
        <f t="shared" si="52"/>
        <v>Error?</v>
      </c>
    </row>
    <row r="3426" spans="1:4" x14ac:dyDescent="0.2">
      <c r="A3426" s="10">
        <v>3365</v>
      </c>
      <c r="B3426" s="1832"/>
      <c r="D3426" s="2" t="str">
        <f t="shared" si="52"/>
        <v>OK</v>
      </c>
    </row>
    <row r="3427" spans="1:4" x14ac:dyDescent="0.2">
      <c r="A3427" s="5">
        <v>3366</v>
      </c>
      <c r="B3427" s="1832">
        <f>'Assets-Liab 5-6'!I4</f>
        <v>513796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251159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160098</v>
      </c>
      <c r="C3446" s="2" t="s">
        <v>569</v>
      </c>
      <c r="D3446" s="2" t="str">
        <f t="shared" si="52"/>
        <v>Error?</v>
      </c>
    </row>
    <row r="3447" spans="1:4" x14ac:dyDescent="0.2">
      <c r="A3447" s="5">
        <v>3386</v>
      </c>
      <c r="B3447" s="1832">
        <f>'Tax Sched 23'!D16</f>
        <v>158896</v>
      </c>
      <c r="C3447" s="2" t="s">
        <v>569</v>
      </c>
      <c r="D3447" s="2" t="str">
        <f t="shared" si="52"/>
        <v>Error?</v>
      </c>
    </row>
    <row r="3448" spans="1:4" x14ac:dyDescent="0.2">
      <c r="A3448" s="5">
        <v>3387</v>
      </c>
      <c r="B3448" s="1832">
        <f>'Tax Sched 23'!C16</f>
        <v>1202</v>
      </c>
      <c r="D3448" s="2" t="str">
        <f t="shared" si="52"/>
        <v>Error?</v>
      </c>
    </row>
    <row r="3449" spans="1:4" x14ac:dyDescent="0.2">
      <c r="A3449" s="5">
        <v>3388</v>
      </c>
      <c r="B3449" s="1832">
        <f>'Tax Sched 23'!F16</f>
        <v>198863</v>
      </c>
      <c r="C3449" s="2" t="s">
        <v>569</v>
      </c>
      <c r="D3449" s="2" t="str">
        <f t="shared" si="52"/>
        <v>Error?</v>
      </c>
    </row>
    <row r="3450" spans="1:4" x14ac:dyDescent="0.2">
      <c r="A3450" s="5">
        <v>3389</v>
      </c>
      <c r="B3450" s="1832">
        <f>'Tax Sched 23'!E16</f>
        <v>200065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8960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8960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8960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684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684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684</v>
      </c>
      <c r="D3567" s="2" t="str">
        <f t="shared" si="54"/>
        <v>Error?</v>
      </c>
    </row>
    <row r="3568" spans="1:4" x14ac:dyDescent="0.2">
      <c r="A3568" s="5">
        <v>3507</v>
      </c>
      <c r="B3568" s="1832">
        <f>'Assets-Liab 5-6'!K41</f>
        <v>684</v>
      </c>
      <c r="C3568" s="2" t="s">
        <v>569</v>
      </c>
      <c r="D3568" s="2" t="str">
        <f t="shared" si="54"/>
        <v>Error?</v>
      </c>
    </row>
    <row r="3569" spans="1:4" x14ac:dyDescent="0.2">
      <c r="A3569" s="5">
        <v>3508</v>
      </c>
      <c r="B3569" s="1832">
        <f>'Acct Summary 7-8'!K4</f>
        <v>42420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42420</v>
      </c>
      <c r="C3571" s="2" t="s">
        <v>569</v>
      </c>
      <c r="D3571" s="2" t="str">
        <f t="shared" si="54"/>
        <v>Error?</v>
      </c>
    </row>
    <row r="3572" spans="1:4" x14ac:dyDescent="0.2">
      <c r="A3572" s="5">
        <v>3511</v>
      </c>
      <c r="B3572" s="1832">
        <f>'Acct Summary 7-8'!K13</f>
        <v>48235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48235</v>
      </c>
      <c r="C3575" s="2" t="s">
        <v>569</v>
      </c>
      <c r="D3575" s="2" t="str">
        <f t="shared" si="54"/>
        <v>Error?</v>
      </c>
    </row>
    <row r="3576" spans="1:4" x14ac:dyDescent="0.2">
      <c r="A3576" s="5">
        <v>3515</v>
      </c>
      <c r="B3576" s="1832">
        <f>'Acct Summary 7-8'!K20</f>
        <v>-5815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-5815</v>
      </c>
      <c r="C3588" s="2" t="s">
        <v>569</v>
      </c>
      <c r="D3588" s="2" t="str">
        <f t="shared" si="55"/>
        <v>Error?</v>
      </c>
    </row>
    <row r="3589" spans="1:4" x14ac:dyDescent="0.2">
      <c r="A3589" s="5">
        <v>3528</v>
      </c>
      <c r="B3589" s="1832">
        <f>'Acct Summary 7-8'!K79</f>
        <v>6499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684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39275</v>
      </c>
      <c r="D3632" s="2" t="str">
        <f t="shared" si="55"/>
        <v>Error?</v>
      </c>
    </row>
    <row r="3633" spans="1:4" x14ac:dyDescent="0.2">
      <c r="A3633" s="5">
        <v>3572</v>
      </c>
      <c r="B3633" s="1832">
        <f>'Expenditures 15-22'!E350</f>
        <v>39275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39275</v>
      </c>
      <c r="C3635" s="2" t="s">
        <v>569</v>
      </c>
      <c r="D3635" s="2" t="str">
        <f t="shared" si="55"/>
        <v>Error?</v>
      </c>
    </row>
    <row r="3636" spans="1:4" x14ac:dyDescent="0.2">
      <c r="A3636" s="5">
        <v>3575</v>
      </c>
      <c r="B3636" s="1832">
        <f>'Expenditures 15-22'!E367</f>
        <v>39275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8960</v>
      </c>
      <c r="D3646" s="2" t="str">
        <f t="shared" si="55"/>
        <v>Error?</v>
      </c>
    </row>
    <row r="3647" spans="1:4" x14ac:dyDescent="0.2">
      <c r="A3647" s="5">
        <v>3586</v>
      </c>
      <c r="B3647" s="1832">
        <f>'Expenditures 15-22'!G350</f>
        <v>8960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8960</v>
      </c>
      <c r="C3649" s="2" t="s">
        <v>569</v>
      </c>
      <c r="D3649" s="2" t="str">
        <f t="shared" si="56"/>
        <v>Error?</v>
      </c>
    </row>
    <row r="3650" spans="1:4" x14ac:dyDescent="0.2">
      <c r="A3650" s="5">
        <v>3589</v>
      </c>
      <c r="B3650" s="1832">
        <f>'Expenditures 15-22'!G367</f>
        <v>8960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48235</v>
      </c>
      <c r="C3669" s="2" t="s">
        <v>569</v>
      </c>
      <c r="D3669" s="2" t="str">
        <f t="shared" si="56"/>
        <v>Error?</v>
      </c>
    </row>
    <row r="3670" spans="1:4" x14ac:dyDescent="0.2">
      <c r="A3670" s="5">
        <v>3609</v>
      </c>
      <c r="B3670" s="1832">
        <f>'Expenditures 15-22'!K350</f>
        <v>48235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48235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48235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-5815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42274</v>
      </c>
      <c r="C3725" s="2" t="s">
        <v>569</v>
      </c>
      <c r="D3725" s="2" t="str">
        <f t="shared" si="57"/>
        <v>Error?</v>
      </c>
    </row>
    <row r="3726" spans="1:4" x14ac:dyDescent="0.2">
      <c r="A3726" s="5">
        <v>3665</v>
      </c>
      <c r="B3726" s="1832">
        <f>'Tax Sched 23'!D13</f>
        <v>42012</v>
      </c>
      <c r="C3726" s="2" t="s">
        <v>569</v>
      </c>
      <c r="D3726" s="2" t="str">
        <f t="shared" si="57"/>
        <v>Error?</v>
      </c>
    </row>
    <row r="3727" spans="1:4" x14ac:dyDescent="0.2">
      <c r="A3727" s="5">
        <v>3666</v>
      </c>
      <c r="B3727" s="1832">
        <f>'Tax Sched 23'!C13</f>
        <v>262</v>
      </c>
      <c r="D3727" s="2" t="str">
        <f t="shared" si="57"/>
        <v>Error?</v>
      </c>
    </row>
    <row r="3728" spans="1:4" x14ac:dyDescent="0.2">
      <c r="A3728" s="5">
        <v>3667</v>
      </c>
      <c r="B3728" s="1832">
        <f>'Tax Sched 23'!F13</f>
        <v>44981</v>
      </c>
      <c r="C3728" s="2" t="s">
        <v>569</v>
      </c>
      <c r="D3728" s="2" t="str">
        <f t="shared" si="57"/>
        <v>Error?</v>
      </c>
    </row>
    <row r="3729" spans="1:4" x14ac:dyDescent="0.2">
      <c r="A3729" s="5">
        <v>3668</v>
      </c>
      <c r="B3729" s="1832">
        <f>'Tax Sched 23'!E13</f>
        <v>45243</v>
      </c>
      <c r="D3729" s="2" t="str">
        <f t="shared" si="57"/>
        <v>Error?</v>
      </c>
    </row>
    <row r="3730" spans="1:4" x14ac:dyDescent="0.2">
      <c r="A3730" s="5">
        <v>3669</v>
      </c>
      <c r="B3730" s="1832">
        <f>'ICR Computation 30'!E10</f>
        <v>275047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295</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-295</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295</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3107836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9427213</v>
      </c>
      <c r="C4122" s="2" t="s">
        <v>569</v>
      </c>
      <c r="D4122" s="2" t="str">
        <f t="shared" si="63"/>
        <v>Error?</v>
      </c>
    </row>
    <row r="4123" spans="1:4" x14ac:dyDescent="0.2">
      <c r="A4123" s="5">
        <v>4062</v>
      </c>
      <c r="B4123" s="1832">
        <f>'Acct Summary 7-8'!D10</f>
        <v>1140874</v>
      </c>
      <c r="C4123" s="2" t="s">
        <v>569</v>
      </c>
      <c r="D4123" s="2" t="str">
        <f t="shared" si="63"/>
        <v>Error?</v>
      </c>
    </row>
    <row r="4124" spans="1:4" x14ac:dyDescent="0.2">
      <c r="A4124" s="5">
        <v>4063</v>
      </c>
      <c r="B4124" s="1832">
        <f>'Acct Summary 7-8'!E10</f>
        <v>755609</v>
      </c>
      <c r="C4124" s="2" t="s">
        <v>569</v>
      </c>
      <c r="D4124" s="2" t="str">
        <f t="shared" si="63"/>
        <v>Error?</v>
      </c>
    </row>
    <row r="4125" spans="1:4" x14ac:dyDescent="0.2">
      <c r="A4125" s="5">
        <v>4064</v>
      </c>
      <c r="B4125" s="1832">
        <f>'Acct Summary 7-8'!F10</f>
        <v>675879</v>
      </c>
      <c r="C4125" s="2" t="s">
        <v>569</v>
      </c>
      <c r="D4125" s="2" t="str">
        <f t="shared" si="63"/>
        <v>Error?</v>
      </c>
    </row>
    <row r="4126" spans="1:4" x14ac:dyDescent="0.2">
      <c r="A4126" s="5">
        <v>4065</v>
      </c>
      <c r="B4126" s="1832">
        <f>'Acct Summary 7-8'!G10</f>
        <v>319975</v>
      </c>
      <c r="C4126" s="2" t="s">
        <v>569</v>
      </c>
      <c r="D4126" s="2" t="str">
        <f t="shared" si="63"/>
        <v>Error?</v>
      </c>
    </row>
    <row r="4127" spans="1:4" x14ac:dyDescent="0.2">
      <c r="A4127" s="5">
        <v>4066</v>
      </c>
      <c r="B4127" s="1832">
        <f>'Acct Summary 7-8'!H10</f>
        <v>87123</v>
      </c>
      <c r="C4127" s="2" t="s">
        <v>569</v>
      </c>
      <c r="D4127" s="2" t="str">
        <f t="shared" si="63"/>
        <v>Error?</v>
      </c>
    </row>
    <row r="4128" spans="1:4" x14ac:dyDescent="0.2">
      <c r="A4128" s="5">
        <v>4067</v>
      </c>
      <c r="B4128" s="1832">
        <f>'Acct Summary 7-8'!I10</f>
        <v>51891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42420</v>
      </c>
      <c r="C4130" s="2" t="s">
        <v>569</v>
      </c>
      <c r="D4130" s="2" t="str">
        <f t="shared" si="63"/>
        <v>Error?</v>
      </c>
    </row>
    <row r="4131" spans="1:4" x14ac:dyDescent="0.2">
      <c r="A4131" s="5">
        <v>4070</v>
      </c>
      <c r="B4131" s="1832">
        <f>'Acct Summary 7-8'!C18</f>
        <v>3107836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9357582</v>
      </c>
      <c r="C4136" s="2" t="s">
        <v>569</v>
      </c>
      <c r="D4136" s="2" t="str">
        <f t="shared" si="63"/>
        <v>Error?</v>
      </c>
    </row>
    <row r="4137" spans="1:4" x14ac:dyDescent="0.2">
      <c r="A4137" s="5">
        <v>4076</v>
      </c>
      <c r="B4137" s="1832">
        <f>'Acct Summary 7-8'!D19</f>
        <v>1123434</v>
      </c>
      <c r="C4137" s="2" t="s">
        <v>569</v>
      </c>
      <c r="D4137" s="2" t="str">
        <f t="shared" si="63"/>
        <v>Error?</v>
      </c>
    </row>
    <row r="4138" spans="1:4" x14ac:dyDescent="0.2">
      <c r="A4138" s="5">
        <v>4077</v>
      </c>
      <c r="B4138" s="1832">
        <f>'Acct Summary 7-8'!E19</f>
        <v>752870</v>
      </c>
      <c r="C4138" s="2" t="s">
        <v>569</v>
      </c>
      <c r="D4138" s="2" t="str">
        <f t="shared" si="63"/>
        <v>Error?</v>
      </c>
    </row>
    <row r="4139" spans="1:4" x14ac:dyDescent="0.2">
      <c r="A4139" s="5">
        <v>4078</v>
      </c>
      <c r="B4139" s="1832">
        <f>'Acct Summary 7-8'!F19</f>
        <v>733809</v>
      </c>
      <c r="C4139" s="2" t="s">
        <v>569</v>
      </c>
      <c r="D4139" s="2" t="str">
        <f t="shared" si="63"/>
        <v>Error?</v>
      </c>
    </row>
    <row r="4140" spans="1:4" x14ac:dyDescent="0.2">
      <c r="A4140" s="5">
        <v>4079</v>
      </c>
      <c r="B4140" s="1832">
        <f>'Acct Summary 7-8'!G19</f>
        <v>360739</v>
      </c>
      <c r="C4140" s="2" t="s">
        <v>569</v>
      </c>
      <c r="D4140" s="2" t="str">
        <f t="shared" si="63"/>
        <v>Error?</v>
      </c>
    </row>
    <row r="4141" spans="1:4" x14ac:dyDescent="0.2">
      <c r="A4141" s="5">
        <v>4080</v>
      </c>
      <c r="B4141" s="1832">
        <f>'Acct Summary 7-8'!H19</f>
        <v>42597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48235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4825784</v>
      </c>
      <c r="C4171" s="2" t="s">
        <v>569</v>
      </c>
      <c r="D4171" s="2" t="str">
        <f t="shared" si="64"/>
        <v>Error?</v>
      </c>
    </row>
    <row r="4172" spans="1:4" x14ac:dyDescent="0.2">
      <c r="A4172" s="5">
        <v>4111</v>
      </c>
      <c r="B4172" s="1832">
        <f>'Short-Term Long-Term Debt 24'!J49</f>
        <v>4816899</v>
      </c>
      <c r="C4172" s="2" t="s">
        <v>569</v>
      </c>
      <c r="D4172" s="2" t="str">
        <f t="shared" si="64"/>
        <v>Error?</v>
      </c>
    </row>
    <row r="4173" spans="1:4" x14ac:dyDescent="0.2">
      <c r="A4173" s="5">
        <v>4112</v>
      </c>
      <c r="B4173" s="1832">
        <f>'Short-Term Long-Term Debt 24'!H49</f>
        <v>596012</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172922</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52014</v>
      </c>
      <c r="D4210" s="2" t="str">
        <f t="shared" si="64"/>
        <v>Error?</v>
      </c>
    </row>
    <row r="4211" spans="1:4" x14ac:dyDescent="0.2">
      <c r="A4211" s="5">
        <v>4150</v>
      </c>
      <c r="B4211" s="1832">
        <f>'Expenditures 15-22'!K206</f>
        <v>52014</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3351</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1840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2540</v>
      </c>
      <c r="C4268" s="2" t="s">
        <v>569</v>
      </c>
      <c r="D4268" s="2" t="str">
        <f t="shared" si="65"/>
        <v>Error?</v>
      </c>
    </row>
    <row r="4269" spans="1:5" x14ac:dyDescent="0.2">
      <c r="A4269" s="12">
        <v>4208</v>
      </c>
      <c r="B4269" s="1832">
        <f>'FP Info 3'!J16</f>
        <v>2747471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13077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65381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12229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29686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90486142</v>
      </c>
      <c r="D4995" s="2" t="str">
        <f t="shared" si="77"/>
        <v>Error?</v>
      </c>
    </row>
    <row r="4996" spans="1:4" x14ac:dyDescent="0.2">
      <c r="A4996" s="12">
        <v>4935</v>
      </c>
      <c r="B4996" s="1832">
        <f>'FP Info 3'!H31</f>
        <v>12487087.596000001</v>
      </c>
      <c r="D4996" s="2" t="str">
        <f t="shared" si="77"/>
        <v>Error?</v>
      </c>
    </row>
    <row r="4997" spans="1:4" x14ac:dyDescent="0.2">
      <c r="A4997" s="12">
        <v>4936</v>
      </c>
      <c r="B4997" s="1832">
        <f>'FP Info 3'!H37</f>
        <v>4825784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42274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1539013</v>
      </c>
      <c r="D5061" s="2" t="str">
        <f t="shared" si="78"/>
        <v>Error?</v>
      </c>
    </row>
    <row r="5062" spans="1:4" x14ac:dyDescent="0.2">
      <c r="A5062" s="10">
        <v>5001</v>
      </c>
      <c r="B5062" s="1832"/>
      <c r="D5062" s="2" t="str">
        <f t="shared" si="78"/>
        <v>OK</v>
      </c>
    </row>
    <row r="5063" spans="1:4" x14ac:dyDescent="0.2">
      <c r="A5063" s="5">
        <v>5002</v>
      </c>
      <c r="B5063" s="1832">
        <f>'Revenues 9-14'!C7</f>
        <v>33822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1615109</v>
      </c>
      <c r="C5066" s="2" t="s">
        <v>569</v>
      </c>
      <c r="D5066" s="2" t="str">
        <f t="shared" si="78"/>
        <v>Error?</v>
      </c>
    </row>
    <row r="5067" spans="1:4" x14ac:dyDescent="0.2">
      <c r="A5067" s="5">
        <v>5006</v>
      </c>
      <c r="B5067" s="1832">
        <f>'Revenues 9-14'!C14</f>
        <v>3052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226928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229980</v>
      </c>
      <c r="C5071" s="2" t="s">
        <v>569</v>
      </c>
      <c r="D5071" s="2" t="str">
        <f t="shared" si="78"/>
        <v>Error?</v>
      </c>
    </row>
    <row r="5072" spans="1:4" x14ac:dyDescent="0.2">
      <c r="A5072" s="5">
        <v>5011</v>
      </c>
      <c r="B5072" s="1832">
        <f>'Revenues 9-14'!C20</f>
        <v>1482</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1482</v>
      </c>
      <c r="C5087" s="2" t="s">
        <v>569</v>
      </c>
      <c r="D5087" s="2" t="str">
        <f t="shared" si="78"/>
        <v>Error?</v>
      </c>
    </row>
    <row r="5088" spans="1:4" x14ac:dyDescent="0.2">
      <c r="A5088" s="5">
        <v>5027</v>
      </c>
      <c r="B5088" s="1832">
        <f>'Revenues 9-14'!C65</f>
        <v>17273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17273</v>
      </c>
      <c r="C5090" s="2" t="s">
        <v>569</v>
      </c>
      <c r="D5090" s="2" t="str">
        <f t="shared" si="78"/>
        <v>Error?</v>
      </c>
    </row>
    <row r="5091" spans="1:4" x14ac:dyDescent="0.2">
      <c r="A5091" s="5">
        <v>5030</v>
      </c>
      <c r="B5091" s="1832">
        <f>'Revenues 9-14'!C70</f>
        <v>8817</v>
      </c>
      <c r="D5091" s="2" t="str">
        <f t="shared" si="78"/>
        <v>Error?</v>
      </c>
    </row>
    <row r="5092" spans="1:4" x14ac:dyDescent="0.2">
      <c r="A5092" s="5">
        <v>5031</v>
      </c>
      <c r="B5092" s="1832">
        <f>'Revenues 9-14'!C71</f>
        <v>13276</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5007</v>
      </c>
      <c r="D5094" s="2" t="str">
        <f t="shared" si="78"/>
        <v>Error?</v>
      </c>
    </row>
    <row r="5095" spans="1:4" x14ac:dyDescent="0.2">
      <c r="A5095" s="5">
        <v>5034</v>
      </c>
      <c r="B5095" s="1832">
        <f>'Revenues 9-14'!C74</f>
        <v>291</v>
      </c>
      <c r="D5095" s="2" t="str">
        <f t="shared" si="78"/>
        <v>Error?</v>
      </c>
    </row>
    <row r="5096" spans="1:4" x14ac:dyDescent="0.2">
      <c r="A5096" s="5">
        <v>5035</v>
      </c>
      <c r="B5096" s="1832">
        <f>'Revenues 9-14'!C75</f>
        <v>97318</v>
      </c>
      <c r="C5096" s="2" t="s">
        <v>569</v>
      </c>
      <c r="D5096" s="2" t="str">
        <f t="shared" si="78"/>
        <v>Error?</v>
      </c>
    </row>
    <row r="5097" spans="1:4" x14ac:dyDescent="0.2">
      <c r="A5097" s="5">
        <v>5036</v>
      </c>
      <c r="B5097" s="1832">
        <f>'Revenues 9-14'!C77</f>
        <v>26050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25621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51671</v>
      </c>
      <c r="C5102" s="2" t="s">
        <v>569</v>
      </c>
      <c r="D5102" s="2" t="str">
        <f t="shared" si="78"/>
        <v>Error?</v>
      </c>
    </row>
    <row r="5103" spans="1:4" x14ac:dyDescent="0.2">
      <c r="A5103" s="5">
        <v>5042</v>
      </c>
      <c r="B5103" s="1832">
        <f>'Revenues 9-14'!C84</f>
        <v>18232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18232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5170</v>
      </c>
      <c r="D5114" s="2" t="str">
        <f t="shared" si="78"/>
        <v>Error?</v>
      </c>
    </row>
    <row r="5115" spans="1:4" x14ac:dyDescent="0.2">
      <c r="A5115" s="5">
        <v>5054</v>
      </c>
      <c r="B5115" s="1832">
        <f>'Revenues 9-14'!C98</f>
        <v>46581</v>
      </c>
      <c r="D5115" s="2" t="str">
        <f t="shared" si="78"/>
        <v>Error?</v>
      </c>
    </row>
    <row r="5116" spans="1:4" x14ac:dyDescent="0.2">
      <c r="A5116" s="5">
        <v>5055</v>
      </c>
      <c r="B5116" s="1832">
        <f>'Revenues 9-14'!C99</f>
        <v>12171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7220</v>
      </c>
      <c r="D5118" s="2" t="str">
        <f t="shared" si="78"/>
        <v>Error?</v>
      </c>
    </row>
    <row r="5119" spans="1:4" x14ac:dyDescent="0.2">
      <c r="A5119" s="5">
        <v>5058</v>
      </c>
      <c r="B5119" s="1832">
        <f>'Revenues 9-14'!C107</f>
        <v>1781</v>
      </c>
      <c r="D5119" s="2" t="str">
        <f t="shared" ref="D5119:D5182" si="79">IF(ISBLANK(B5119),"OK",IF(A5119-B5119=0,"OK","Error?"))</f>
        <v>Error?</v>
      </c>
    </row>
    <row r="5120" spans="1:4" x14ac:dyDescent="0.2">
      <c r="A5120" s="5">
        <v>5059</v>
      </c>
      <c r="B5120" s="1832">
        <f>'Revenues 9-14'!C108</f>
        <v>78273</v>
      </c>
      <c r="C5120" s="2" t="s">
        <v>569</v>
      </c>
      <c r="D5120" s="2" t="str">
        <f t="shared" si="79"/>
        <v>Error?</v>
      </c>
    </row>
    <row r="5121" spans="1:4" x14ac:dyDescent="0.2">
      <c r="A5121" s="5">
        <v>5060</v>
      </c>
      <c r="B5121" s="1832">
        <f>'Revenues 9-14'!C109</f>
        <v>2109338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3387000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3387000</v>
      </c>
      <c r="C5132" s="2" t="s">
        <v>569</v>
      </c>
      <c r="D5132" s="2" t="str">
        <f t="shared" si="79"/>
        <v>Error?</v>
      </c>
    </row>
    <row r="5133" spans="1:4" x14ac:dyDescent="0.2">
      <c r="A5133" s="5">
        <v>5072</v>
      </c>
      <c r="B5133" s="1832">
        <f>'Revenues 9-14'!C125</f>
        <v>12815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21130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33945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19081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33304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2697</v>
      </c>
      <c r="D5167" s="2" t="str">
        <f t="shared" si="79"/>
        <v>Error?</v>
      </c>
    </row>
    <row r="5168" spans="1:4" x14ac:dyDescent="0.2">
      <c r="A5168" s="5">
        <v>5107</v>
      </c>
      <c r="B5168" s="1832">
        <f>'Revenues 9-14'!C148</f>
        <v>8364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79060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3466060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137094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44643</v>
      </c>
      <c r="D5241" s="2" t="str">
        <f t="shared" si="80"/>
        <v>Error?</v>
      </c>
    </row>
    <row r="5242" spans="1:4" x14ac:dyDescent="0.2">
      <c r="A5242" s="5">
        <v>5181</v>
      </c>
      <c r="B5242" s="1832">
        <f>'Revenues 9-14'!C194</f>
        <v>170035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351772</v>
      </c>
      <c r="C5246" s="2" t="s">
        <v>569</v>
      </c>
      <c r="D5246" s="2" t="str">
        <f t="shared" si="80"/>
        <v>Error?</v>
      </c>
    </row>
    <row r="5247" spans="1:4" x14ac:dyDescent="0.2">
      <c r="A5247" s="5">
        <v>5186</v>
      </c>
      <c r="B5247" s="1832">
        <f>'Revenues 9-14'!C200</f>
        <v>197800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12229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197800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69000</v>
      </c>
      <c r="D5278" s="2" t="str">
        <f t="shared" si="81"/>
        <v>Error?</v>
      </c>
    </row>
    <row r="5279" spans="1:4" x14ac:dyDescent="0.2">
      <c r="A5279" s="5">
        <v>5218</v>
      </c>
      <c r="B5279" s="1832">
        <f>'Revenues 9-14'!C214</f>
        <v>5034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74034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743979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743979</v>
      </c>
      <c r="C5326" s="2" t="s">
        <v>569</v>
      </c>
      <c r="D5326" s="2" t="str">
        <f t="shared" si="82"/>
        <v>Error?</v>
      </c>
    </row>
    <row r="5327" spans="1:5" x14ac:dyDescent="0.2">
      <c r="A5327" s="5">
        <v>5266</v>
      </c>
      <c r="B5327" s="1832">
        <f>'Revenues 9-14'!C268</f>
        <v>6319377</v>
      </c>
      <c r="C5327" s="2" t="s">
        <v>569</v>
      </c>
      <c r="D5327" s="2" t="str">
        <f t="shared" si="82"/>
        <v>Error?</v>
      </c>
    </row>
    <row r="5328" spans="1:5" x14ac:dyDescent="0.2">
      <c r="A5328" s="5">
        <v>5267</v>
      </c>
      <c r="B5328" s="1832">
        <f>'Revenues 9-14'!D5</f>
        <v>422749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422749</v>
      </c>
      <c r="C5334" s="2" t="s">
        <v>569</v>
      </c>
      <c r="D5334" s="2" t="str">
        <f t="shared" si="82"/>
        <v>Error?</v>
      </c>
    </row>
    <row r="5335" spans="1:4" x14ac:dyDescent="0.2">
      <c r="A5335" s="5">
        <v>5274</v>
      </c>
      <c r="B5335" s="1832">
        <f>'Revenues 9-14'!D14</f>
        <v>791</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791</v>
      </c>
      <c r="C5339" s="2" t="s">
        <v>569</v>
      </c>
      <c r="D5339" s="2" t="str">
        <f t="shared" si="82"/>
        <v>Error?</v>
      </c>
    </row>
    <row r="5340" spans="1:4" x14ac:dyDescent="0.2">
      <c r="A5340" s="5">
        <v>5279</v>
      </c>
      <c r="B5340" s="1832">
        <f>'Revenues 9-14'!D65</f>
        <v>1853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1853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46</v>
      </c>
      <c r="D5349" s="2" t="str">
        <f t="shared" si="82"/>
        <v>Error?</v>
      </c>
    </row>
    <row r="5350" spans="1:4" x14ac:dyDescent="0.2">
      <c r="A5350" s="5">
        <v>5289</v>
      </c>
      <c r="B5350" s="1832">
        <f>'Revenues 9-14'!D96</f>
        <v>4500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25950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4174</v>
      </c>
      <c r="D5354" s="2" t="str">
        <f t="shared" si="82"/>
        <v>Error?</v>
      </c>
    </row>
    <row r="5355" spans="1:4" x14ac:dyDescent="0.2">
      <c r="A5355" s="5">
        <v>5294</v>
      </c>
      <c r="B5355" s="1832">
        <f>'Revenues 9-14'!D108</f>
        <v>34670</v>
      </c>
      <c r="C5355" s="2" t="s">
        <v>569</v>
      </c>
      <c r="D5355" s="2" t="str">
        <f t="shared" si="82"/>
        <v>Error?</v>
      </c>
    </row>
    <row r="5356" spans="1:4" x14ac:dyDescent="0.2">
      <c r="A5356" s="5">
        <v>5295</v>
      </c>
      <c r="B5356" s="1832">
        <f>'Revenues 9-14'!D109</f>
        <v>460063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680811</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680811</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680811</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1140874</v>
      </c>
      <c r="C5508" s="2" t="s">
        <v>569</v>
      </c>
      <c r="D5508" s="2" t="str">
        <f t="shared" si="85"/>
        <v>Error?</v>
      </c>
    </row>
    <row r="5509" spans="1:4" x14ac:dyDescent="0.2">
      <c r="A5509" s="5">
        <v>5448</v>
      </c>
      <c r="B5509" s="1832">
        <f>'Revenues 9-14'!E5</f>
        <v>663941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663941</v>
      </c>
      <c r="C5513" s="2" t="s">
        <v>569</v>
      </c>
      <c r="D5513" s="2" t="str">
        <f t="shared" si="85"/>
        <v>Error?</v>
      </c>
    </row>
    <row r="5514" spans="1:4" x14ac:dyDescent="0.2">
      <c r="A5514" s="5">
        <v>5453</v>
      </c>
      <c r="B5514" s="1832">
        <f>'Revenues 9-14'!E14</f>
        <v>1234</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1234</v>
      </c>
      <c r="C5518" s="2" t="s">
        <v>569</v>
      </c>
      <c r="D5518" s="2" t="str">
        <f t="shared" si="85"/>
        <v>Error?</v>
      </c>
    </row>
    <row r="5519" spans="1:4" x14ac:dyDescent="0.2">
      <c r="A5519" s="5">
        <v>5458</v>
      </c>
      <c r="B5519" s="1832">
        <f>'Revenues 9-14'!E65</f>
        <v>1434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1434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666609</v>
      </c>
      <c r="C5527" s="2" t="s">
        <v>569</v>
      </c>
      <c r="D5527" s="2" t="str">
        <f t="shared" si="85"/>
        <v>Error?</v>
      </c>
    </row>
    <row r="5528" spans="1:4" x14ac:dyDescent="0.2">
      <c r="A5528" s="5">
        <v>5467</v>
      </c>
      <c r="B5528" s="1832">
        <f>'Revenues 9-14'!E117</f>
        <v>89000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89000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89000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755609</v>
      </c>
      <c r="C5552" s="2" t="s">
        <v>569</v>
      </c>
      <c r="D5552" s="2" t="str">
        <f t="shared" si="85"/>
        <v>Error?</v>
      </c>
    </row>
    <row r="5553" spans="1:4" x14ac:dyDescent="0.2">
      <c r="A5553" s="5">
        <v>5492</v>
      </c>
      <c r="B5553" s="1832">
        <f>'Revenues 9-14'!F5</f>
        <v>169101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169101</v>
      </c>
      <c r="C5557" s="2" t="s">
        <v>569</v>
      </c>
      <c r="D5557" s="2" t="str">
        <f t="shared" si="85"/>
        <v>Error?</v>
      </c>
    </row>
    <row r="5558" spans="1:4" x14ac:dyDescent="0.2">
      <c r="A5558" s="5">
        <v>5497</v>
      </c>
      <c r="B5558" s="1832">
        <f>'Revenues 9-14'!F14</f>
        <v>316</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316</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44180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44180</v>
      </c>
      <c r="C5579" s="2" t="s">
        <v>569</v>
      </c>
      <c r="D5579" s="2" t="str">
        <f t="shared" si="86"/>
        <v>Error?</v>
      </c>
    </row>
    <row r="5580" spans="1:4" x14ac:dyDescent="0.2">
      <c r="A5580" s="5">
        <v>5519</v>
      </c>
      <c r="B5580" s="1832">
        <f>'Revenues 9-14'!F65</f>
        <v>2476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2476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-68</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-68</v>
      </c>
      <c r="C5587" s="2" t="s">
        <v>569</v>
      </c>
      <c r="D5587" s="2" t="str">
        <f t="shared" si="86"/>
        <v>Error?</v>
      </c>
    </row>
    <row r="5588" spans="1:4" x14ac:dyDescent="0.2">
      <c r="A5588" s="5">
        <v>5527</v>
      </c>
      <c r="B5588" s="1832">
        <f>'Revenues 9-14'!F109</f>
        <v>216005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113500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113500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240668</v>
      </c>
      <c r="D5615" s="2" t="str">
        <f t="shared" si="86"/>
        <v>Error?</v>
      </c>
    </row>
    <row r="5616" spans="1:4" x14ac:dyDescent="0.2">
      <c r="A5616" s="10">
        <v>5555</v>
      </c>
      <c r="B5616" s="1832"/>
      <c r="D5616" s="2" t="str">
        <f t="shared" si="86"/>
        <v>OK</v>
      </c>
    </row>
    <row r="5617" spans="1:5" x14ac:dyDescent="0.2">
      <c r="A5617" s="5">
        <v>5556</v>
      </c>
      <c r="B5617" s="1832">
        <f>'Revenues 9-14'!F153</f>
        <v>105706</v>
      </c>
      <c r="D5617" s="2" t="str">
        <f t="shared" si="86"/>
        <v>Error?</v>
      </c>
    </row>
    <row r="5618" spans="1:5" x14ac:dyDescent="0.2">
      <c r="A5618" s="5">
        <v>5557</v>
      </c>
      <c r="B5618" s="1832">
        <f>'Revenues 9-14'!F155</f>
        <v>346374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346374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459874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675879</v>
      </c>
      <c r="C5720" s="2" t="s">
        <v>569</v>
      </c>
      <c r="D5720" s="2" t="str">
        <f t="shared" si="88"/>
        <v>Error?</v>
      </c>
    </row>
    <row r="5721" spans="1:4" x14ac:dyDescent="0.2">
      <c r="A5721" s="5">
        <v>5660</v>
      </c>
      <c r="B5721" s="1832">
        <f>'Revenues 9-14'!G5</f>
        <v>145182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160098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305280</v>
      </c>
      <c r="C5725" s="2" t="s">
        <v>569</v>
      </c>
      <c r="D5725" s="2" t="str">
        <f t="shared" si="88"/>
        <v>Error?</v>
      </c>
    </row>
    <row r="5726" spans="1:4" x14ac:dyDescent="0.2">
      <c r="A5726" s="5">
        <v>5665</v>
      </c>
      <c r="B5726" s="1832">
        <f>'Revenues 9-14'!G14</f>
        <v>566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11944</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12510</v>
      </c>
      <c r="C5730" s="2" t="s">
        <v>569</v>
      </c>
      <c r="D5730" s="2" t="str">
        <f t="shared" si="88"/>
        <v>Error?</v>
      </c>
    </row>
    <row r="5731" spans="1:4" x14ac:dyDescent="0.2">
      <c r="A5731" s="5">
        <v>5670</v>
      </c>
      <c r="B5731" s="1832">
        <f>'Revenues 9-14'!G65</f>
        <v>2185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2185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319975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31077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6000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56000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87123</v>
      </c>
      <c r="C5915" s="2" t="s">
        <v>569</v>
      </c>
      <c r="D5915" s="2" t="str">
        <f t="shared" si="91"/>
        <v>Error?</v>
      </c>
    </row>
    <row r="5916" spans="1:4" x14ac:dyDescent="0.2">
      <c r="A5916" s="5">
        <v>5855</v>
      </c>
      <c r="B5916" s="1832">
        <f>'Revenues 9-14'!I5</f>
        <v>42274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42274</v>
      </c>
      <c r="C5918" s="2" t="s">
        <v>569</v>
      </c>
      <c r="D5918" s="2" t="str">
        <f t="shared" si="91"/>
        <v>Error?</v>
      </c>
    </row>
    <row r="5919" spans="1:4" x14ac:dyDescent="0.2">
      <c r="A5919" s="5">
        <v>5858</v>
      </c>
      <c r="B5919" s="1832">
        <f>'Revenues 9-14'!I14</f>
        <v>79</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79</v>
      </c>
      <c r="C5923" s="2" t="s">
        <v>569</v>
      </c>
      <c r="D5923" s="2" t="str">
        <f t="shared" si="91"/>
        <v>Error?</v>
      </c>
    </row>
    <row r="5924" spans="1:4" x14ac:dyDescent="0.2">
      <c r="A5924" s="5">
        <v>5863</v>
      </c>
      <c r="B5924" s="1832">
        <f>'Revenues 9-14'!I65</f>
        <v>9538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9538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51891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42274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42274</v>
      </c>
      <c r="C5987" s="2" t="s">
        <v>569</v>
      </c>
      <c r="D5987" s="2" t="str">
        <f t="shared" si="92"/>
        <v>Error?</v>
      </c>
    </row>
    <row r="5988" spans="1:4" x14ac:dyDescent="0.2">
      <c r="A5988" s="5">
        <v>5927</v>
      </c>
      <c r="B5988" s="1832">
        <f>'Revenues 9-14'!K14</f>
        <v>79</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79</v>
      </c>
      <c r="C5992" s="2" t="s">
        <v>569</v>
      </c>
      <c r="D5992" s="2" t="str">
        <f t="shared" si="92"/>
        <v>Error?</v>
      </c>
    </row>
    <row r="5993" spans="1:4" x14ac:dyDescent="0.2">
      <c r="A5993" s="5">
        <v>5932</v>
      </c>
      <c r="B5993" s="1832">
        <f>'Revenues 9-14'!K65</f>
        <v>67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42420</v>
      </c>
      <c r="C6023" s="2" t="s">
        <v>569</v>
      </c>
      <c r="D6023" s="2" t="str">
        <f t="shared" si="93"/>
        <v>Error?</v>
      </c>
    </row>
    <row r="6024" spans="1:5" x14ac:dyDescent="0.2">
      <c r="A6024" s="5">
        <v>5963</v>
      </c>
      <c r="B6024" s="1832">
        <f>'Revenues 9-14'!G109</f>
        <v>319975</v>
      </c>
      <c r="C6024" s="2" t="s">
        <v>569</v>
      </c>
      <c r="D6024" s="2" t="str">
        <f t="shared" si="93"/>
        <v>Error?</v>
      </c>
    </row>
    <row r="6025" spans="1:5" x14ac:dyDescent="0.2">
      <c r="A6025" s="5">
        <v>5964</v>
      </c>
      <c r="B6025" s="1832">
        <f>'Revenues 9-14'!H109</f>
        <v>31123</v>
      </c>
      <c r="C6025" s="2" t="s">
        <v>569</v>
      </c>
      <c r="D6025" s="2" t="str">
        <f t="shared" si="93"/>
        <v>Error?</v>
      </c>
    </row>
    <row r="6026" spans="1:5" x14ac:dyDescent="0.2">
      <c r="A6026" s="5">
        <v>5965</v>
      </c>
      <c r="B6026" s="1832">
        <f>'Revenues 9-14'!I109</f>
        <v>51891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42420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69927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40825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835.7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9713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9713</v>
      </c>
      <c r="D6215" s="2" t="str">
        <f t="shared" si="96"/>
        <v>Error?</v>
      </c>
      <c r="E6215" s="2" t="s">
        <v>189</v>
      </c>
    </row>
    <row r="6216" spans="1:5" x14ac:dyDescent="0.2">
      <c r="A6216">
        <v>6155</v>
      </c>
      <c r="B6216" s="1832">
        <f>'Assets-Liab 5-6'!J41</f>
        <v>9713</v>
      </c>
      <c r="D6216" s="2" t="str">
        <f t="shared" si="96"/>
        <v>Error?</v>
      </c>
      <c r="E6216" s="2" t="s">
        <v>189</v>
      </c>
    </row>
    <row r="6217" spans="1:5" x14ac:dyDescent="0.2">
      <c r="A6217">
        <v>6156</v>
      </c>
      <c r="B6217" s="1832">
        <f>'Assets-Liab 5-6'!J4</f>
        <v>9713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532209</v>
      </c>
      <c r="D6220" s="2" t="str">
        <f t="shared" si="96"/>
        <v>Error?</v>
      </c>
      <c r="E6220" s="2" t="s">
        <v>189</v>
      </c>
    </row>
    <row r="6221" spans="1:5" x14ac:dyDescent="0.2">
      <c r="A6221">
        <v>6160</v>
      </c>
      <c r="B6221" s="1832">
        <f>'Acct Summary 7-8'!J6</f>
        <v>34000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566209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566209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561262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561262</v>
      </c>
      <c r="D6229" s="2" t="str">
        <f t="shared" si="96"/>
        <v>Error?</v>
      </c>
      <c r="E6229" s="2" t="s">
        <v>189</v>
      </c>
    </row>
    <row r="6230" spans="1:5" x14ac:dyDescent="0.2">
      <c r="A6230">
        <v>6169</v>
      </c>
      <c r="B6230" s="1832">
        <f>'Acct Summary 7-8'!J20</f>
        <v>4947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4947</v>
      </c>
      <c r="D6263" s="2" t="str">
        <f t="shared" si="96"/>
        <v>Error?</v>
      </c>
      <c r="E6263" s="2" t="s">
        <v>189</v>
      </c>
    </row>
    <row r="6264" spans="1:5" x14ac:dyDescent="0.2">
      <c r="A6264">
        <v>6203</v>
      </c>
      <c r="B6264" s="1832">
        <f>'Acct Summary 7-8'!J79</f>
        <v>4766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9713</v>
      </c>
      <c r="D6266" s="2" t="str">
        <f t="shared" si="96"/>
        <v>Error?</v>
      </c>
      <c r="E6266" s="2" t="s">
        <v>189</v>
      </c>
    </row>
    <row r="6267" spans="1:5" x14ac:dyDescent="0.2">
      <c r="A6267">
        <v>6206</v>
      </c>
      <c r="B6267" s="1832">
        <f>'Acct Summary 7-8'!C82</f>
        <v>186731</v>
      </c>
      <c r="D6267" s="2" t="str">
        <f t="shared" si="96"/>
        <v>Error?</v>
      </c>
      <c r="E6267" s="2" t="s">
        <v>189</v>
      </c>
    </row>
    <row r="6268" spans="1:5" x14ac:dyDescent="0.2">
      <c r="A6268">
        <v>6207</v>
      </c>
      <c r="B6268" s="1832">
        <f>'Acct Summary 7-8'!D82</f>
        <v>17440</v>
      </c>
      <c r="D6268" s="2" t="str">
        <f t="shared" si="96"/>
        <v>Error?</v>
      </c>
      <c r="E6268" s="2" t="s">
        <v>189</v>
      </c>
    </row>
    <row r="6269" spans="1:5" x14ac:dyDescent="0.2">
      <c r="A6269">
        <v>6208</v>
      </c>
      <c r="B6269" s="1832">
        <f>'Acct Summary 7-8'!E82</f>
        <v>2739</v>
      </c>
      <c r="D6269" s="2" t="str">
        <f t="shared" si="96"/>
        <v>Error?</v>
      </c>
      <c r="E6269" s="2" t="s">
        <v>189</v>
      </c>
    </row>
    <row r="6270" spans="1:5" x14ac:dyDescent="0.2">
      <c r="A6270">
        <v>6209</v>
      </c>
      <c r="B6270" s="1832">
        <f>'Acct Summary 7-8'!F82</f>
        <v>49906</v>
      </c>
      <c r="D6270" s="2" t="str">
        <f t="shared" si="96"/>
        <v>Error?</v>
      </c>
      <c r="E6270" s="2" t="s">
        <v>189</v>
      </c>
    </row>
    <row r="6271" spans="1:5" x14ac:dyDescent="0.2">
      <c r="A6271">
        <v>6210</v>
      </c>
      <c r="B6271" s="1832">
        <f>'Acct Summary 7-8'!G82</f>
        <v>-40764</v>
      </c>
      <c r="D6271" s="2" t="str">
        <f t="shared" ref="D6271:D6334" si="97">IF(ISBLANK(B6271),"OK",IF(A6271-B6271=0,"OK","Error?"))</f>
        <v>Error?</v>
      </c>
      <c r="E6271" s="2" t="s">
        <v>189</v>
      </c>
    </row>
    <row r="6272" spans="1:5" x14ac:dyDescent="0.2">
      <c r="A6272">
        <v>6211</v>
      </c>
      <c r="B6272" s="1832">
        <f>'Acct Summary 7-8'!H82</f>
        <v>44526</v>
      </c>
      <c r="D6272" s="2" t="str">
        <f t="shared" si="97"/>
        <v>Error?</v>
      </c>
      <c r="E6272" s="2" t="s">
        <v>189</v>
      </c>
    </row>
    <row r="6273" spans="1:5" x14ac:dyDescent="0.2">
      <c r="A6273">
        <v>6212</v>
      </c>
      <c r="B6273" s="1832">
        <f>'Acct Summary 7-8'!I82</f>
        <v>51891</v>
      </c>
      <c r="D6273" s="2" t="str">
        <f t="shared" si="97"/>
        <v>Error?</v>
      </c>
      <c r="E6273" s="2" t="s">
        <v>189</v>
      </c>
    </row>
    <row r="6274" spans="1:5" x14ac:dyDescent="0.2">
      <c r="A6274">
        <v>6213</v>
      </c>
      <c r="B6274" s="1832">
        <f>'Acct Summary 7-8'!J82</f>
        <v>4947</v>
      </c>
      <c r="D6274" s="2" t="str">
        <f t="shared" si="97"/>
        <v>Error?</v>
      </c>
      <c r="E6274" s="2" t="s">
        <v>189</v>
      </c>
    </row>
    <row r="6275" spans="1:5" x14ac:dyDescent="0.2">
      <c r="A6275">
        <v>6214</v>
      </c>
      <c r="B6275" s="1832">
        <f>'Acct Summary 7-8'!K82</f>
        <v>-5815</v>
      </c>
      <c r="D6275" s="2" t="str">
        <f t="shared" si="97"/>
        <v>Error?</v>
      </c>
      <c r="E6275" s="2" t="s">
        <v>189</v>
      </c>
    </row>
    <row r="6276" spans="1:5" x14ac:dyDescent="0.2">
      <c r="A6276">
        <v>6215</v>
      </c>
      <c r="B6276" s="1832">
        <f>'Acct Summary 7-8'!C83</f>
        <v>0.12992160772693023</v>
      </c>
      <c r="D6276" s="2" t="str">
        <f t="shared" si="97"/>
        <v>Error?</v>
      </c>
      <c r="E6276" s="2" t="s">
        <v>189</v>
      </c>
    </row>
    <row r="6277" spans="1:5" x14ac:dyDescent="0.2">
      <c r="A6277">
        <v>6216</v>
      </c>
      <c r="B6277" s="1832">
        <f>'Acct Summary 7-8'!D83</f>
        <v>0.11102481506474325</v>
      </c>
      <c r="D6277" s="2" t="str">
        <f t="shared" si="97"/>
        <v>Error?</v>
      </c>
      <c r="E6277" s="2" t="s">
        <v>189</v>
      </c>
    </row>
    <row r="6278" spans="1:5" x14ac:dyDescent="0.2">
      <c r="A6278">
        <v>6217</v>
      </c>
      <c r="B6278" s="1832">
        <f>'Acct Summary 7-8'!E83</f>
        <v>0.30827236916150819</v>
      </c>
      <c r="D6278" s="2" t="str">
        <f t="shared" si="97"/>
        <v>Error?</v>
      </c>
      <c r="E6278" s="2" t="s">
        <v>189</v>
      </c>
    </row>
    <row r="6279" spans="1:5" x14ac:dyDescent="0.2">
      <c r="A6279">
        <v>6218</v>
      </c>
      <c r="B6279" s="1832">
        <f>'Acct Summary 7-8'!F83</f>
        <v>0.14449842779132188</v>
      </c>
      <c r="D6279" s="2" t="str">
        <f t="shared" si="97"/>
        <v>Error?</v>
      </c>
      <c r="E6279" s="2" t="s">
        <v>189</v>
      </c>
    </row>
    <row r="6280" spans="1:5" x14ac:dyDescent="0.2">
      <c r="A6280">
        <v>6219</v>
      </c>
      <c r="B6280" s="1832">
        <f>'Acct Summary 7-8'!G83</f>
        <v>-0.37861183092312406</v>
      </c>
      <c r="D6280" s="2" t="str">
        <f t="shared" si="97"/>
        <v>Error?</v>
      </c>
      <c r="E6280" s="2" t="s">
        <v>189</v>
      </c>
    </row>
    <row r="6281" spans="1:5" x14ac:dyDescent="0.2">
      <c r="A6281">
        <v>6220</v>
      </c>
      <c r="B6281" s="1832">
        <f>'Acct Summary 7-8'!H83</f>
        <v>0.86837640175524133</v>
      </c>
      <c r="D6281" s="2" t="str">
        <f t="shared" si="97"/>
        <v>Error?</v>
      </c>
      <c r="E6281" s="2" t="s">
        <v>189</v>
      </c>
    </row>
    <row r="6282" spans="1:5" x14ac:dyDescent="0.2">
      <c r="A6282">
        <v>6221</v>
      </c>
      <c r="B6282" s="1832">
        <f>'Acct Summary 7-8'!I83</f>
        <v>6.4240934143478978E-2</v>
      </c>
      <c r="D6282" s="2" t="str">
        <f t="shared" si="97"/>
        <v>Error?</v>
      </c>
      <c r="E6282" s="2" t="s">
        <v>189</v>
      </c>
    </row>
    <row r="6283" spans="1:5" x14ac:dyDescent="0.2">
      <c r="A6283">
        <v>6222</v>
      </c>
      <c r="B6283" s="1832">
        <f>'Acct Summary 7-8'!J83</f>
        <v>0.50931740965716055</v>
      </c>
      <c r="D6283" s="2" t="str">
        <f t="shared" si="97"/>
        <v>Error?</v>
      </c>
      <c r="E6283" s="2" t="s">
        <v>189</v>
      </c>
    </row>
    <row r="6284" spans="1:5" x14ac:dyDescent="0.2">
      <c r="A6284">
        <v>6223</v>
      </c>
      <c r="B6284" s="1832">
        <f>'Acct Summary 7-8'!K83</f>
        <v>-8.5014619883040936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117100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529339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529339</v>
      </c>
      <c r="D6301" s="2" t="str">
        <f t="shared" si="97"/>
        <v>Error?</v>
      </c>
      <c r="E6301" s="2" t="s">
        <v>189</v>
      </c>
    </row>
    <row r="6302" spans="1:5" x14ac:dyDescent="0.2">
      <c r="A6302">
        <v>6241</v>
      </c>
      <c r="B6302" s="1832">
        <f>'Revenues 9-14'!J14</f>
        <v>984</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984</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1886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1886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5350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532209</v>
      </c>
      <c r="D6352" s="2" t="str">
        <f t="shared" si="98"/>
        <v>Error?</v>
      </c>
      <c r="E6352" s="2" t="s">
        <v>189</v>
      </c>
    </row>
    <row r="6353" spans="1:5" x14ac:dyDescent="0.2">
      <c r="A6353">
        <v>6292</v>
      </c>
      <c r="B6353" s="1832">
        <f>'Revenues 9-14'!J117</f>
        <v>34000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34000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10872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34000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61278</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7467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2530</v>
      </c>
      <c r="D6878" s="2" t="str">
        <f t="shared" si="106"/>
        <v>Error?</v>
      </c>
    </row>
    <row r="6879" spans="1:4" x14ac:dyDescent="0.2">
      <c r="A6879">
        <v>6818</v>
      </c>
      <c r="B6879" s="1832">
        <f>'Expenditures 15-22'!K21</f>
        <v>2530</v>
      </c>
      <c r="D6879" s="2" t="str">
        <f t="shared" si="106"/>
        <v>Error?</v>
      </c>
    </row>
    <row r="6880" spans="1:4" x14ac:dyDescent="0.2">
      <c r="A6880">
        <v>6819</v>
      </c>
      <c r="B6880" s="1832">
        <f>'Expenditures 15-22'!H22</f>
        <v>60934</v>
      </c>
      <c r="D6880" s="2" t="str">
        <f t="shared" si="106"/>
        <v>Error?</v>
      </c>
    </row>
    <row r="6881" spans="1:4" x14ac:dyDescent="0.2">
      <c r="A6881">
        <v>6820</v>
      </c>
      <c r="B6881" s="1832">
        <f>'Expenditures 15-22'!K22</f>
        <v>60934</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2115</v>
      </c>
      <c r="D6981" s="2" t="str">
        <f t="shared" si="108"/>
        <v>Error?</v>
      </c>
    </row>
    <row r="6982" spans="1:4" x14ac:dyDescent="0.2">
      <c r="A6982">
        <v>6921</v>
      </c>
      <c r="B6982" s="1832">
        <f>'Expenditures 15-22'!K85</f>
        <v>2115</v>
      </c>
      <c r="D6982" s="2" t="str">
        <f t="shared" si="108"/>
        <v>Error?</v>
      </c>
    </row>
    <row r="6983" spans="1:4" x14ac:dyDescent="0.2">
      <c r="A6983">
        <v>6922</v>
      </c>
      <c r="B6983" s="1832">
        <f>'Expenditures 15-22'!H86</f>
        <v>125784</v>
      </c>
      <c r="D6983" s="2" t="str">
        <f t="shared" si="108"/>
        <v>Error?</v>
      </c>
    </row>
    <row r="6984" spans="1:4" x14ac:dyDescent="0.2">
      <c r="A6984">
        <v>6923</v>
      </c>
      <c r="B6984" s="1832">
        <f>'Expenditures 15-22'!K86</f>
        <v>125784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2344</v>
      </c>
      <c r="D6993" s="2" t="str">
        <f t="shared" si="108"/>
        <v>Error?</v>
      </c>
    </row>
    <row r="6994" spans="1:4" x14ac:dyDescent="0.2">
      <c r="A6994">
        <v>6933</v>
      </c>
      <c r="B6994" s="1832">
        <f>'Expenditures 15-22'!K91</f>
        <v>2344</v>
      </c>
      <c r="D6994" s="2" t="str">
        <f t="shared" si="108"/>
        <v>Error?</v>
      </c>
    </row>
    <row r="6995" spans="1:4" x14ac:dyDescent="0.2">
      <c r="A6995">
        <v>6934</v>
      </c>
      <c r="B6995" s="1832">
        <f>'Expenditures 15-22'!H92</f>
        <v>130243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561262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566209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4313</v>
      </c>
      <c r="D7067" s="2" t="str">
        <f t="shared" si="109"/>
        <v>Error?</v>
      </c>
    </row>
    <row r="7068" spans="1:4" x14ac:dyDescent="0.2">
      <c r="A7068">
        <v>7007</v>
      </c>
      <c r="B7068" s="1832">
        <f>'Expenditures 15-22'!K205</f>
        <v>4313</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1888</v>
      </c>
      <c r="D7075" s="2" t="str">
        <f t="shared" si="109"/>
        <v>Error?</v>
      </c>
    </row>
    <row r="7076" spans="1:4" x14ac:dyDescent="0.2">
      <c r="A7076">
        <v>7015</v>
      </c>
      <c r="B7076" s="1832">
        <f>'Expenditures 15-22'!K218</f>
        <v>1888</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54</v>
      </c>
      <c r="D7079" s="2" t="str">
        <f t="shared" si="109"/>
        <v>Error?</v>
      </c>
    </row>
    <row r="7080" spans="1:4" x14ac:dyDescent="0.2">
      <c r="A7080">
        <v>7019</v>
      </c>
      <c r="B7080" s="1832">
        <f>'Expenditures 15-22'!K226</f>
        <v>54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43244</v>
      </c>
      <c r="D7089" s="2" t="str">
        <f t="shared" si="109"/>
        <v>Error?</v>
      </c>
    </row>
    <row r="7090" spans="1:4" x14ac:dyDescent="0.2">
      <c r="A7090">
        <v>7029</v>
      </c>
      <c r="B7090" s="1832">
        <f>'Expenditures 15-22'!K252</f>
        <v>43244</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48120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48120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47828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47828</v>
      </c>
      <c r="D7153" s="2" t="str">
        <f t="shared" si="110"/>
        <v>Error?</v>
      </c>
    </row>
    <row r="7154" spans="1:4" x14ac:dyDescent="0.2">
      <c r="A7154">
        <v>7093</v>
      </c>
      <c r="B7154" s="1832">
        <f>'Expenditures 15-22'!C323</f>
        <v>428099</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14899</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442998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22316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22316</v>
      </c>
      <c r="D7198" s="2" t="str">
        <f t="shared" si="111"/>
        <v>Error?</v>
      </c>
    </row>
    <row r="7199" spans="1:4" x14ac:dyDescent="0.2">
      <c r="A7199">
        <v>7138</v>
      </c>
      <c r="B7199" s="1832">
        <f>'Expenditures 15-22'!C330</f>
        <v>428099</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133163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561262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428099</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133163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561262</v>
      </c>
      <c r="D7224" s="2" t="str">
        <f t="shared" si="111"/>
        <v>Error?</v>
      </c>
    </row>
    <row r="7225" spans="1:4" x14ac:dyDescent="0.2">
      <c r="A7225">
        <v>7164</v>
      </c>
      <c r="B7225" s="1832">
        <f>'Expenditures 15-22'!K343</f>
        <v>4947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50610</v>
      </c>
      <c r="D7251" s="2" t="str">
        <f t="shared" si="112"/>
        <v>Error?</v>
      </c>
    </row>
    <row r="7252" spans="1:4" x14ac:dyDescent="0.2">
      <c r="A7252">
        <f t="shared" si="113"/>
        <v>7191</v>
      </c>
      <c r="B7252" s="1832">
        <f>'Expenditures 15-22'!D9</f>
        <v>10668</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3735</v>
      </c>
      <c r="D7263" s="2" t="str">
        <f t="shared" si="112"/>
        <v>Error?</v>
      </c>
    </row>
    <row r="7264" spans="1:4" x14ac:dyDescent="0.2">
      <c r="A7264">
        <f t="shared" si="113"/>
        <v>7203</v>
      </c>
      <c r="B7264" s="1832">
        <f>'Expenditures 15-22'!D17</f>
        <v>451</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3281</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15418</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15418</v>
      </c>
      <c r="D7618" s="2" t="str">
        <f t="shared" si="124"/>
        <v>Error?</v>
      </c>
      <c r="E7618" s="2" t="s">
        <v>19</v>
      </c>
    </row>
    <row r="7619" spans="1:5" x14ac:dyDescent="0.2">
      <c r="A7619">
        <f t="shared" si="123"/>
        <v>7558</v>
      </c>
      <c r="B7619" s="1832">
        <f>'Cap Outlay Deprec 26'!H14</f>
        <v>11995</v>
      </c>
      <c r="D7619" s="2" t="str">
        <f t="shared" si="124"/>
        <v>Error?</v>
      </c>
      <c r="E7619" s="2" t="s">
        <v>19</v>
      </c>
    </row>
    <row r="7620" spans="1:5" x14ac:dyDescent="0.2">
      <c r="A7620">
        <f t="shared" si="123"/>
        <v>7559</v>
      </c>
      <c r="B7620" s="1832">
        <f>'Cap Outlay Deprec 26'!I14</f>
        <v>1956</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13951</v>
      </c>
      <c r="D7622" s="2" t="str">
        <f t="shared" si="124"/>
        <v>Error?</v>
      </c>
      <c r="E7622" s="2" t="s">
        <v>19</v>
      </c>
    </row>
    <row r="7623" spans="1:5" x14ac:dyDescent="0.2">
      <c r="A7623">
        <f t="shared" si="123"/>
        <v>7562</v>
      </c>
      <c r="B7623" s="1832">
        <f>'Cap Outlay Deprec 26'!L14</f>
        <v>1467</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636910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8407</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5350</v>
      </c>
      <c r="D7712" s="2" t="str">
        <f t="shared" si="126"/>
        <v>Error?</v>
      </c>
      <c r="E7712" s="2" t="s">
        <v>822</v>
      </c>
    </row>
    <row r="7713" spans="1:6" x14ac:dyDescent="0.2">
      <c r="A7713">
        <v>7652</v>
      </c>
      <c r="B7713" s="1832">
        <f>'Rest Tax Levies-Tort Im 25'!J8</f>
        <v>31077</v>
      </c>
      <c r="D7713" s="2" t="str">
        <f t="shared" si="126"/>
        <v>Error?</v>
      </c>
      <c r="E7713" s="2" t="s">
        <v>822</v>
      </c>
    </row>
    <row r="7714" spans="1:6" x14ac:dyDescent="0.2">
      <c r="A7714">
        <v>7653</v>
      </c>
      <c r="B7714" s="1832">
        <f>'Rest Tax Levies-Tort Im 25'!K9</f>
        <v>8364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31077</v>
      </c>
      <c r="D7718" s="2" t="str">
        <f t="shared" si="126"/>
        <v>Error?</v>
      </c>
      <c r="E7718" s="2" t="s">
        <v>822</v>
      </c>
    </row>
    <row r="7719" spans="1:6" x14ac:dyDescent="0.2">
      <c r="A7719">
        <v>7658</v>
      </c>
      <c r="B7719" s="1832">
        <f>'Rest Tax Levies-Tort Im 25'!K12</f>
        <v>13714</v>
      </c>
      <c r="D7719" s="2" t="str">
        <f t="shared" si="126"/>
        <v>Error?</v>
      </c>
      <c r="E7719" s="2" t="s">
        <v>822</v>
      </c>
    </row>
    <row r="7720" spans="1:6" x14ac:dyDescent="0.2">
      <c r="A7720">
        <v>7659</v>
      </c>
      <c r="B7720" s="1832">
        <f>'Rest Tax Levies-Tort Im 25'!H14</f>
        <v>33822</v>
      </c>
      <c r="D7720" s="2" t="str">
        <f t="shared" si="126"/>
        <v>Error?</v>
      </c>
      <c r="E7720" s="2" t="s">
        <v>822</v>
      </c>
    </row>
    <row r="7721" spans="1:6" x14ac:dyDescent="0.2">
      <c r="A7721">
        <v>7660</v>
      </c>
      <c r="B7721" s="1832">
        <f>'Rest Tax Levies-Tort Im 25'!K14</f>
        <v>7521</v>
      </c>
      <c r="D7721" s="2" t="str">
        <f t="shared" si="126"/>
        <v>Error?</v>
      </c>
      <c r="E7721" s="2" t="s">
        <v>822</v>
      </c>
    </row>
    <row r="7722" spans="1:6" x14ac:dyDescent="0.2">
      <c r="A7722">
        <v>7661</v>
      </c>
      <c r="B7722" s="1832">
        <f>'Rest Tax Levies-Tort Im 25'!J15</f>
        <v>31077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31077</v>
      </c>
      <c r="D7730" s="2" t="str">
        <f t="shared" si="126"/>
        <v>Error?</v>
      </c>
      <c r="E7730" s="2" t="s">
        <v>822</v>
      </c>
    </row>
    <row r="7731" spans="1:6" x14ac:dyDescent="0.2">
      <c r="A7731">
        <v>7670</v>
      </c>
      <c r="B7731" s="1832">
        <f>'Revenues 9-14'!H103</f>
        <v>31077</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14600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14600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7521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12861012</v>
      </c>
      <c r="D7817" s="2" t="str">
        <f t="shared" si="128"/>
        <v>Error?</v>
      </c>
      <c r="E7817" s="4" t="s">
        <v>1966</v>
      </c>
    </row>
    <row r="7818" spans="1:5" x14ac:dyDescent="0.2">
      <c r="A7818">
        <v>7757</v>
      </c>
      <c r="B7818" s="1832">
        <f>'PCTC-OEPP 27-28'!F172</f>
        <v>333335</v>
      </c>
      <c r="D7818" s="2" t="str">
        <f t="shared" si="128"/>
        <v>Error?</v>
      </c>
      <c r="E7818" s="4" t="s">
        <v>1980</v>
      </c>
    </row>
    <row r="7819" spans="1:5" x14ac:dyDescent="0.2">
      <c r="A7819">
        <v>7758</v>
      </c>
      <c r="B7819" s="1832">
        <f>'PCTC-OEPP 27-28'!F173</f>
        <v>325</v>
      </c>
      <c r="D7819" s="2" t="str">
        <f t="shared" si="128"/>
        <v>Error?</v>
      </c>
      <c r="E7819" s="4" t="s">
        <v>1980</v>
      </c>
    </row>
    <row r="7820" spans="1:5" x14ac:dyDescent="0.2">
      <c r="A7820">
        <v>7759</v>
      </c>
      <c r="B7820" s="1832">
        <f>'ICR Computation 30'!E40</f>
        <v>-32109</v>
      </c>
      <c r="D7820" s="2" t="str">
        <f t="shared" si="128"/>
        <v>Error?</v>
      </c>
    </row>
    <row r="7821" spans="1:5" x14ac:dyDescent="0.2">
      <c r="A7821">
        <v>7760</v>
      </c>
      <c r="B7821" s="1832">
        <f>'ICR Computation 30'!G40</f>
        <v>-32109</v>
      </c>
      <c r="D7821" s="2" t="str">
        <f t="shared" si="128"/>
        <v>Error?</v>
      </c>
    </row>
    <row r="7822" spans="1:5" x14ac:dyDescent="0.2">
      <c r="A7822" s="1">
        <v>7761</v>
      </c>
      <c r="B7822" s="1832">
        <f>'PCTC-OEPP 27-28'!F14</f>
        <v>9781860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61278</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10911</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1367991</v>
      </c>
      <c r="D7834" s="2" t="str">
        <f t="shared" si="129"/>
        <v>Error?</v>
      </c>
      <c r="E7834" s="4" t="s">
        <v>1998</v>
      </c>
    </row>
    <row r="7835" spans="1:5" x14ac:dyDescent="0.2">
      <c r="A7835">
        <v>7774</v>
      </c>
      <c r="B7835" s="1832">
        <f>'PCTC-OEPP 27-28'!F78</f>
        <v>8413869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10068.049539308364</v>
      </c>
      <c r="D7837" s="2" t="str">
        <f t="shared" si="129"/>
        <v>Error?</v>
      </c>
      <c r="E7837" s="4" t="s">
        <v>1998</v>
      </c>
    </row>
    <row r="7838" spans="1:5" x14ac:dyDescent="0.2">
      <c r="A7838">
        <v>7777</v>
      </c>
      <c r="B7838" s="1832">
        <f>'PCTC-OEPP 27-28'!F96</f>
        <v>51671</v>
      </c>
      <c r="D7838" s="2" t="str">
        <f t="shared" si="129"/>
        <v>Error?</v>
      </c>
      <c r="E7838" s="4" t="s">
        <v>1998</v>
      </c>
    </row>
    <row r="7839" spans="1:5" x14ac:dyDescent="0.2">
      <c r="A7839">
        <v>7778</v>
      </c>
      <c r="B7839" s="1832">
        <f>'PCTC-OEPP 27-28'!F102</f>
        <v>46</v>
      </c>
      <c r="D7839" s="2" t="str">
        <f t="shared" si="129"/>
        <v>Error?</v>
      </c>
      <c r="E7839" s="4" t="s">
        <v>1998</v>
      </c>
    </row>
    <row r="7840" spans="1:5" x14ac:dyDescent="0.2">
      <c r="A7840">
        <v>7779</v>
      </c>
      <c r="B7840" s="1832">
        <f>'PCTC-OEPP 27-28'!F103</f>
        <v>46581</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33945</v>
      </c>
      <c r="D7842" s="2" t="str">
        <f t="shared" si="129"/>
        <v>Error?</v>
      </c>
      <c r="E7842" s="4" t="s">
        <v>1998</v>
      </c>
    </row>
    <row r="7843" spans="1:5" x14ac:dyDescent="0.2">
      <c r="A7843">
        <v>7782</v>
      </c>
      <c r="B7843" s="1832">
        <f>'PCTC-OEPP 27-28'!F107</f>
        <v>33304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8364</v>
      </c>
      <c r="D7846" s="2" t="str">
        <f t="shared" si="129"/>
        <v>Error?</v>
      </c>
      <c r="E7846" s="4" t="s">
        <v>1998</v>
      </c>
    </row>
    <row r="7847" spans="1:5" x14ac:dyDescent="0.2">
      <c r="A7847">
        <v>7786</v>
      </c>
      <c r="B7847" s="1832">
        <f>'PCTC-OEPP 27-28'!F112</f>
        <v>346374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351772</v>
      </c>
      <c r="D7858" s="2" t="str">
        <f t="shared" si="129"/>
        <v>Error?</v>
      </c>
      <c r="E7858" s="4" t="s">
        <v>1998</v>
      </c>
    </row>
    <row r="7859" spans="1:5" x14ac:dyDescent="0.2">
      <c r="A7859">
        <v>7798</v>
      </c>
      <c r="B7859" s="1832">
        <f>'PCTC-OEPP 27-28'!F127</f>
        <v>197800</v>
      </c>
      <c r="D7859" s="2" t="str">
        <f t="shared" si="129"/>
        <v>Error?</v>
      </c>
      <c r="E7859" s="4" t="s">
        <v>1998</v>
      </c>
    </row>
    <row r="7860" spans="1:5" x14ac:dyDescent="0.2">
      <c r="A7860">
        <v>7799</v>
      </c>
      <c r="B7860" s="1832">
        <f>'PCTC-OEPP 27-28'!F128</f>
        <v>12229</v>
      </c>
      <c r="D7860" s="2" t="str">
        <f t="shared" si="129"/>
        <v>Error?</v>
      </c>
      <c r="E7860" s="4" t="s">
        <v>1998</v>
      </c>
    </row>
    <row r="7861" spans="1:5" x14ac:dyDescent="0.2">
      <c r="A7861">
        <v>7800</v>
      </c>
      <c r="B7861" s="1832">
        <f>'PCTC-OEPP 27-28'!F129</f>
        <v>69000</v>
      </c>
      <c r="D7861" s="2" t="str">
        <f t="shared" si="129"/>
        <v>Error?</v>
      </c>
      <c r="E7861" s="4" t="s">
        <v>1998</v>
      </c>
    </row>
    <row r="7862" spans="1:5" x14ac:dyDescent="0.2">
      <c r="A7862">
        <v>7801</v>
      </c>
      <c r="B7862" s="1832">
        <f>'PCTC-OEPP 27-28'!F130</f>
        <v>5034</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29686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13077</v>
      </c>
      <c r="D7874" s="2" t="str">
        <f t="shared" si="129"/>
        <v>Error?</v>
      </c>
      <c r="E7874" s="4" t="s">
        <v>1998</v>
      </c>
    </row>
    <row r="7875" spans="1:5" x14ac:dyDescent="0.2">
      <c r="A7875">
        <v>7814</v>
      </c>
      <c r="B7875" s="1832">
        <f>'PCTC-OEPP 27-28'!F170</f>
        <v>65381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1724141</v>
      </c>
      <c r="D7877" s="2" t="str">
        <f t="shared" si="129"/>
        <v>Error?</v>
      </c>
      <c r="E7877" s="4" t="s">
        <v>1998</v>
      </c>
    </row>
    <row r="7878" spans="1:5" x14ac:dyDescent="0.2">
      <c r="A7878">
        <v>7817</v>
      </c>
      <c r="B7878" s="1832">
        <f>'PCTC-OEPP 27-28'!F176</f>
        <v>6689728</v>
      </c>
      <c r="D7878" s="2" t="str">
        <f t="shared" si="129"/>
        <v>Error?</v>
      </c>
      <c r="E7878" s="4" t="s">
        <v>1998</v>
      </c>
    </row>
    <row r="7879" spans="1:5" x14ac:dyDescent="0.2">
      <c r="A7879">
        <v>7818</v>
      </c>
      <c r="B7879" s="1832">
        <f>'PCTC-OEPP 27-28'!F178</f>
        <v>7326638</v>
      </c>
      <c r="D7879" s="2" t="str">
        <f t="shared" si="129"/>
        <v>Error?</v>
      </c>
      <c r="E7879" s="4" t="s">
        <v>1998</v>
      </c>
    </row>
    <row r="7880" spans="1:5" x14ac:dyDescent="0.2">
      <c r="A7880">
        <v>7819</v>
      </c>
      <c r="B7880" s="1832">
        <f>'PCTC-OEPP 27-28'!F180</f>
        <v>8767.0671293526375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6000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Casey-Westfield CUSD 4C</v>
      </c>
      <c r="B7" s="2536"/>
      <c r="C7" s="2536"/>
      <c r="D7" s="2537"/>
      <c r="E7" s="2538" t="str">
        <f>COVER!A13</f>
        <v>11012004C26</v>
      </c>
      <c r="F7" s="2539"/>
      <c r="G7" s="2545" t="str">
        <f>COVER!T23</f>
        <v>066-003998</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Kemper CPA Group LLP</v>
      </c>
      <c r="H9" s="2551"/>
      <c r="I9" s="2551"/>
      <c r="J9" s="2551"/>
      <c r="K9" s="2551"/>
      <c r="L9" s="2552"/>
    </row>
    <row r="10" spans="1:29" ht="13.5" customHeight="1" x14ac:dyDescent="0.2">
      <c r="A10" s="2524" t="str">
        <f>COVER!A38</f>
        <v>Jon Julius</v>
      </c>
      <c r="B10" s="2525"/>
      <c r="C10" s="2525"/>
      <c r="D10" s="2525"/>
      <c r="E10" s="2525"/>
      <c r="F10" s="2526"/>
      <c r="G10" s="2518" t="str">
        <f>COVER!T17</f>
        <v>P.O. Box 694</v>
      </c>
      <c r="H10" s="2519"/>
      <c r="I10" s="2519"/>
      <c r="J10" s="2519"/>
      <c r="K10" s="2519"/>
      <c r="L10" s="2520"/>
    </row>
    <row r="11" spans="1:29" ht="13.5" customHeight="1" x14ac:dyDescent="0.2">
      <c r="A11" s="963" t="s">
        <v>1502</v>
      </c>
      <c r="B11" s="964"/>
      <c r="C11" s="965"/>
      <c r="D11" s="970"/>
      <c r="E11" s="965"/>
      <c r="F11" s="969"/>
      <c r="G11" s="2518" t="str">
        <f>COVER!T19</f>
        <v>Robinson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bbradbury@kempercpa.com</v>
      </c>
      <c r="J13" s="2531"/>
      <c r="K13" s="2531"/>
      <c r="L13" s="2532"/>
    </row>
    <row r="14" spans="1:29" ht="13.5" customHeight="1" x14ac:dyDescent="0.2">
      <c r="A14" s="2518" t="str">
        <f>COVER!A19</f>
        <v>502 E. Delaware</v>
      </c>
      <c r="B14" s="2519"/>
      <c r="C14" s="2519"/>
      <c r="D14" s="2519"/>
      <c r="E14" s="2519"/>
      <c r="F14" s="2520"/>
      <c r="G14" s="974" t="s">
        <v>1175</v>
      </c>
      <c r="H14" s="972"/>
      <c r="I14" s="972"/>
      <c r="J14" s="972"/>
      <c r="K14" s="972"/>
      <c r="L14" s="973"/>
    </row>
    <row r="15" spans="1:29" ht="13.5" customHeight="1" x14ac:dyDescent="0.2">
      <c r="A15" s="2518" t="str">
        <f>COVER!A21</f>
        <v xml:space="preserve">Casey  </v>
      </c>
      <c r="B15" s="2519"/>
      <c r="C15" s="2519"/>
      <c r="D15" s="2519"/>
      <c r="E15" s="2519"/>
      <c r="F15" s="2520"/>
      <c r="G15" s="2515" t="str">
        <f>COVER!T15</f>
        <v>Brian S. Bradbury</v>
      </c>
      <c r="H15" s="2516"/>
      <c r="I15" s="2516"/>
      <c r="J15" s="2516"/>
      <c r="K15" s="2516"/>
      <c r="L15" s="2517"/>
    </row>
    <row r="16" spans="1:29" ht="12.2" customHeight="1" x14ac:dyDescent="0.2">
      <c r="A16" s="2541">
        <f>COVER!A25</f>
        <v>62420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618-546-1502</v>
      </c>
      <c r="H18" s="2536"/>
      <c r="I18" s="2536"/>
      <c r="J18" s="2536"/>
      <c r="K18" s="2535" t="str">
        <f>COVER!X21</f>
        <v>618-544-2140</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Casey-Westfield CUSD 4C</v>
      </c>
      <c r="B1" s="2558"/>
      <c r="C1" s="2558"/>
      <c r="D1" s="2558"/>
    </row>
    <row r="2" spans="1:11" s="991" customFormat="1" ht="12.75" x14ac:dyDescent="0.2">
      <c r="A2" s="2559" t="str">
        <f>'Single Audit Cover'!E7</f>
        <v>11012004C26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Casey-Westfield CUSD 4C</v>
      </c>
      <c r="B1" s="2562"/>
      <c r="C1" s="2562"/>
      <c r="D1" s="2562"/>
      <c r="E1" s="2562"/>
    </row>
    <row r="2" spans="1:5" x14ac:dyDescent="0.2">
      <c r="A2" s="2563" t="str">
        <f>'Single Audit Cover'!E7</f>
        <v>11012004C26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743979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40825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-65381</v>
      </c>
    </row>
    <row r="19" spans="1:4" ht="13.5" thickBot="1" x14ac:dyDescent="0.25">
      <c r="A19" s="1041" t="s">
        <v>1224</v>
      </c>
      <c r="D19" s="1042">
        <f>SUM(D10:D17)</f>
        <v>719423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719423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719423</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Casey-Westfield CUSD 4C</v>
      </c>
      <c r="C1" s="2566"/>
      <c r="D1" s="2566"/>
      <c r="E1" s="2566"/>
      <c r="F1" s="2566"/>
      <c r="G1" s="2566"/>
      <c r="H1" s="2566"/>
      <c r="I1" s="2566"/>
      <c r="J1" s="2566"/>
      <c r="K1" s="2566"/>
      <c r="L1" s="2566"/>
      <c r="M1" s="2566"/>
    </row>
    <row r="2" spans="2:14" ht="15" x14ac:dyDescent="0.2">
      <c r="B2" s="2567" t="str">
        <f>'Single Audit Cover'!E7</f>
        <v>11012004C26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Casey-Westfield CUSD 4C</v>
      </c>
      <c r="B1" s="2579"/>
      <c r="C1" s="2579"/>
      <c r="D1" s="2579"/>
      <c r="E1" s="2579"/>
      <c r="F1" s="2579"/>
    </row>
    <row r="2" spans="1:7" ht="13.5" customHeight="1" x14ac:dyDescent="0.2">
      <c r="A2" s="2567" t="str">
        <f>'Single Audit Cover'!E7</f>
        <v>11012004C26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9" colorId="8" zoomScaleNormal="100" workbookViewId="0">
      <selection activeCell="G85" sqref="G8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2067</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2055</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Casey-Westfield CUSD 4C</v>
      </c>
      <c r="C1" s="2594"/>
      <c r="D1" s="2594"/>
      <c r="E1" s="2594"/>
      <c r="F1" s="2594"/>
      <c r="G1" s="2594"/>
      <c r="H1" s="2594"/>
      <c r="I1" s="2594"/>
      <c r="J1" s="1178"/>
    </row>
    <row r="2" spans="2:10" s="295" customFormat="1" ht="12.75" customHeight="1" x14ac:dyDescent="0.2">
      <c r="B2" s="2595" t="str">
        <f>'Single Audit Cover'!E7</f>
        <v>11012004C26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P17" sqref="P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Casey-Westfield CUSD 4C</v>
      </c>
      <c r="C1" s="2593"/>
      <c r="D1" s="2593"/>
      <c r="E1" s="2593"/>
      <c r="F1" s="2593"/>
      <c r="G1" s="2593"/>
      <c r="H1" s="2593"/>
      <c r="I1" s="2593"/>
      <c r="J1" s="2593"/>
      <c r="K1" s="2593"/>
      <c r="L1" s="1144"/>
      <c r="M1" s="1144"/>
    </row>
    <row r="2" spans="1:13" ht="12" customHeight="1" x14ac:dyDescent="0.2">
      <c r="B2" s="2595" t="str">
        <f>'Single Audit Cover'!E7</f>
        <v>11012004C26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2082</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t="s">
        <v>2083</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t="s">
        <v>2084</v>
      </c>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t="s">
        <v>2085</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t="s">
        <v>2086</v>
      </c>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t="s">
        <v>2087</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t="s">
        <v>2088</v>
      </c>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Casey-Westfield CUSD 4C</v>
      </c>
      <c r="C1" s="2616"/>
      <c r="D1" s="2616"/>
      <c r="E1" s="2616"/>
      <c r="F1" s="2616"/>
      <c r="G1" s="2616"/>
      <c r="H1" s="2616"/>
      <c r="I1" s="2616"/>
      <c r="J1" s="2616"/>
      <c r="K1" s="2616"/>
      <c r="L1" s="1221"/>
    </row>
    <row r="2" spans="1:12" ht="12.75" customHeight="1" x14ac:dyDescent="0.2">
      <c r="B2" s="2617" t="str">
        <f>'Single Audit Cover'!E7</f>
        <v>11012004C26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7" sqref="C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Casey-Westfield CUSD 4C</v>
      </c>
      <c r="C1" s="2593"/>
      <c r="D1" s="2593"/>
      <c r="E1" s="1240"/>
    </row>
    <row r="2" spans="2:5" s="1058" customFormat="1" ht="12.75" customHeight="1" x14ac:dyDescent="0.2">
      <c r="B2" s="2595" t="str">
        <f>'Single Audit Cover'!E7</f>
        <v>11012004C26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2089</v>
      </c>
      <c r="C7" s="302" t="s">
        <v>2090</v>
      </c>
      <c r="D7" s="302" t="s">
        <v>2119</v>
      </c>
      <c r="E7" s="302"/>
    </row>
    <row r="8" spans="2:5" ht="13.5" customHeight="1" x14ac:dyDescent="0.2">
      <c r="B8" s="1245"/>
      <c r="C8" s="302" t="s">
        <v>2091</v>
      </c>
      <c r="D8" s="302"/>
      <c r="E8" s="302"/>
    </row>
    <row r="9" spans="2:5" ht="13.5" customHeight="1" x14ac:dyDescent="0.2">
      <c r="B9" s="1246"/>
      <c r="C9" s="301" t="s">
        <v>2092</v>
      </c>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S9" sqref="S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90486142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1.84E-2</v>
      </c>
      <c r="E10" s="333" t="s">
        <v>998</v>
      </c>
      <c r="F10" s="332">
        <v>5.0000000000000001E-3</v>
      </c>
      <c r="G10" s="333" t="s">
        <v>998</v>
      </c>
      <c r="H10" s="332">
        <v>2E-3</v>
      </c>
      <c r="I10" s="333" t="s">
        <v>999</v>
      </c>
      <c r="J10" s="1424">
        <f>ROUND(D10+F10+H10,5)</f>
        <v>2.5399999999999999E-2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8188021</v>
      </c>
      <c r="E16" s="1547"/>
      <c r="F16" s="1546">
        <f>SUM('Acct Summary 7-8'!C17,'Acct Summary 7-8'!D17,'Acct Summary 7-8'!F17)</f>
        <v>8106989</v>
      </c>
      <c r="G16" s="1547"/>
      <c r="H16" s="1546">
        <f>SUM(D16-F16)</f>
        <v>81032</v>
      </c>
      <c r="I16" s="1548"/>
      <c r="J16" s="1546">
        <f>SUM('Acct Summary 7-8'!C81,'Acct Summary 7-8'!D81,'Acct Summary 7-8'!F81,'Acct Summary 7-8'!I81)</f>
        <v>2747471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12487087.596000001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4825784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K32" sqref="K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Casey-Westfield CUSD 4C</v>
      </c>
      <c r="E7" s="368"/>
      <c r="G7" s="247"/>
      <c r="H7" s="364"/>
      <c r="I7" s="364"/>
      <c r="J7" s="364"/>
      <c r="K7" s="364"/>
      <c r="L7" s="307"/>
      <c r="M7" s="307"/>
      <c r="N7" s="307"/>
      <c r="O7" s="307"/>
      <c r="P7" s="307"/>
    </row>
    <row r="8" spans="1:18" ht="12.75" x14ac:dyDescent="0.2">
      <c r="A8" s="307"/>
      <c r="B8" s="307"/>
      <c r="C8" s="366" t="s">
        <v>1115</v>
      </c>
      <c r="D8" s="369" t="str">
        <f>COVER!A13</f>
        <v>11012004C26</v>
      </c>
      <c r="E8" s="370"/>
      <c r="G8" s="307"/>
      <c r="H8" s="307"/>
      <c r="I8" s="307"/>
      <c r="J8" s="307"/>
      <c r="K8" s="307"/>
      <c r="L8" s="307"/>
      <c r="M8" s="307"/>
      <c r="N8" s="307"/>
      <c r="O8" s="307"/>
      <c r="P8" s="307"/>
    </row>
    <row r="9" spans="1:18" ht="12.75" x14ac:dyDescent="0.2">
      <c r="A9" s="307"/>
      <c r="B9" s="307"/>
      <c r="C9" s="366" t="s">
        <v>708</v>
      </c>
      <c r="D9" s="371" t="str">
        <f>COVER!A15</f>
        <v>Clark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2747471</v>
      </c>
      <c r="I12" s="380"/>
      <c r="J12" s="380"/>
      <c r="K12" s="1559">
        <f>TRUNC((H12/H13*100000),5)/100000</f>
        <v>0.33554762490000001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8188021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8106989</v>
      </c>
      <c r="I17" s="380"/>
      <c r="J17" s="389"/>
      <c r="K17" s="1559">
        <f>TRUNC((H17/H18*100000),5)/100000</f>
        <v>0.99010359150000005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8188021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2760523</v>
      </c>
      <c r="I24" s="394"/>
      <c r="J24" s="394"/>
      <c r="K24" s="1555">
        <f>TRUNC(((H24/H25*100000)/100000),2)</f>
        <v>122.58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22519.41389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1953595.8057800001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4825784</v>
      </c>
      <c r="I32" s="392"/>
      <c r="J32" s="392"/>
      <c r="K32" s="1555">
        <f>TRUNC(100-((((H32/H33*100))*100)/100),2)</f>
        <v>61.35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12487087.596000001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D31" sqref="D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969309</v>
      </c>
      <c r="D4" s="1573">
        <v>157747</v>
      </c>
      <c r="E4" s="1573">
        <v>8885</v>
      </c>
      <c r="F4" s="1573">
        <v>346047</v>
      </c>
      <c r="G4" s="1573">
        <v>107667</v>
      </c>
      <c r="H4" s="1573">
        <v>51275</v>
      </c>
      <c r="I4" s="1573">
        <v>513796</v>
      </c>
      <c r="J4" s="1574">
        <v>9713</v>
      </c>
      <c r="K4" s="1573">
        <v>684</v>
      </c>
      <c r="L4" s="1573">
        <v>251159</v>
      </c>
      <c r="M4" s="1575"/>
      <c r="N4" s="1576"/>
    </row>
    <row r="5" spans="1:14" x14ac:dyDescent="0.2">
      <c r="A5" s="427" t="s">
        <v>985</v>
      </c>
      <c r="B5" s="429">
        <v>120</v>
      </c>
      <c r="C5" s="1572">
        <v>479664</v>
      </c>
      <c r="D5" s="1573"/>
      <c r="E5" s="1573"/>
      <c r="F5" s="1573"/>
      <c r="G5" s="1573"/>
      <c r="H5" s="1573"/>
      <c r="I5" s="1573">
        <v>293960</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1448973</v>
      </c>
      <c r="D13" s="1587">
        <f t="shared" ref="D13:L13" si="0">SUM(D4:D12)</f>
        <v>157747</v>
      </c>
      <c r="E13" s="1587">
        <f t="shared" si="0"/>
        <v>8885</v>
      </c>
      <c r="F13" s="1587">
        <f t="shared" si="0"/>
        <v>346047</v>
      </c>
      <c r="G13" s="1587">
        <f t="shared" si="0"/>
        <v>107667</v>
      </c>
      <c r="H13" s="1587">
        <f t="shared" si="0"/>
        <v>51275</v>
      </c>
      <c r="I13" s="1587">
        <f t="shared" si="0"/>
        <v>807756</v>
      </c>
      <c r="J13" s="1587">
        <f t="shared" si="0"/>
        <v>9713</v>
      </c>
      <c r="K13" s="1587">
        <f t="shared" si="0"/>
        <v>684</v>
      </c>
      <c r="L13" s="1587">
        <f t="shared" si="0"/>
        <v>251159</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212469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20647575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1095848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2595729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8960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8885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4816899</v>
      </c>
    </row>
    <row r="23" spans="1:14" ht="13.5" customHeight="1" thickBot="1" x14ac:dyDescent="0.25">
      <c r="A23" s="1426" t="s">
        <v>638</v>
      </c>
      <c r="B23" s="1429"/>
      <c r="C23" s="1575"/>
      <c r="D23" s="1575"/>
      <c r="E23" s="1575"/>
      <c r="F23" s="1575"/>
      <c r="G23" s="1575"/>
      <c r="H23" s="1575"/>
      <c r="I23" s="1575"/>
      <c r="J23" s="1575"/>
      <c r="K23" s="1575"/>
      <c r="L23" s="1575"/>
      <c r="M23" s="1594">
        <f>SUM(M15:M22)</f>
        <v>24560581</v>
      </c>
      <c r="N23" s="1594">
        <f>SUM(N21:N22)</f>
        <v>4825784</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11714</v>
      </c>
      <c r="D31" s="1574">
        <v>665</v>
      </c>
      <c r="E31" s="1574"/>
      <c r="F31" s="1573">
        <v>673</v>
      </c>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251159</v>
      </c>
      <c r="M33" s="1575"/>
      <c r="N33" s="1576"/>
    </row>
    <row r="34" spans="1:14" ht="13.5" customHeight="1" thickBot="1" x14ac:dyDescent="0.25">
      <c r="A34" s="1427" t="s">
        <v>649</v>
      </c>
      <c r="B34" s="1428"/>
      <c r="C34" s="1600">
        <f>SUM(C25:C33)</f>
        <v>11714</v>
      </c>
      <c r="D34" s="1600">
        <f t="shared" ref="D34:K34" si="1">SUM(D25:D33)</f>
        <v>665</v>
      </c>
      <c r="E34" s="1600">
        <f t="shared" si="1"/>
        <v>0</v>
      </c>
      <c r="F34" s="1600">
        <f t="shared" si="1"/>
        <v>673</v>
      </c>
      <c r="G34" s="1600">
        <f t="shared" si="1"/>
        <v>0</v>
      </c>
      <c r="H34" s="1600">
        <f t="shared" si="1"/>
        <v>0</v>
      </c>
      <c r="I34" s="1600">
        <f t="shared" si="1"/>
        <v>0</v>
      </c>
      <c r="J34" s="1600">
        <f t="shared" si="1"/>
        <v>0</v>
      </c>
      <c r="K34" s="1600">
        <f t="shared" si="1"/>
        <v>0</v>
      </c>
      <c r="L34" s="1601">
        <f>SUM(L33)</f>
        <v>251159</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4825784</v>
      </c>
    </row>
    <row r="37" spans="1:14" ht="13.5" thickBot="1" x14ac:dyDescent="0.25">
      <c r="A37" s="1426" t="s">
        <v>648</v>
      </c>
      <c r="B37" s="1429"/>
      <c r="C37" s="1582"/>
      <c r="D37" s="1582"/>
      <c r="E37" s="1582"/>
      <c r="F37" s="1582"/>
      <c r="G37" s="1582"/>
      <c r="H37" s="1582"/>
      <c r="I37" s="1582"/>
      <c r="J37" s="1582"/>
      <c r="K37" s="1582"/>
      <c r="L37" s="1585"/>
      <c r="M37" s="1575"/>
      <c r="N37" s="1594">
        <f>SUM(N36:N36)</f>
        <v>4825784</v>
      </c>
    </row>
    <row r="38" spans="1:14" s="307" customFormat="1" ht="13.5" customHeight="1" thickTop="1" x14ac:dyDescent="0.2">
      <c r="A38" s="438" t="s">
        <v>417</v>
      </c>
      <c r="B38" s="432">
        <v>714</v>
      </c>
      <c r="C38" s="1573">
        <v>14600</v>
      </c>
      <c r="D38" s="1573"/>
      <c r="E38" s="1573"/>
      <c r="F38" s="1573"/>
      <c r="G38" s="1573">
        <v>23062</v>
      </c>
      <c r="H38" s="1573">
        <v>50000</v>
      </c>
      <c r="I38" s="1573"/>
      <c r="J38" s="1574"/>
      <c r="K38" s="1573"/>
      <c r="L38" s="1586"/>
      <c r="M38" s="1604"/>
      <c r="N38" s="1604"/>
    </row>
    <row r="39" spans="1:14" s="307" customFormat="1" ht="13.5" customHeight="1" x14ac:dyDescent="0.2">
      <c r="A39" s="438" t="s">
        <v>339</v>
      </c>
      <c r="B39" s="432">
        <v>730</v>
      </c>
      <c r="C39" s="1573">
        <v>1422659</v>
      </c>
      <c r="D39" s="1573">
        <v>157082</v>
      </c>
      <c r="E39" s="1573">
        <v>8885</v>
      </c>
      <c r="F39" s="1573">
        <v>345374</v>
      </c>
      <c r="G39" s="1573">
        <v>84605</v>
      </c>
      <c r="H39" s="1573">
        <v>1275</v>
      </c>
      <c r="I39" s="1573">
        <v>807756</v>
      </c>
      <c r="J39" s="1574">
        <v>9713</v>
      </c>
      <c r="K39" s="1573">
        <v>684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24560581</v>
      </c>
      <c r="N40" s="1604"/>
    </row>
    <row r="41" spans="1:14" ht="13.5" customHeight="1" thickBot="1" x14ac:dyDescent="0.25">
      <c r="A41" s="1426" t="s">
        <v>650</v>
      </c>
      <c r="B41" s="1405"/>
      <c r="C41" s="1594">
        <f>(SUM(C34,C37,C38,C39))</f>
        <v>1448973</v>
      </c>
      <c r="D41" s="1594">
        <f t="shared" ref="D41:L41" si="2">SUM(D34,D37,D38:D39)</f>
        <v>157747</v>
      </c>
      <c r="E41" s="1594">
        <f t="shared" si="2"/>
        <v>8885</v>
      </c>
      <c r="F41" s="1594">
        <f t="shared" si="2"/>
        <v>346047</v>
      </c>
      <c r="G41" s="1594">
        <f t="shared" si="2"/>
        <v>107667</v>
      </c>
      <c r="H41" s="1594">
        <f t="shared" si="2"/>
        <v>51275</v>
      </c>
      <c r="I41" s="1594">
        <f t="shared" si="2"/>
        <v>807756</v>
      </c>
      <c r="J41" s="1594">
        <f t="shared" si="2"/>
        <v>9713</v>
      </c>
      <c r="K41" s="1594">
        <f t="shared" si="2"/>
        <v>684</v>
      </c>
      <c r="L41" s="1594">
        <f t="shared" si="2"/>
        <v>251159</v>
      </c>
      <c r="M41" s="1594">
        <f>SUM(M40)</f>
        <v>24560581</v>
      </c>
      <c r="N41" s="1594">
        <f>SUM(N37)</f>
        <v>4825784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4" activePane="bottomLeft" state="frozen"/>
      <selection pane="bottomLeft" activeCell="D85" sqref="D8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2109338</v>
      </c>
      <c r="D4" s="1606">
        <f>'Revenues 9-14'!D109</f>
        <v>460063</v>
      </c>
      <c r="E4" s="1606">
        <f>'Revenues 9-14'!E109</f>
        <v>666609</v>
      </c>
      <c r="F4" s="1606">
        <f>'Revenues 9-14'!F109</f>
        <v>216005</v>
      </c>
      <c r="G4" s="1606">
        <f>'Revenues 9-14'!G109</f>
        <v>319975</v>
      </c>
      <c r="H4" s="1606">
        <f>'Revenues 9-14'!H109</f>
        <v>31123</v>
      </c>
      <c r="I4" s="1606">
        <f>'Revenues 9-14'!I109</f>
        <v>51891</v>
      </c>
      <c r="J4" s="1606">
        <f>'Revenues 9-14'!J109</f>
        <v>532209</v>
      </c>
      <c r="K4" s="1606">
        <f>'Revenues 9-14'!K109</f>
        <v>42420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3466060</v>
      </c>
      <c r="D6" s="1607">
        <f>'Revenues 9-14'!D170</f>
        <v>680811</v>
      </c>
      <c r="E6" s="1607">
        <f>'Revenues 9-14'!E170</f>
        <v>89000</v>
      </c>
      <c r="F6" s="1607">
        <f>'Revenues 9-14'!F170</f>
        <v>459874</v>
      </c>
      <c r="G6" s="1607">
        <f>'Revenues 9-14'!G170</f>
        <v>0</v>
      </c>
      <c r="H6" s="1607">
        <f>'Revenues 9-14'!H170</f>
        <v>56000</v>
      </c>
      <c r="I6" s="1607">
        <f>'Revenues 9-14'!I170</f>
        <v>0</v>
      </c>
      <c r="J6" s="1607">
        <f>'Revenues 9-14'!J170</f>
        <v>34000</v>
      </c>
      <c r="K6" s="1607">
        <f>'Revenues 9-14'!K170</f>
        <v>0</v>
      </c>
      <c r="L6" s="325"/>
      <c r="M6" s="448"/>
    </row>
    <row r="7" spans="1:13" ht="15.75" customHeight="1" x14ac:dyDescent="0.2">
      <c r="A7" s="1314" t="s">
        <v>1485</v>
      </c>
      <c r="B7" s="1316">
        <v>4000</v>
      </c>
      <c r="C7" s="1607">
        <f>'Revenues 9-14'!C267</f>
        <v>743979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6319377</v>
      </c>
      <c r="D8" s="1594">
        <f t="shared" ref="D8:K8" si="0">SUM(D4:D7)</f>
        <v>1140874</v>
      </c>
      <c r="E8" s="1594">
        <f t="shared" si="0"/>
        <v>755609</v>
      </c>
      <c r="F8" s="1594">
        <f t="shared" si="0"/>
        <v>675879</v>
      </c>
      <c r="G8" s="1594">
        <f t="shared" si="0"/>
        <v>319975</v>
      </c>
      <c r="H8" s="1594">
        <f t="shared" si="0"/>
        <v>87123</v>
      </c>
      <c r="I8" s="1594">
        <f t="shared" si="0"/>
        <v>51891</v>
      </c>
      <c r="J8" s="1594">
        <f t="shared" si="0"/>
        <v>566209</v>
      </c>
      <c r="K8" s="1594">
        <f t="shared" si="0"/>
        <v>42420</v>
      </c>
      <c r="L8" s="325"/>
    </row>
    <row r="9" spans="1:13" ht="15.75" thickTop="1" x14ac:dyDescent="0.2">
      <c r="A9" s="449" t="s">
        <v>1634</v>
      </c>
      <c r="B9" s="450">
        <v>3998</v>
      </c>
      <c r="C9" s="1586">
        <v>3107836</v>
      </c>
      <c r="D9" s="1613"/>
      <c r="E9" s="1586"/>
      <c r="F9" s="1586"/>
      <c r="G9" s="1614"/>
      <c r="H9" s="1586"/>
      <c r="I9" s="1609" t="s">
        <v>1159</v>
      </c>
      <c r="J9" s="1583"/>
      <c r="K9" s="1586"/>
      <c r="L9" s="325"/>
    </row>
    <row r="10" spans="1:13" s="452" customFormat="1" ht="13.5" thickBot="1" x14ac:dyDescent="0.25">
      <c r="A10" s="1426" t="s">
        <v>1163</v>
      </c>
      <c r="B10" s="1407"/>
      <c r="C10" s="1594">
        <f>SUM(C8:C9)</f>
        <v>9427213</v>
      </c>
      <c r="D10" s="1594">
        <f t="shared" ref="D10:K10" si="1">SUM(D8:D9)</f>
        <v>1140874</v>
      </c>
      <c r="E10" s="1594">
        <f t="shared" si="1"/>
        <v>755609</v>
      </c>
      <c r="F10" s="1594">
        <f t="shared" si="1"/>
        <v>675879</v>
      </c>
      <c r="G10" s="1594">
        <f t="shared" si="1"/>
        <v>319975</v>
      </c>
      <c r="H10" s="1594">
        <f t="shared" si="1"/>
        <v>87123</v>
      </c>
      <c r="I10" s="1594">
        <f t="shared" si="1"/>
        <v>51891</v>
      </c>
      <c r="J10" s="1594">
        <f t="shared" si="1"/>
        <v>566209</v>
      </c>
      <c r="K10" s="1594">
        <f t="shared" si="1"/>
        <v>42420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4365113</v>
      </c>
      <c r="D12" s="1616" t="s">
        <v>1159</v>
      </c>
      <c r="E12" s="1575" t="s">
        <v>1159</v>
      </c>
      <c r="F12" s="1575" t="s">
        <v>1159</v>
      </c>
      <c r="G12" s="1606">
        <f>'Expenditures 15-22'!K229</f>
        <v>100287</v>
      </c>
      <c r="H12" s="1617"/>
      <c r="I12" s="1575" t="s">
        <v>1159</v>
      </c>
      <c r="J12" s="1575" t="s">
        <v>1159</v>
      </c>
      <c r="K12" s="1617" t="s">
        <v>1159</v>
      </c>
      <c r="L12" s="325"/>
    </row>
    <row r="13" spans="1:13" ht="15.75" customHeight="1" x14ac:dyDescent="0.2">
      <c r="A13" s="1314" t="s">
        <v>454</v>
      </c>
      <c r="B13" s="1316">
        <v>2000</v>
      </c>
      <c r="C13" s="1607">
        <f>'Expenditures 15-22'!K74</f>
        <v>1709729</v>
      </c>
      <c r="D13" s="1607">
        <f>'Expenditures 15-22'!K129</f>
        <v>1123434</v>
      </c>
      <c r="E13" s="1576" t="s">
        <v>1159</v>
      </c>
      <c r="F13" s="1607">
        <f>'Expenditures 15-22'!K184</f>
        <v>677482</v>
      </c>
      <c r="G13" s="1607">
        <f>'Expenditures 15-22'!K279</f>
        <v>259382</v>
      </c>
      <c r="H13" s="1607">
        <f>'Expenditures 15-22'!K303</f>
        <v>42597</v>
      </c>
      <c r="I13" s="1575" t="s">
        <v>1159</v>
      </c>
      <c r="J13" s="1607">
        <f>'Expenditures 15-22'!K330</f>
        <v>561262</v>
      </c>
      <c r="K13" s="1618">
        <f>'Expenditures 15-22'!K352</f>
        <v>48235</v>
      </c>
      <c r="L13" s="325"/>
    </row>
    <row r="14" spans="1:13" ht="15.75" customHeight="1" x14ac:dyDescent="0.2">
      <c r="A14" s="1314" t="s">
        <v>446</v>
      </c>
      <c r="B14" s="1316">
        <v>3000</v>
      </c>
      <c r="C14" s="1607">
        <f>'Expenditures 15-22'!K75</f>
        <v>10911</v>
      </c>
      <c r="D14" s="1607">
        <f>'Expenditures 15-22'!K130</f>
        <v>0</v>
      </c>
      <c r="E14" s="1616" t="s">
        <v>1159</v>
      </c>
      <c r="F14" s="1607">
        <f>'Expenditures 15-22'!K185</f>
        <v>0</v>
      </c>
      <c r="G14" s="1607">
        <f>'Expenditures 15-22'!K280</f>
        <v>1070</v>
      </c>
      <c r="H14" s="1612"/>
      <c r="I14" s="1575" t="s">
        <v>1159</v>
      </c>
      <c r="J14" s="1575" t="s">
        <v>1159</v>
      </c>
      <c r="K14" s="1612" t="s">
        <v>1159</v>
      </c>
      <c r="L14" s="325"/>
    </row>
    <row r="15" spans="1:13" ht="15.75" customHeight="1" x14ac:dyDescent="0.2">
      <c r="A15" s="1314" t="s">
        <v>107</v>
      </c>
      <c r="B15" s="1316">
        <v>4000</v>
      </c>
      <c r="C15" s="1607">
        <f>'Expenditures 15-22'!K102</f>
        <v>163993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752870</v>
      </c>
      <c r="F16" s="1607">
        <f>'Expenditures 15-22'!K208</f>
        <v>56327</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6249746</v>
      </c>
      <c r="D17" s="1594">
        <f t="shared" si="2"/>
        <v>1123434</v>
      </c>
      <c r="E17" s="1594">
        <f t="shared" si="2"/>
        <v>752870</v>
      </c>
      <c r="F17" s="1594">
        <f t="shared" si="2"/>
        <v>733809</v>
      </c>
      <c r="G17" s="1594">
        <f t="shared" si="2"/>
        <v>360739</v>
      </c>
      <c r="H17" s="1594">
        <f t="shared" si="2"/>
        <v>42597</v>
      </c>
      <c r="I17" s="1575"/>
      <c r="J17" s="1594">
        <f>SUM(J12:J16)</f>
        <v>561262</v>
      </c>
      <c r="K17" s="1594">
        <f>SUM(K12:K16)</f>
        <v>48235</v>
      </c>
      <c r="L17" s="325"/>
    </row>
    <row r="18" spans="1:12" ht="15" customHeight="1" thickTop="1" x14ac:dyDescent="0.2">
      <c r="A18" s="1430" t="s">
        <v>1635</v>
      </c>
      <c r="B18" s="1431">
        <v>4180</v>
      </c>
      <c r="C18" s="1606">
        <f t="shared" ref="C18:H18" si="3">C9</f>
        <v>3107836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9357582</v>
      </c>
      <c r="D19" s="1594">
        <f t="shared" si="4"/>
        <v>1123434</v>
      </c>
      <c r="E19" s="1594">
        <f t="shared" si="4"/>
        <v>752870</v>
      </c>
      <c r="F19" s="1594">
        <f t="shared" si="4"/>
        <v>733809</v>
      </c>
      <c r="G19" s="1594">
        <f t="shared" si="4"/>
        <v>360739</v>
      </c>
      <c r="H19" s="1594">
        <f t="shared" si="4"/>
        <v>42597</v>
      </c>
      <c r="I19" s="1575"/>
      <c r="J19" s="1594">
        <f>SUM(J17:J18)</f>
        <v>561262</v>
      </c>
      <c r="K19" s="1594">
        <f>SUM(K17:K18)</f>
        <v>48235</v>
      </c>
      <c r="L19" s="325"/>
    </row>
    <row r="20" spans="1:12" ht="16.5" thickTop="1" thickBot="1" x14ac:dyDescent="0.25">
      <c r="A20" s="2231" t="s">
        <v>1636</v>
      </c>
      <c r="B20" s="2232"/>
      <c r="C20" s="1622">
        <f>C8-C17</f>
        <v>69631</v>
      </c>
      <c r="D20" s="1622">
        <f t="shared" ref="D20:K20" si="5">D8-D17</f>
        <v>17440</v>
      </c>
      <c r="E20" s="1622">
        <f t="shared" si="5"/>
        <v>2739</v>
      </c>
      <c r="F20" s="1622">
        <f t="shared" si="5"/>
        <v>-57930</v>
      </c>
      <c r="G20" s="1622">
        <f t="shared" si="5"/>
        <v>-40764</v>
      </c>
      <c r="H20" s="1622">
        <f t="shared" si="5"/>
        <v>44526</v>
      </c>
      <c r="I20" s="1622">
        <f t="shared" si="5"/>
        <v>51891</v>
      </c>
      <c r="J20" s="1622">
        <f t="shared" si="5"/>
        <v>4947</v>
      </c>
      <c r="K20" s="1622">
        <f t="shared" si="5"/>
        <v>-5815</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117100</v>
      </c>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v>107836</v>
      </c>
      <c r="G43" s="1574"/>
      <c r="H43" s="1574"/>
      <c r="I43" s="1574"/>
      <c r="J43" s="1574"/>
      <c r="K43" s="1574"/>
      <c r="L43" s="453"/>
    </row>
    <row r="44" spans="1:12" s="433" customFormat="1" ht="13.5" customHeight="1" thickBot="1" x14ac:dyDescent="0.25">
      <c r="A44" s="2245" t="s">
        <v>371</v>
      </c>
      <c r="B44" s="2246"/>
      <c r="C44" s="1624">
        <f>SUM(C24:C43)</f>
        <v>117100</v>
      </c>
      <c r="D44" s="1624">
        <f t="shared" ref="D44:K44" si="6">SUM(D24:D43)</f>
        <v>0</v>
      </c>
      <c r="E44" s="1624">
        <f t="shared" si="6"/>
        <v>0</v>
      </c>
      <c r="F44" s="1624">
        <f t="shared" si="6"/>
        <v>107836</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117100</v>
      </c>
      <c r="D77" s="1624">
        <f t="shared" si="8"/>
        <v>0</v>
      </c>
      <c r="E77" s="1624">
        <f t="shared" si="8"/>
        <v>0</v>
      </c>
      <c r="F77" s="1624">
        <f t="shared" si="8"/>
        <v>107836</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186731</v>
      </c>
      <c r="D78" s="1629">
        <f t="shared" si="9"/>
        <v>17440</v>
      </c>
      <c r="E78" s="1629">
        <f t="shared" si="9"/>
        <v>2739</v>
      </c>
      <c r="F78" s="1629">
        <f t="shared" si="9"/>
        <v>49906</v>
      </c>
      <c r="G78" s="1629">
        <f t="shared" si="9"/>
        <v>-40764</v>
      </c>
      <c r="H78" s="1629">
        <f t="shared" si="9"/>
        <v>44526</v>
      </c>
      <c r="I78" s="1629">
        <f t="shared" si="9"/>
        <v>51891</v>
      </c>
      <c r="J78" s="1629">
        <f t="shared" si="9"/>
        <v>4947</v>
      </c>
      <c r="K78" s="1629">
        <f t="shared" si="9"/>
        <v>-5815</v>
      </c>
      <c r="L78" s="457"/>
    </row>
    <row r="79" spans="1:12" ht="13.5" thickTop="1" x14ac:dyDescent="0.2">
      <c r="A79" s="1844" t="str">
        <f>"Fund Balances - July 1, "&amp;'AFR20'!E2-1</f>
        <v>Fund Balances - July 1, 2019</v>
      </c>
      <c r="B79" s="458"/>
      <c r="C79" s="1583">
        <v>1250528</v>
      </c>
      <c r="D79" s="1630">
        <v>139642</v>
      </c>
      <c r="E79" s="1630">
        <v>6146</v>
      </c>
      <c r="F79" s="1630">
        <v>295468</v>
      </c>
      <c r="G79" s="1630">
        <v>148431</v>
      </c>
      <c r="H79" s="1630">
        <v>6749</v>
      </c>
      <c r="I79" s="1630">
        <v>755865</v>
      </c>
      <c r="J79" s="1630">
        <v>4766</v>
      </c>
      <c r="K79" s="1630">
        <v>6499</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1437259</v>
      </c>
      <c r="D81" s="1594">
        <f>SUM(D78:D80)</f>
        <v>157082</v>
      </c>
      <c r="E81" s="1594">
        <f t="shared" ref="E81:K81" si="10">SUM(E78:E80)</f>
        <v>8885</v>
      </c>
      <c r="F81" s="1594">
        <f t="shared" si="10"/>
        <v>345374</v>
      </c>
      <c r="G81" s="1594">
        <f t="shared" si="10"/>
        <v>107667</v>
      </c>
      <c r="H81" s="1594">
        <f t="shared" si="10"/>
        <v>51275</v>
      </c>
      <c r="I81" s="1594">
        <f t="shared" si="10"/>
        <v>807756</v>
      </c>
      <c r="J81" s="1594">
        <f t="shared" si="10"/>
        <v>9713</v>
      </c>
      <c r="K81" s="1594">
        <f t="shared" si="10"/>
        <v>684</v>
      </c>
      <c r="L81" s="325"/>
    </row>
    <row r="82" spans="1:12" ht="0.75" customHeight="1" thickTop="1" thickBot="1" x14ac:dyDescent="0.25">
      <c r="A82" s="459" t="s">
        <v>340</v>
      </c>
      <c r="B82" s="460"/>
      <c r="C82" s="461">
        <f>(C81-C79)</f>
        <v>186731</v>
      </c>
      <c r="D82" s="461">
        <f t="shared" ref="D82:K82" si="11">(D81-D79)</f>
        <v>17440</v>
      </c>
      <c r="E82" s="461">
        <f t="shared" si="11"/>
        <v>2739</v>
      </c>
      <c r="F82" s="461">
        <f t="shared" si="11"/>
        <v>49906</v>
      </c>
      <c r="G82" s="461">
        <f t="shared" si="11"/>
        <v>-40764</v>
      </c>
      <c r="H82" s="461">
        <f t="shared" si="11"/>
        <v>44526</v>
      </c>
      <c r="I82" s="461">
        <f t="shared" si="11"/>
        <v>51891</v>
      </c>
      <c r="J82" s="461">
        <f t="shared" si="11"/>
        <v>4947</v>
      </c>
      <c r="K82" s="461">
        <f t="shared" si="11"/>
        <v>-5815</v>
      </c>
    </row>
    <row r="83" spans="1:12" ht="14.25" hidden="1" thickTop="1" thickBot="1" x14ac:dyDescent="0.25">
      <c r="A83" s="462" t="s">
        <v>341</v>
      </c>
      <c r="B83" s="428"/>
      <c r="C83" s="463">
        <f>C82/C81</f>
        <v>0.12992160772693023</v>
      </c>
      <c r="D83" s="463">
        <f t="shared" ref="D83:K83" si="12">D82/D81</f>
        <v>0.11102481506474325</v>
      </c>
      <c r="E83" s="463">
        <f t="shared" si="12"/>
        <v>0.30827236916150819</v>
      </c>
      <c r="F83" s="463">
        <f t="shared" si="12"/>
        <v>0.14449842779132188</v>
      </c>
      <c r="G83" s="463">
        <f t="shared" si="12"/>
        <v>-0.37861183092312406</v>
      </c>
      <c r="H83" s="463">
        <f t="shared" si="12"/>
        <v>0.86837640175524133</v>
      </c>
      <c r="I83" s="463">
        <f t="shared" si="12"/>
        <v>6.4240934143478978E-2</v>
      </c>
      <c r="J83" s="463">
        <f t="shared" si="12"/>
        <v>0.50931740965716055</v>
      </c>
      <c r="K83" s="463">
        <f t="shared" si="12"/>
        <v>-8.5014619883040936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1539013</v>
      </c>
      <c r="D5" s="1586">
        <v>422749</v>
      </c>
      <c r="E5" s="1573">
        <v>663941</v>
      </c>
      <c r="F5" s="1631">
        <v>169101</v>
      </c>
      <c r="G5" s="1573">
        <v>145182</v>
      </c>
      <c r="H5" s="1573"/>
      <c r="I5" s="1573">
        <v>42274</v>
      </c>
      <c r="J5" s="1574">
        <v>529339</v>
      </c>
      <c r="K5" s="1573">
        <v>42274</v>
      </c>
    </row>
    <row r="6" spans="1:12" ht="15" x14ac:dyDescent="0.2">
      <c r="A6" s="427" t="s">
        <v>1643</v>
      </c>
      <c r="B6" s="429">
        <v>1130</v>
      </c>
      <c r="C6" s="1573">
        <v>42274</v>
      </c>
      <c r="D6" s="1573"/>
      <c r="E6" s="1580"/>
      <c r="F6" s="1580"/>
      <c r="G6" s="1575"/>
      <c r="H6" s="1575"/>
      <c r="I6" s="1575"/>
      <c r="J6" s="1575"/>
      <c r="K6" s="1575"/>
    </row>
    <row r="7" spans="1:12" x14ac:dyDescent="0.2">
      <c r="A7" s="427" t="s">
        <v>110</v>
      </c>
      <c r="B7" s="471">
        <v>1140</v>
      </c>
      <c r="C7" s="1573">
        <v>33822</v>
      </c>
      <c r="D7" s="1573"/>
      <c r="E7" s="1575"/>
      <c r="F7" s="1574"/>
      <c r="G7" s="1574"/>
      <c r="H7" s="1574"/>
      <c r="I7" s="1575"/>
      <c r="J7" s="1575"/>
      <c r="K7" s="1575"/>
    </row>
    <row r="8" spans="1:12" x14ac:dyDescent="0.2">
      <c r="A8" s="427" t="s">
        <v>410</v>
      </c>
      <c r="B8" s="429">
        <v>1150</v>
      </c>
      <c r="C8" s="1580"/>
      <c r="D8" s="1580"/>
      <c r="E8" s="1582"/>
      <c r="F8" s="1582"/>
      <c r="G8" s="1586">
        <v>160098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1615109</v>
      </c>
      <c r="D12" s="1633">
        <f t="shared" si="0"/>
        <v>422749</v>
      </c>
      <c r="E12" s="1633">
        <f t="shared" si="0"/>
        <v>663941</v>
      </c>
      <c r="F12" s="1633">
        <f t="shared" si="0"/>
        <v>169101</v>
      </c>
      <c r="G12" s="1633">
        <f t="shared" si="0"/>
        <v>305280</v>
      </c>
      <c r="H12" s="1633">
        <f t="shared" si="0"/>
        <v>0</v>
      </c>
      <c r="I12" s="1633">
        <f t="shared" si="0"/>
        <v>42274</v>
      </c>
      <c r="J12" s="1633">
        <f t="shared" si="0"/>
        <v>529339</v>
      </c>
      <c r="K12" s="1594">
        <f t="shared" si="0"/>
        <v>42274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3052</v>
      </c>
      <c r="D14" s="1573">
        <v>791</v>
      </c>
      <c r="E14" s="1573">
        <v>1234</v>
      </c>
      <c r="F14" s="1573">
        <v>316</v>
      </c>
      <c r="G14" s="1573">
        <v>566</v>
      </c>
      <c r="H14" s="1573"/>
      <c r="I14" s="1573">
        <v>79</v>
      </c>
      <c r="J14" s="1574">
        <v>984</v>
      </c>
      <c r="K14" s="1573">
        <v>79</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226928</v>
      </c>
      <c r="D16" s="1573"/>
      <c r="E16" s="1573"/>
      <c r="F16" s="1573"/>
      <c r="G16" s="1573">
        <v>11944</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229980</v>
      </c>
      <c r="D18" s="1635">
        <f t="shared" ref="D18:K18" si="1">SUM(D14:D17)</f>
        <v>791</v>
      </c>
      <c r="E18" s="1635">
        <f t="shared" si="1"/>
        <v>1234</v>
      </c>
      <c r="F18" s="1635">
        <f t="shared" si="1"/>
        <v>316</v>
      </c>
      <c r="G18" s="1635">
        <f t="shared" si="1"/>
        <v>12510</v>
      </c>
      <c r="H18" s="1635">
        <f t="shared" si="1"/>
        <v>0</v>
      </c>
      <c r="I18" s="1635">
        <f t="shared" si="1"/>
        <v>79</v>
      </c>
      <c r="J18" s="1635">
        <f t="shared" si="1"/>
        <v>984</v>
      </c>
      <c r="K18" s="1636">
        <f t="shared" si="1"/>
        <v>79</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1482</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1482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44180</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44180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17273</v>
      </c>
      <c r="D65" s="1573">
        <v>1853</v>
      </c>
      <c r="E65" s="1573">
        <v>1434</v>
      </c>
      <c r="F65" s="1574">
        <v>2476</v>
      </c>
      <c r="G65" s="1573">
        <v>2185</v>
      </c>
      <c r="H65" s="1573">
        <v>46</v>
      </c>
      <c r="I65" s="1573">
        <v>9538</v>
      </c>
      <c r="J65" s="1574">
        <v>1886</v>
      </c>
      <c r="K65" s="1573">
        <v>67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17273</v>
      </c>
      <c r="D67" s="1594">
        <f t="shared" ref="D67:K67" si="2">SUM(D65:D66)</f>
        <v>1853</v>
      </c>
      <c r="E67" s="1594">
        <f t="shared" si="2"/>
        <v>1434</v>
      </c>
      <c r="F67" s="1594">
        <f t="shared" si="2"/>
        <v>2476</v>
      </c>
      <c r="G67" s="1594">
        <f t="shared" si="2"/>
        <v>2185</v>
      </c>
      <c r="H67" s="1594">
        <f t="shared" si="2"/>
        <v>46</v>
      </c>
      <c r="I67" s="1594">
        <f t="shared" si="2"/>
        <v>9538</v>
      </c>
      <c r="J67" s="1594">
        <f t="shared" si="2"/>
        <v>1886</v>
      </c>
      <c r="K67" s="1594">
        <f t="shared" si="2"/>
        <v>67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69927</v>
      </c>
      <c r="D69" s="1575"/>
      <c r="E69" s="1575"/>
      <c r="F69" s="1575"/>
      <c r="G69" s="1575"/>
      <c r="H69" s="1575"/>
      <c r="I69" s="1575"/>
      <c r="J69" s="1575"/>
      <c r="K69" s="1575"/>
    </row>
    <row r="70" spans="1:11" ht="12.75" customHeight="1" x14ac:dyDescent="0.2">
      <c r="A70" s="427" t="s">
        <v>990</v>
      </c>
      <c r="B70" s="429">
        <v>1612</v>
      </c>
      <c r="C70" s="1632">
        <v>8817</v>
      </c>
      <c r="D70" s="1575"/>
      <c r="E70" s="1575"/>
      <c r="F70" s="1575"/>
      <c r="G70" s="1575"/>
      <c r="H70" s="1575"/>
      <c r="I70" s="1575"/>
      <c r="J70" s="1575"/>
      <c r="K70" s="1575"/>
    </row>
    <row r="71" spans="1:11" ht="12.75" customHeight="1" x14ac:dyDescent="0.2">
      <c r="A71" s="427" t="s">
        <v>271</v>
      </c>
      <c r="B71" s="429">
        <v>1613</v>
      </c>
      <c r="C71" s="1632">
        <v>13276</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5007</v>
      </c>
      <c r="D73" s="1575"/>
      <c r="E73" s="1575"/>
      <c r="F73" s="1575"/>
      <c r="G73" s="1575"/>
      <c r="H73" s="1575"/>
      <c r="I73" s="1575"/>
      <c r="J73" s="1575"/>
      <c r="K73" s="1575"/>
    </row>
    <row r="74" spans="1:11" ht="12.75" customHeight="1" x14ac:dyDescent="0.2">
      <c r="A74" s="427" t="s">
        <v>25</v>
      </c>
      <c r="B74" s="429">
        <v>1690</v>
      </c>
      <c r="C74" s="1632">
        <v>291</v>
      </c>
      <c r="D74" s="1575"/>
      <c r="E74" s="1575"/>
      <c r="F74" s="1575"/>
      <c r="G74" s="1575"/>
      <c r="H74" s="1575"/>
      <c r="I74" s="1575"/>
      <c r="J74" s="1575"/>
      <c r="K74" s="1575"/>
    </row>
    <row r="75" spans="1:11" ht="12.75" customHeight="1" thickBot="1" x14ac:dyDescent="0.25">
      <c r="A75" s="1406" t="s">
        <v>544</v>
      </c>
      <c r="B75" s="1407"/>
      <c r="C75" s="1594">
        <f>SUM(C69:C74)</f>
        <v>97318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26050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25621</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51671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18232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18232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46</v>
      </c>
      <c r="E95" s="1617"/>
      <c r="F95" s="1617"/>
      <c r="G95" s="1617"/>
      <c r="H95" s="1617"/>
      <c r="I95" s="1617"/>
      <c r="J95" s="1617"/>
      <c r="K95" s="1617"/>
    </row>
    <row r="96" spans="1:11" ht="12.75" customHeight="1" x14ac:dyDescent="0.2">
      <c r="A96" s="427" t="s">
        <v>388</v>
      </c>
      <c r="B96" s="429">
        <v>1920</v>
      </c>
      <c r="C96" s="1632">
        <v>5170</v>
      </c>
      <c r="D96" s="1632">
        <v>4500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46581</v>
      </c>
      <c r="D98" s="1573"/>
      <c r="E98" s="1612"/>
      <c r="F98" s="1573"/>
      <c r="G98" s="1612"/>
      <c r="H98" s="1612"/>
      <c r="I98" s="1610"/>
      <c r="J98" s="1612"/>
      <c r="K98" s="1612"/>
    </row>
    <row r="99" spans="1:12" ht="12.75" customHeight="1" x14ac:dyDescent="0.2">
      <c r="A99" s="427" t="s">
        <v>816</v>
      </c>
      <c r="B99" s="429">
        <v>1950</v>
      </c>
      <c r="C99" s="1598">
        <v>12171</v>
      </c>
      <c r="D99" s="1573">
        <v>25950</v>
      </c>
      <c r="E99" s="1573"/>
      <c r="F99" s="1573">
        <v>-68</v>
      </c>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5350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31077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7220</v>
      </c>
      <c r="D106" s="1598"/>
      <c r="E106" s="1574"/>
      <c r="F106" s="1574"/>
      <c r="G106" s="1574"/>
      <c r="H106" s="1574"/>
      <c r="I106" s="1617"/>
      <c r="J106" s="1574"/>
      <c r="K106" s="1574"/>
    </row>
    <row r="107" spans="1:12" ht="12.75" customHeight="1" x14ac:dyDescent="0.2">
      <c r="A107" s="427" t="s">
        <v>78</v>
      </c>
      <c r="B107" s="429">
        <v>1999</v>
      </c>
      <c r="C107" s="1632">
        <v>1781</v>
      </c>
      <c r="D107" s="1573">
        <v>4174</v>
      </c>
      <c r="E107" s="1573"/>
      <c r="F107" s="1573"/>
      <c r="G107" s="1573"/>
      <c r="H107" s="1573"/>
      <c r="I107" s="1573"/>
      <c r="J107" s="1574"/>
      <c r="K107" s="1573"/>
    </row>
    <row r="108" spans="1:12" ht="12.75" customHeight="1" thickBot="1" x14ac:dyDescent="0.25">
      <c r="A108" s="1406" t="s">
        <v>484</v>
      </c>
      <c r="B108" s="1408"/>
      <c r="C108" s="1633">
        <f>SUM(C95:C107)</f>
        <v>78273</v>
      </c>
      <c r="D108" s="1633">
        <f t="shared" ref="D108:K108" si="3">SUM(D95:D107)</f>
        <v>34670</v>
      </c>
      <c r="E108" s="1633">
        <f t="shared" si="3"/>
        <v>0</v>
      </c>
      <c r="F108" s="1633">
        <f t="shared" si="3"/>
        <v>-68</v>
      </c>
      <c r="G108" s="1633">
        <f t="shared" si="3"/>
        <v>0</v>
      </c>
      <c r="H108" s="1633">
        <f t="shared" si="3"/>
        <v>31077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2109338</v>
      </c>
      <c r="D109" s="1641">
        <f t="shared" si="4"/>
        <v>460063</v>
      </c>
      <c r="E109" s="1641">
        <f t="shared" si="4"/>
        <v>666609</v>
      </c>
      <c r="F109" s="1641">
        <f t="shared" si="4"/>
        <v>216005</v>
      </c>
      <c r="G109" s="1641">
        <f t="shared" si="4"/>
        <v>319975</v>
      </c>
      <c r="H109" s="1641">
        <f t="shared" si="4"/>
        <v>31123</v>
      </c>
      <c r="I109" s="1641">
        <f t="shared" si="4"/>
        <v>51891</v>
      </c>
      <c r="J109" s="1641">
        <f t="shared" si="4"/>
        <v>532209</v>
      </c>
      <c r="K109" s="1629">
        <f t="shared" si="4"/>
        <v>42420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3387000</v>
      </c>
      <c r="D117" s="1586">
        <v>680811</v>
      </c>
      <c r="E117" s="1573">
        <v>89000</v>
      </c>
      <c r="F117" s="1586">
        <v>113500</v>
      </c>
      <c r="G117" s="1586"/>
      <c r="H117" s="1573">
        <v>6000</v>
      </c>
      <c r="I117" s="1575"/>
      <c r="J117" s="1574">
        <v>34000</v>
      </c>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3387000</v>
      </c>
      <c r="D122" s="1633">
        <f t="shared" si="5"/>
        <v>680811</v>
      </c>
      <c r="E122" s="1633">
        <f t="shared" si="5"/>
        <v>89000</v>
      </c>
      <c r="F122" s="1633">
        <f t="shared" si="5"/>
        <v>113500</v>
      </c>
      <c r="G122" s="1633">
        <f t="shared" si="5"/>
        <v>0</v>
      </c>
      <c r="H122" s="1633">
        <f t="shared" si="5"/>
        <v>6000</v>
      </c>
      <c r="I122" s="1575"/>
      <c r="J122" s="1633">
        <f>SUM(J117:J121)</f>
        <v>34000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12815</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21130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33945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19081</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10872</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3351</v>
      </c>
      <c r="D140" s="1573"/>
      <c r="E140" s="1640"/>
      <c r="F140" s="1582"/>
      <c r="G140" s="1574"/>
      <c r="H140" s="1575"/>
      <c r="I140" s="1575"/>
      <c r="J140" s="1575"/>
      <c r="K140" s="1575"/>
    </row>
    <row r="141" spans="1:11" ht="12.75" customHeight="1" thickBot="1" x14ac:dyDescent="0.25">
      <c r="A141" s="1406" t="s">
        <v>599</v>
      </c>
      <c r="B141" s="1414"/>
      <c r="C141" s="1633">
        <f>SUM(C134:C140)</f>
        <v>33304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2697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8364</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240668</v>
      </c>
      <c r="G152" s="1574"/>
      <c r="H152" s="1575"/>
      <c r="I152" s="1575"/>
      <c r="J152" s="1575"/>
      <c r="K152" s="1575"/>
    </row>
    <row r="153" spans="1:11" ht="12.75" customHeight="1" x14ac:dyDescent="0.2">
      <c r="A153" s="427" t="s">
        <v>1048</v>
      </c>
      <c r="B153" s="478">
        <v>3510</v>
      </c>
      <c r="C153" s="1632"/>
      <c r="D153" s="1573"/>
      <c r="E153" s="1640"/>
      <c r="F153" s="1573">
        <v>105706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346374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79060</v>
      </c>
      <c r="D169" s="1658">
        <f t="shared" si="6"/>
        <v>0</v>
      </c>
      <c r="E169" s="1658">
        <f t="shared" si="6"/>
        <v>0</v>
      </c>
      <c r="F169" s="1658">
        <f t="shared" si="6"/>
        <v>346374</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3466060</v>
      </c>
      <c r="D170" s="1641">
        <f t="shared" si="7"/>
        <v>680811</v>
      </c>
      <c r="E170" s="1641">
        <f t="shared" si="7"/>
        <v>89000</v>
      </c>
      <c r="F170" s="1641">
        <f t="shared" si="7"/>
        <v>459874</v>
      </c>
      <c r="G170" s="1641">
        <f t="shared" si="7"/>
        <v>0</v>
      </c>
      <c r="H170" s="1641">
        <f t="shared" si="7"/>
        <v>56000</v>
      </c>
      <c r="I170" s="1641">
        <f t="shared" si="7"/>
        <v>0</v>
      </c>
      <c r="J170" s="1641">
        <f t="shared" si="7"/>
        <v>34000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137094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44643</v>
      </c>
      <c r="D193" s="1575"/>
      <c r="E193" s="1640"/>
      <c r="F193" s="1575"/>
      <c r="G193" s="1664"/>
      <c r="H193" s="1575"/>
      <c r="I193" s="1575"/>
      <c r="J193" s="1575"/>
      <c r="K193" s="1575"/>
    </row>
    <row r="194" spans="1:11" ht="12.75" customHeight="1" x14ac:dyDescent="0.2">
      <c r="A194" s="427" t="s">
        <v>1434</v>
      </c>
      <c r="B194" s="429">
        <v>4225</v>
      </c>
      <c r="C194" s="1632">
        <v>170035</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351772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197800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197800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12229</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12229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69000</v>
      </c>
      <c r="D213" s="1573"/>
      <c r="E213" s="1575"/>
      <c r="F213" s="1573"/>
      <c r="G213" s="1573"/>
      <c r="H213" s="1575"/>
      <c r="I213" s="1575"/>
      <c r="J213" s="1575"/>
      <c r="K213" s="1575"/>
    </row>
    <row r="214" spans="1:11" ht="12.75" customHeight="1" x14ac:dyDescent="0.2">
      <c r="A214" s="427" t="s">
        <v>1045</v>
      </c>
      <c r="B214" s="429">
        <v>4625</v>
      </c>
      <c r="C214" s="1632">
        <v>5034</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74034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29686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13077</v>
      </c>
      <c r="D263" s="1651"/>
      <c r="E263" s="1575"/>
      <c r="F263" s="1651"/>
      <c r="G263" s="1651"/>
      <c r="H263" s="1575"/>
      <c r="I263" s="1575"/>
      <c r="J263" s="1575"/>
      <c r="K263" s="1575"/>
    </row>
    <row r="264" spans="1:11" ht="12.75" customHeight="1" thickTop="1" thickBot="1" x14ac:dyDescent="0.25">
      <c r="A264" s="427" t="s">
        <v>374</v>
      </c>
      <c r="B264" s="429">
        <v>4992</v>
      </c>
      <c r="C264" s="1650">
        <v>65381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743979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743979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6319377</v>
      </c>
      <c r="D268" s="1641">
        <f t="shared" si="12"/>
        <v>1140874</v>
      </c>
      <c r="E268" s="1641">
        <f t="shared" si="12"/>
        <v>755609</v>
      </c>
      <c r="F268" s="1641">
        <f t="shared" si="12"/>
        <v>675879</v>
      </c>
      <c r="G268" s="1641">
        <f t="shared" si="12"/>
        <v>319975</v>
      </c>
      <c r="H268" s="1641">
        <f t="shared" si="12"/>
        <v>87123</v>
      </c>
      <c r="I268" s="1641">
        <f t="shared" si="12"/>
        <v>51891</v>
      </c>
      <c r="J268" s="1641">
        <f t="shared" si="12"/>
        <v>566209</v>
      </c>
      <c r="K268" s="1629">
        <f t="shared" si="12"/>
        <v>42420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topLeftCell="A145" colorId="8" zoomScale="60" zoomScaleNormal="110" workbookViewId="0">
      <selection activeCell="I19" sqref="I1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2115007</v>
      </c>
      <c r="D5" s="1573">
        <v>437311</v>
      </c>
      <c r="E5" s="1573">
        <v>96073</v>
      </c>
      <c r="F5" s="1573">
        <v>211865</v>
      </c>
      <c r="G5" s="1573">
        <v>61568</v>
      </c>
      <c r="H5" s="1573"/>
      <c r="I5" s="1574"/>
      <c r="J5" s="1574"/>
      <c r="K5" s="1672">
        <f>SUM(C5:J5)</f>
        <v>2921824</v>
      </c>
      <c r="L5" s="1573">
        <v>2905343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660787</v>
      </c>
      <c r="D8" s="1573">
        <v>129355</v>
      </c>
      <c r="E8" s="1573"/>
      <c r="F8" s="1573">
        <v>380</v>
      </c>
      <c r="G8" s="1573"/>
      <c r="H8" s="1573"/>
      <c r="I8" s="1574"/>
      <c r="J8" s="1574"/>
      <c r="K8" s="1672">
        <f t="shared" si="0"/>
        <v>790522</v>
      </c>
      <c r="L8" s="1573">
        <v>796315</v>
      </c>
    </row>
    <row r="9" spans="1:14" x14ac:dyDescent="0.2">
      <c r="A9" s="1274" t="s">
        <v>716</v>
      </c>
      <c r="B9" s="503" t="s">
        <v>962</v>
      </c>
      <c r="C9" s="1574">
        <v>50610</v>
      </c>
      <c r="D9" s="1574">
        <v>10668</v>
      </c>
      <c r="E9" s="1574"/>
      <c r="F9" s="1574"/>
      <c r="G9" s="1574"/>
      <c r="H9" s="1574"/>
      <c r="I9" s="1574"/>
      <c r="J9" s="1574"/>
      <c r="K9" s="1672">
        <f t="shared" si="0"/>
        <v>61278</v>
      </c>
      <c r="L9" s="1573">
        <v>61615</v>
      </c>
    </row>
    <row r="10" spans="1:14" x14ac:dyDescent="0.2">
      <c r="A10" s="1274" t="s">
        <v>717</v>
      </c>
      <c r="B10" s="503">
        <v>1250</v>
      </c>
      <c r="C10" s="1573">
        <v>116294</v>
      </c>
      <c r="D10" s="1573">
        <v>14869</v>
      </c>
      <c r="E10" s="1573"/>
      <c r="F10" s="1573">
        <v>446</v>
      </c>
      <c r="G10" s="1573"/>
      <c r="H10" s="1573"/>
      <c r="I10" s="1574"/>
      <c r="J10" s="1574"/>
      <c r="K10" s="1672">
        <f t="shared" si="0"/>
        <v>131609</v>
      </c>
      <c r="L10" s="1573">
        <v>131770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195907</v>
      </c>
      <c r="D13" s="1573">
        <v>33763</v>
      </c>
      <c r="E13" s="1573"/>
      <c r="F13" s="1573">
        <v>2556</v>
      </c>
      <c r="G13" s="1573">
        <v>2865</v>
      </c>
      <c r="H13" s="1573"/>
      <c r="I13" s="1574"/>
      <c r="J13" s="1574"/>
      <c r="K13" s="1672">
        <f t="shared" si="0"/>
        <v>235091</v>
      </c>
      <c r="L13" s="1573">
        <v>236670</v>
      </c>
    </row>
    <row r="14" spans="1:14" x14ac:dyDescent="0.2">
      <c r="A14" s="1274" t="s">
        <v>957</v>
      </c>
      <c r="B14" s="503">
        <v>1500</v>
      </c>
      <c r="C14" s="1573">
        <v>127463</v>
      </c>
      <c r="D14" s="1573">
        <v>6545</v>
      </c>
      <c r="E14" s="1573">
        <v>16444</v>
      </c>
      <c r="F14" s="1573">
        <v>3406</v>
      </c>
      <c r="G14" s="1573"/>
      <c r="H14" s="1573"/>
      <c r="I14" s="1574"/>
      <c r="J14" s="1574"/>
      <c r="K14" s="1672">
        <f t="shared" si="0"/>
        <v>153858</v>
      </c>
      <c r="L14" s="1573">
        <v>153161</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3735</v>
      </c>
      <c r="D17" s="1574">
        <v>451</v>
      </c>
      <c r="E17" s="1574"/>
      <c r="F17" s="1574">
        <v>3281</v>
      </c>
      <c r="G17" s="1574"/>
      <c r="H17" s="1574"/>
      <c r="I17" s="1574"/>
      <c r="J17" s="1574"/>
      <c r="K17" s="1672">
        <f t="shared" si="0"/>
        <v>7467</v>
      </c>
      <c r="L17" s="1573">
        <v>5631</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v>2530</v>
      </c>
      <c r="I21" s="1673"/>
      <c r="J21" s="1582"/>
      <c r="K21" s="1672">
        <f t="shared" si="0"/>
        <v>2530</v>
      </c>
      <c r="L21" s="1577">
        <v>2530</v>
      </c>
    </row>
    <row r="22" spans="1:12" x14ac:dyDescent="0.2">
      <c r="A22" s="1275" t="s">
        <v>735</v>
      </c>
      <c r="B22" s="494" t="s">
        <v>722</v>
      </c>
      <c r="C22" s="1582"/>
      <c r="D22" s="1582"/>
      <c r="E22" s="1582"/>
      <c r="F22" s="1582"/>
      <c r="G22" s="1582"/>
      <c r="H22" s="1579">
        <v>60934</v>
      </c>
      <c r="I22" s="1673"/>
      <c r="J22" s="1582"/>
      <c r="K22" s="1672">
        <f t="shared" si="0"/>
        <v>60934</v>
      </c>
      <c r="L22" s="1577">
        <v>60394</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3269803</v>
      </c>
      <c r="D33" s="1674">
        <f t="shared" ref="D33:L33" si="1">SUM(D5:D32)</f>
        <v>632962</v>
      </c>
      <c r="E33" s="1674">
        <f t="shared" si="1"/>
        <v>112517</v>
      </c>
      <c r="F33" s="1674">
        <f t="shared" si="1"/>
        <v>221934</v>
      </c>
      <c r="G33" s="1674">
        <f t="shared" si="1"/>
        <v>64433</v>
      </c>
      <c r="H33" s="1674">
        <f t="shared" si="1"/>
        <v>63464</v>
      </c>
      <c r="I33" s="1674">
        <f t="shared" si="1"/>
        <v>0</v>
      </c>
      <c r="J33" s="1674">
        <f t="shared" si="1"/>
        <v>0</v>
      </c>
      <c r="K33" s="1674">
        <f t="shared" si="1"/>
        <v>4365113</v>
      </c>
      <c r="L33" s="1674">
        <f t="shared" si="1"/>
        <v>4353429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43180</v>
      </c>
      <c r="D36" s="1586">
        <v>1201</v>
      </c>
      <c r="E36" s="1586"/>
      <c r="F36" s="1586"/>
      <c r="G36" s="1586"/>
      <c r="H36" s="1586"/>
      <c r="I36" s="1574"/>
      <c r="J36" s="1574"/>
      <c r="K36" s="1672">
        <f t="shared" ref="K36:K41" si="2">SUM(C36:J36)</f>
        <v>44381</v>
      </c>
      <c r="L36" s="1573">
        <v>48558</v>
      </c>
    </row>
    <row r="37" spans="1:14" x14ac:dyDescent="0.2">
      <c r="A37" s="1274" t="s">
        <v>1081</v>
      </c>
      <c r="B37" s="503">
        <v>2120</v>
      </c>
      <c r="C37" s="1573">
        <v>121847</v>
      </c>
      <c r="D37" s="1573">
        <v>17997</v>
      </c>
      <c r="E37" s="1573"/>
      <c r="F37" s="1573"/>
      <c r="G37" s="1573"/>
      <c r="H37" s="1573"/>
      <c r="I37" s="1574"/>
      <c r="J37" s="1574"/>
      <c r="K37" s="1672">
        <f t="shared" si="2"/>
        <v>139844</v>
      </c>
      <c r="L37" s="1573">
        <v>140219</v>
      </c>
    </row>
    <row r="38" spans="1:14" x14ac:dyDescent="0.2">
      <c r="A38" s="1274" t="s">
        <v>196</v>
      </c>
      <c r="B38" s="503">
        <v>2130</v>
      </c>
      <c r="C38" s="1573">
        <v>33621</v>
      </c>
      <c r="D38" s="1573">
        <v>10831</v>
      </c>
      <c r="E38" s="1573">
        <v>1137</v>
      </c>
      <c r="F38" s="1573">
        <v>4276</v>
      </c>
      <c r="G38" s="1573"/>
      <c r="H38" s="1573"/>
      <c r="I38" s="1574"/>
      <c r="J38" s="1574"/>
      <c r="K38" s="1672">
        <f t="shared" si="2"/>
        <v>49865</v>
      </c>
      <c r="L38" s="1573">
        <v>48028</v>
      </c>
    </row>
    <row r="39" spans="1:14" x14ac:dyDescent="0.2">
      <c r="A39" s="1274" t="s">
        <v>197</v>
      </c>
      <c r="B39" s="503">
        <v>2140</v>
      </c>
      <c r="C39" s="1573">
        <v>65804</v>
      </c>
      <c r="D39" s="1573">
        <v>6984</v>
      </c>
      <c r="E39" s="1573">
        <v>1074</v>
      </c>
      <c r="F39" s="1573">
        <v>1413</v>
      </c>
      <c r="G39" s="1573"/>
      <c r="H39" s="1573"/>
      <c r="I39" s="1574"/>
      <c r="J39" s="1574"/>
      <c r="K39" s="1672">
        <f t="shared" si="2"/>
        <v>75275</v>
      </c>
      <c r="L39" s="1573">
        <v>75395</v>
      </c>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3400</v>
      </c>
      <c r="D41" s="1573"/>
      <c r="E41" s="1573">
        <v>9900</v>
      </c>
      <c r="F41" s="1573"/>
      <c r="G41" s="1573"/>
      <c r="H41" s="1573"/>
      <c r="I41" s="1574"/>
      <c r="J41" s="1574"/>
      <c r="K41" s="1672">
        <f t="shared" si="2"/>
        <v>13300</v>
      </c>
      <c r="L41" s="1573">
        <v>8075</v>
      </c>
    </row>
    <row r="42" spans="1:14" ht="12.75" customHeight="1" thickBot="1" x14ac:dyDescent="0.25">
      <c r="A42" s="1380" t="s">
        <v>556</v>
      </c>
      <c r="B42" s="1381" t="s">
        <v>711</v>
      </c>
      <c r="C42" s="1674">
        <f>SUM(C36:C41)</f>
        <v>267852</v>
      </c>
      <c r="D42" s="1674">
        <f t="shared" ref="D42:L42" si="3">SUM(D36:D41)</f>
        <v>37013</v>
      </c>
      <c r="E42" s="1674">
        <f t="shared" si="3"/>
        <v>12111</v>
      </c>
      <c r="F42" s="1674">
        <f t="shared" si="3"/>
        <v>5689</v>
      </c>
      <c r="G42" s="1674">
        <f t="shared" si="3"/>
        <v>0</v>
      </c>
      <c r="H42" s="1674">
        <f t="shared" si="3"/>
        <v>0</v>
      </c>
      <c r="I42" s="1674">
        <f t="shared" si="3"/>
        <v>0</v>
      </c>
      <c r="J42" s="1674">
        <f t="shared" si="3"/>
        <v>0</v>
      </c>
      <c r="K42" s="1674">
        <f t="shared" si="3"/>
        <v>322665</v>
      </c>
      <c r="L42" s="1674">
        <f t="shared" si="3"/>
        <v>320275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41915</v>
      </c>
      <c r="D44" s="1586">
        <v>4883</v>
      </c>
      <c r="E44" s="1586">
        <v>11775</v>
      </c>
      <c r="F44" s="1586"/>
      <c r="G44" s="1586"/>
      <c r="H44" s="1586"/>
      <c r="I44" s="1574"/>
      <c r="J44" s="1574"/>
      <c r="K44" s="1678">
        <f>SUM(C44:J44)</f>
        <v>58573</v>
      </c>
      <c r="L44" s="1586">
        <v>54959</v>
      </c>
    </row>
    <row r="45" spans="1:14" x14ac:dyDescent="0.2">
      <c r="A45" s="1274" t="s">
        <v>810</v>
      </c>
      <c r="B45" s="503">
        <v>2220</v>
      </c>
      <c r="C45" s="1573">
        <v>121170</v>
      </c>
      <c r="D45" s="1573">
        <v>15329</v>
      </c>
      <c r="E45" s="1573"/>
      <c r="F45" s="1573">
        <v>2450</v>
      </c>
      <c r="G45" s="1573"/>
      <c r="H45" s="1573"/>
      <c r="I45" s="1574"/>
      <c r="J45" s="1574"/>
      <c r="K45" s="1678">
        <f>SUM(C45:J45)</f>
        <v>138949</v>
      </c>
      <c r="L45" s="1573">
        <v>145516</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163085</v>
      </c>
      <c r="D47" s="1674">
        <f t="shared" ref="D47:K47" si="4">SUM(D44:D46)</f>
        <v>20212</v>
      </c>
      <c r="E47" s="1674">
        <f t="shared" si="4"/>
        <v>11775</v>
      </c>
      <c r="F47" s="1674">
        <f t="shared" si="4"/>
        <v>2450</v>
      </c>
      <c r="G47" s="1674">
        <f t="shared" si="4"/>
        <v>0</v>
      </c>
      <c r="H47" s="1674">
        <f t="shared" si="4"/>
        <v>0</v>
      </c>
      <c r="I47" s="1674">
        <f t="shared" si="4"/>
        <v>0</v>
      </c>
      <c r="J47" s="1674">
        <f t="shared" si="4"/>
        <v>0</v>
      </c>
      <c r="K47" s="1674">
        <f t="shared" si="4"/>
        <v>197522</v>
      </c>
      <c r="L47" s="1674">
        <f>SUM(L44:L46)</f>
        <v>200475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26175</v>
      </c>
      <c r="F49" s="1586"/>
      <c r="G49" s="1586"/>
      <c r="H49" s="1586"/>
      <c r="I49" s="1574"/>
      <c r="J49" s="1574"/>
      <c r="K49" s="1678">
        <f>SUM(C49:J49)</f>
        <v>26175</v>
      </c>
      <c r="L49" s="1586">
        <v>26125</v>
      </c>
    </row>
    <row r="50" spans="1:14" x14ac:dyDescent="0.2">
      <c r="A50" s="1274" t="s">
        <v>813</v>
      </c>
      <c r="B50" s="503">
        <v>2320</v>
      </c>
      <c r="C50" s="1573">
        <v>116832</v>
      </c>
      <c r="D50" s="1573">
        <v>18786</v>
      </c>
      <c r="E50" s="1573">
        <v>673</v>
      </c>
      <c r="F50" s="1573"/>
      <c r="G50" s="1573"/>
      <c r="H50" s="1573"/>
      <c r="I50" s="1574"/>
      <c r="J50" s="1574"/>
      <c r="K50" s="1678">
        <f>SUM(C50:J50)</f>
        <v>136291</v>
      </c>
      <c r="L50" s="1573">
        <v>135118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116832</v>
      </c>
      <c r="D53" s="1674">
        <f t="shared" ref="D53:L53" si="5">SUM(D49:D52)</f>
        <v>18786</v>
      </c>
      <c r="E53" s="1674">
        <f t="shared" si="5"/>
        <v>26848</v>
      </c>
      <c r="F53" s="1674">
        <f t="shared" si="5"/>
        <v>0</v>
      </c>
      <c r="G53" s="1674">
        <f t="shared" si="5"/>
        <v>0</v>
      </c>
      <c r="H53" s="1674">
        <f t="shared" si="5"/>
        <v>0</v>
      </c>
      <c r="I53" s="1674">
        <f t="shared" si="5"/>
        <v>0</v>
      </c>
      <c r="J53" s="1674">
        <f t="shared" si="5"/>
        <v>0</v>
      </c>
      <c r="K53" s="1674">
        <f t="shared" si="5"/>
        <v>162466</v>
      </c>
      <c r="L53" s="1674">
        <f t="shared" si="5"/>
        <v>161243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436926</v>
      </c>
      <c r="D55" s="1586">
        <v>58161</v>
      </c>
      <c r="E55" s="1586">
        <v>1101</v>
      </c>
      <c r="F55" s="1586"/>
      <c r="G55" s="1586"/>
      <c r="H55" s="1586">
        <v>1273</v>
      </c>
      <c r="I55" s="1574"/>
      <c r="J55" s="1574"/>
      <c r="K55" s="1678">
        <f>SUM(C55:J55)</f>
        <v>497461</v>
      </c>
      <c r="L55" s="1586">
        <v>501872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436926</v>
      </c>
      <c r="D57" s="1679">
        <f t="shared" ref="D57:K57" si="6">SUM(D55:D56)</f>
        <v>58161</v>
      </c>
      <c r="E57" s="1679">
        <f t="shared" si="6"/>
        <v>1101</v>
      </c>
      <c r="F57" s="1679">
        <f t="shared" si="6"/>
        <v>0</v>
      </c>
      <c r="G57" s="1679">
        <f t="shared" si="6"/>
        <v>0</v>
      </c>
      <c r="H57" s="1679">
        <f t="shared" si="6"/>
        <v>1273</v>
      </c>
      <c r="I57" s="1679">
        <f t="shared" si="6"/>
        <v>0</v>
      </c>
      <c r="J57" s="1679">
        <f t="shared" si="6"/>
        <v>0</v>
      </c>
      <c r="K57" s="1679">
        <f t="shared" si="6"/>
        <v>497461</v>
      </c>
      <c r="L57" s="1674">
        <f>SUM(L55:L56)</f>
        <v>501872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65427</v>
      </c>
      <c r="D60" s="1573">
        <v>24</v>
      </c>
      <c r="E60" s="1573">
        <v>3621</v>
      </c>
      <c r="F60" s="1573">
        <v>2970</v>
      </c>
      <c r="G60" s="1573"/>
      <c r="H60" s="1573">
        <v>6327</v>
      </c>
      <c r="I60" s="1574"/>
      <c r="J60" s="1574"/>
      <c r="K60" s="1678">
        <f t="shared" si="7"/>
        <v>78369</v>
      </c>
      <c r="L60" s="1573">
        <v>78727</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153671</v>
      </c>
      <c r="D63" s="1573">
        <v>21168</v>
      </c>
      <c r="E63" s="1573">
        <v>146</v>
      </c>
      <c r="F63" s="1573">
        <v>274901</v>
      </c>
      <c r="G63" s="1573">
        <v>1360</v>
      </c>
      <c r="H63" s="1573"/>
      <c r="I63" s="1574"/>
      <c r="J63" s="1574"/>
      <c r="K63" s="1678">
        <f t="shared" si="7"/>
        <v>451246</v>
      </c>
      <c r="L63" s="1573">
        <v>451014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219098</v>
      </c>
      <c r="D65" s="1674">
        <f t="shared" ref="D65:L65" si="8">SUM(D59:D64)</f>
        <v>21192</v>
      </c>
      <c r="E65" s="1674">
        <f t="shared" si="8"/>
        <v>3767</v>
      </c>
      <c r="F65" s="1674">
        <f t="shared" si="8"/>
        <v>277871</v>
      </c>
      <c r="G65" s="1674">
        <f t="shared" si="8"/>
        <v>1360</v>
      </c>
      <c r="H65" s="1674">
        <f t="shared" si="8"/>
        <v>6327</v>
      </c>
      <c r="I65" s="1674">
        <f t="shared" si="8"/>
        <v>0</v>
      </c>
      <c r="J65" s="1674">
        <f t="shared" si="8"/>
        <v>0</v>
      </c>
      <c r="K65" s="1674">
        <f t="shared" si="8"/>
        <v>529615</v>
      </c>
      <c r="L65" s="1674">
        <f t="shared" si="8"/>
        <v>529741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1203793</v>
      </c>
      <c r="D74" s="1681">
        <f t="shared" ref="D74:K74" si="10">SUM(D42,D47,D53,D57,D65,D72,D73)</f>
        <v>155364</v>
      </c>
      <c r="E74" s="1681">
        <f t="shared" si="10"/>
        <v>55602</v>
      </c>
      <c r="F74" s="1681">
        <f t="shared" si="10"/>
        <v>286010</v>
      </c>
      <c r="G74" s="1681">
        <f t="shared" si="10"/>
        <v>1360</v>
      </c>
      <c r="H74" s="1681">
        <f t="shared" si="10"/>
        <v>7600</v>
      </c>
      <c r="I74" s="1681">
        <f t="shared" si="10"/>
        <v>0</v>
      </c>
      <c r="J74" s="1681">
        <f t="shared" si="10"/>
        <v>0</v>
      </c>
      <c r="K74" s="1681">
        <f t="shared" si="10"/>
        <v>1709729</v>
      </c>
      <c r="L74" s="1681">
        <f>SUM(L42,L47,L53,L57,L65,L72,L73)</f>
        <v>1713606</v>
      </c>
    </row>
    <row r="75" spans="1:14" s="254" customFormat="1" ht="15.75" customHeight="1" thickTop="1" thickBot="1" x14ac:dyDescent="0.25">
      <c r="A75" s="1348" t="s">
        <v>47</v>
      </c>
      <c r="B75" s="1349" t="s">
        <v>571</v>
      </c>
      <c r="C75" s="1649">
        <v>10051</v>
      </c>
      <c r="D75" s="1649">
        <v>860</v>
      </c>
      <c r="E75" s="1649"/>
      <c r="F75" s="1649"/>
      <c r="G75" s="1649"/>
      <c r="H75" s="1649"/>
      <c r="I75" s="1627"/>
      <c r="J75" s="1627"/>
      <c r="K75" s="1674">
        <f>SUM(C75:J75)</f>
        <v>10911</v>
      </c>
      <c r="L75" s="1651">
        <v>10912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797</v>
      </c>
      <c r="I78" s="1582"/>
      <c r="J78" s="1582"/>
      <c r="K78" s="1672">
        <f t="shared" ref="K78:K83" si="11">SUM(C78:J78)</f>
        <v>797</v>
      </c>
      <c r="L78" s="1586">
        <v>797</v>
      </c>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22670</v>
      </c>
      <c r="F83" s="1673"/>
      <c r="G83" s="1673"/>
      <c r="H83" s="1573">
        <v>10283</v>
      </c>
      <c r="I83" s="1582"/>
      <c r="J83" s="1582"/>
      <c r="K83" s="1672">
        <f t="shared" si="11"/>
        <v>32953</v>
      </c>
      <c r="L83" s="1573">
        <v>32953</v>
      </c>
    </row>
    <row r="84" spans="1:12" ht="13.5" thickBot="1" x14ac:dyDescent="0.25">
      <c r="A84" s="1380" t="s">
        <v>1468</v>
      </c>
      <c r="B84" s="1385">
        <v>4100</v>
      </c>
      <c r="C84" s="1673"/>
      <c r="D84" s="1673"/>
      <c r="E84" s="1674">
        <f>SUM(E78:E83)</f>
        <v>22670</v>
      </c>
      <c r="F84" s="1673"/>
      <c r="G84" s="1673"/>
      <c r="H84" s="1674">
        <f>SUM(H78:H83)</f>
        <v>11080</v>
      </c>
      <c r="I84" s="1582"/>
      <c r="J84" s="1582"/>
      <c r="K84" s="1674">
        <f>SUM(K78:K83)</f>
        <v>33750</v>
      </c>
      <c r="L84" s="1674">
        <f>SUM(L78:L83)</f>
        <v>33750</v>
      </c>
    </row>
    <row r="85" spans="1:12" ht="12.75" customHeight="1" thickTop="1" thickBot="1" x14ac:dyDescent="0.25">
      <c r="A85" s="1281" t="s">
        <v>253</v>
      </c>
      <c r="B85" s="517">
        <v>4210</v>
      </c>
      <c r="C85" s="1673"/>
      <c r="D85" s="1673"/>
      <c r="E85" s="1683"/>
      <c r="F85" s="1673"/>
      <c r="G85" s="1673"/>
      <c r="H85" s="1630">
        <v>2115</v>
      </c>
      <c r="I85" s="1582"/>
      <c r="J85" s="1582"/>
      <c r="K85" s="1681">
        <f>H85</f>
        <v>2115</v>
      </c>
      <c r="L85" s="1626">
        <v>2115</v>
      </c>
    </row>
    <row r="86" spans="1:12" ht="12.75" customHeight="1" thickTop="1" thickBot="1" x14ac:dyDescent="0.25">
      <c r="A86" s="1282" t="s">
        <v>694</v>
      </c>
      <c r="B86" s="518">
        <v>4220</v>
      </c>
      <c r="C86" s="1673"/>
      <c r="D86" s="1673"/>
      <c r="E86" s="1684"/>
      <c r="F86" s="1673"/>
      <c r="G86" s="1673"/>
      <c r="H86" s="1574">
        <v>125784</v>
      </c>
      <c r="I86" s="1582"/>
      <c r="J86" s="1582"/>
      <c r="K86" s="1681">
        <f t="shared" ref="K86:K98" si="12">H86</f>
        <v>125784</v>
      </c>
      <c r="L86" s="1626">
        <v>125784</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v>2344</v>
      </c>
      <c r="I91" s="1582"/>
      <c r="J91" s="1582"/>
      <c r="K91" s="1681">
        <f t="shared" si="12"/>
        <v>2344</v>
      </c>
      <c r="L91" s="1626">
        <v>2344</v>
      </c>
    </row>
    <row r="92" spans="1:12" ht="14.25" thickTop="1" thickBot="1" x14ac:dyDescent="0.25">
      <c r="A92" s="1386" t="s">
        <v>1543</v>
      </c>
      <c r="B92" s="1385">
        <v>4200</v>
      </c>
      <c r="C92" s="1673"/>
      <c r="D92" s="1673"/>
      <c r="E92" s="1684"/>
      <c r="F92" s="1673"/>
      <c r="G92" s="1673"/>
      <c r="H92" s="1674">
        <f>SUM(H85:H91)</f>
        <v>130243</v>
      </c>
      <c r="I92" s="1582"/>
      <c r="J92" s="1582"/>
      <c r="K92" s="1681">
        <f t="shared" si="12"/>
        <v>130243</v>
      </c>
      <c r="L92" s="1674">
        <f>SUM(L85:L91)</f>
        <v>130243</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22670</v>
      </c>
      <c r="F102" s="1673"/>
      <c r="G102" s="1673"/>
      <c r="H102" s="1681">
        <f>SUM(H84,H92,H100,H101)</f>
        <v>141323</v>
      </c>
      <c r="I102" s="1582"/>
      <c r="J102" s="1582"/>
      <c r="K102" s="1681">
        <f>SUM(K84,K92,K100,K101)</f>
        <v>163993</v>
      </c>
      <c r="L102" s="1681">
        <f>SUM(L84,L92,L100,L101)</f>
        <v>163993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4483647</v>
      </c>
      <c r="D114" s="1674">
        <f t="shared" ref="D114:K114" si="13">SUM(D33,D74,D75,D102,D112,D113)</f>
        <v>789186</v>
      </c>
      <c r="E114" s="1674">
        <f t="shared" si="13"/>
        <v>190789</v>
      </c>
      <c r="F114" s="1674">
        <f t="shared" si="13"/>
        <v>507944</v>
      </c>
      <c r="G114" s="1674">
        <f t="shared" si="13"/>
        <v>65793</v>
      </c>
      <c r="H114" s="1674">
        <f>SUM(H33,H74,H75,H102,H112,H113)</f>
        <v>212387</v>
      </c>
      <c r="I114" s="1674">
        <f t="shared" si="13"/>
        <v>0</v>
      </c>
      <c r="J114" s="1674">
        <f t="shared" si="13"/>
        <v>0</v>
      </c>
      <c r="K114" s="1674">
        <f t="shared" si="13"/>
        <v>6249746</v>
      </c>
      <c r="L114" s="1674">
        <f>SUM(L33,L74,L75,L102,L112,L113)</f>
        <v>6241940</v>
      </c>
    </row>
    <row r="115" spans="1:14" ht="13.5" thickTop="1" x14ac:dyDescent="0.2">
      <c r="A115" s="2286" t="s">
        <v>989</v>
      </c>
      <c r="B115" s="2287"/>
      <c r="C115" s="1675"/>
      <c r="D115" s="1675"/>
      <c r="E115" s="1675"/>
      <c r="F115" s="1675"/>
      <c r="G115" s="1675"/>
      <c r="H115" s="1675"/>
      <c r="I115" s="1675"/>
      <c r="J115" s="1675"/>
      <c r="K115" s="1689">
        <f>'Revenues 9-14'!C268-'Expenditures 15-22'!K114</f>
        <v>69631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v>52838</v>
      </c>
      <c r="H123" s="1573"/>
      <c r="I123" s="1574"/>
      <c r="J123" s="1574"/>
      <c r="K123" s="1674">
        <f>SUM(C123:J123)</f>
        <v>52838</v>
      </c>
      <c r="L123" s="1573">
        <v>52838</v>
      </c>
    </row>
    <row r="124" spans="1:14" ht="14.25" thickTop="1" thickBot="1" x14ac:dyDescent="0.25">
      <c r="A124" s="1274" t="s">
        <v>195</v>
      </c>
      <c r="B124" s="503">
        <v>2540</v>
      </c>
      <c r="C124" s="1573">
        <v>328189</v>
      </c>
      <c r="D124" s="1573">
        <v>29522</v>
      </c>
      <c r="E124" s="1573">
        <v>137706</v>
      </c>
      <c r="F124" s="1573">
        <v>428465</v>
      </c>
      <c r="G124" s="1573">
        <v>146714</v>
      </c>
      <c r="H124" s="1573"/>
      <c r="I124" s="1574"/>
      <c r="J124" s="1574"/>
      <c r="K124" s="1674">
        <f>SUM(C124:J124)</f>
        <v>1070596</v>
      </c>
      <c r="L124" s="1573">
        <v>1059295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328189</v>
      </c>
      <c r="D127" s="1674">
        <f t="shared" ref="D127:L127" si="14">SUM(D122:D126)</f>
        <v>29522</v>
      </c>
      <c r="E127" s="1674">
        <f t="shared" si="14"/>
        <v>137706</v>
      </c>
      <c r="F127" s="1674">
        <f t="shared" si="14"/>
        <v>428465</v>
      </c>
      <c r="G127" s="1674">
        <f t="shared" si="14"/>
        <v>199552</v>
      </c>
      <c r="H127" s="1674">
        <f t="shared" si="14"/>
        <v>0</v>
      </c>
      <c r="I127" s="1674">
        <f t="shared" si="14"/>
        <v>0</v>
      </c>
      <c r="J127" s="1674">
        <f t="shared" si="14"/>
        <v>0</v>
      </c>
      <c r="K127" s="1674">
        <f t="shared" si="14"/>
        <v>1123434</v>
      </c>
      <c r="L127" s="1674">
        <f t="shared" si="14"/>
        <v>1112133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328189</v>
      </c>
      <c r="D129" s="1681">
        <f t="shared" ref="D129:L129" si="15">SUM(D120,D127,D128)</f>
        <v>29522</v>
      </c>
      <c r="E129" s="1681">
        <f t="shared" si="15"/>
        <v>137706</v>
      </c>
      <c r="F129" s="1681">
        <f t="shared" si="15"/>
        <v>428465</v>
      </c>
      <c r="G129" s="1681">
        <f t="shared" si="15"/>
        <v>199552</v>
      </c>
      <c r="H129" s="1681">
        <f t="shared" si="15"/>
        <v>0</v>
      </c>
      <c r="I129" s="1681">
        <f t="shared" si="15"/>
        <v>0</v>
      </c>
      <c r="J129" s="1681">
        <f t="shared" si="15"/>
        <v>0</v>
      </c>
      <c r="K129" s="1681">
        <f t="shared" si="15"/>
        <v>1123434</v>
      </c>
      <c r="L129" s="1681">
        <f t="shared" si="15"/>
        <v>1112133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328189</v>
      </c>
      <c r="D151" s="1674">
        <f t="shared" ref="D151:K151" si="16">SUM(D129,D130,D139,D149,D150)</f>
        <v>29522</v>
      </c>
      <c r="E151" s="1674">
        <f t="shared" si="16"/>
        <v>137706</v>
      </c>
      <c r="F151" s="1674">
        <f t="shared" si="16"/>
        <v>428465</v>
      </c>
      <c r="G151" s="1674">
        <f t="shared" si="16"/>
        <v>199552</v>
      </c>
      <c r="H151" s="1674">
        <f t="shared" si="16"/>
        <v>0</v>
      </c>
      <c r="I151" s="1674">
        <f t="shared" si="16"/>
        <v>0</v>
      </c>
      <c r="J151" s="1674">
        <f t="shared" si="16"/>
        <v>0</v>
      </c>
      <c r="K151" s="1674">
        <f t="shared" si="16"/>
        <v>1123434</v>
      </c>
      <c r="L151" s="1674">
        <f>SUM(L129,L130,L139,L149,L150)</f>
        <v>1112133</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17440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155458</v>
      </c>
      <c r="I169" s="1673"/>
      <c r="J169" s="1673"/>
      <c r="K169" s="1672">
        <f>SUM(C169:H169)</f>
        <v>155458</v>
      </c>
      <c r="L169" s="1695">
        <v>155459</v>
      </c>
    </row>
    <row r="170" spans="1:14" ht="33.75" customHeight="1" x14ac:dyDescent="0.2">
      <c r="A170" s="543" t="s">
        <v>1651</v>
      </c>
      <c r="B170" s="545" t="s">
        <v>31</v>
      </c>
      <c r="C170" s="1673"/>
      <c r="D170" s="1673"/>
      <c r="E170" s="1673"/>
      <c r="F170" s="1673"/>
      <c r="G170" s="1673"/>
      <c r="H170" s="1646">
        <v>596012</v>
      </c>
      <c r="I170" s="1673"/>
      <c r="J170" s="1673"/>
      <c r="K170" s="1672">
        <f>SUM(C170:J170)</f>
        <v>596012</v>
      </c>
      <c r="L170" s="1646">
        <v>596010</v>
      </c>
    </row>
    <row r="171" spans="1:14" ht="15.75" customHeight="1" x14ac:dyDescent="0.2">
      <c r="A171" s="507" t="s">
        <v>761</v>
      </c>
      <c r="B171" s="546" t="s">
        <v>84</v>
      </c>
      <c r="C171" s="1673"/>
      <c r="D171" s="1673"/>
      <c r="E171" s="1573"/>
      <c r="F171" s="1673"/>
      <c r="G171" s="1673"/>
      <c r="H171" s="1646">
        <v>1400</v>
      </c>
      <c r="I171" s="1582"/>
      <c r="J171" s="1673"/>
      <c r="K171" s="1672">
        <f>SUM(C171:J171)</f>
        <v>1400</v>
      </c>
      <c r="L171" s="1646">
        <v>1400</v>
      </c>
    </row>
    <row r="172" spans="1:14" ht="12.75" customHeight="1" thickBot="1" x14ac:dyDescent="0.25">
      <c r="A172" s="1380" t="s">
        <v>633</v>
      </c>
      <c r="B172" s="1381" t="s">
        <v>489</v>
      </c>
      <c r="C172" s="1673"/>
      <c r="D172" s="1673"/>
      <c r="E172" s="1681">
        <f>SUM(E168,E169,E170,E171)</f>
        <v>0</v>
      </c>
      <c r="F172" s="1673"/>
      <c r="G172" s="1673"/>
      <c r="H172" s="1681">
        <f>SUM(H168,H169,H170,H171)</f>
        <v>752870</v>
      </c>
      <c r="I172" s="1684"/>
      <c r="J172" s="1673"/>
      <c r="K172" s="1681">
        <f>SUM(K168,K169,K170,K171)</f>
        <v>752870</v>
      </c>
      <c r="L172" s="1681">
        <f>SUM(L168,L169,L170,L171)</f>
        <v>752869</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752870</v>
      </c>
      <c r="I174" s="1684"/>
      <c r="J174" s="1673"/>
      <c r="K174" s="1681">
        <f>SUM(K160,K172,K173)</f>
        <v>752870</v>
      </c>
      <c r="L174" s="1681">
        <f>SUM(L160,L172,L173)</f>
        <v>752869</v>
      </c>
    </row>
    <row r="175" spans="1:14" ht="13.5" thickTop="1" x14ac:dyDescent="0.2">
      <c r="A175" s="2286" t="s">
        <v>989</v>
      </c>
      <c r="B175" s="2287"/>
      <c r="C175" s="1673"/>
      <c r="D175" s="1673"/>
      <c r="E175" s="1673"/>
      <c r="F175" s="1673"/>
      <c r="G175" s="1673"/>
      <c r="H175" s="1675"/>
      <c r="I175" s="1673"/>
      <c r="J175" s="1673"/>
      <c r="K175" s="1689">
        <f>'Revenues 9-14'!E268-'Expenditures 15-22'!K174</f>
        <v>2739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326289</v>
      </c>
      <c r="D182" s="1573">
        <v>31659</v>
      </c>
      <c r="E182" s="1573">
        <v>35432</v>
      </c>
      <c r="F182" s="1573">
        <v>68811</v>
      </c>
      <c r="G182" s="1573">
        <v>107836</v>
      </c>
      <c r="H182" s="1573">
        <v>107455</v>
      </c>
      <c r="I182" s="1574"/>
      <c r="J182" s="1574"/>
      <c r="K182" s="1672">
        <f>SUM(C182:J182)</f>
        <v>677482</v>
      </c>
      <c r="L182" s="1573">
        <v>564960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326289</v>
      </c>
      <c r="D184" s="1681">
        <f t="shared" ref="D184:J184" si="17">SUM(D180,D182,D183)</f>
        <v>31659</v>
      </c>
      <c r="E184" s="1681">
        <f t="shared" si="17"/>
        <v>35432</v>
      </c>
      <c r="F184" s="1681">
        <f t="shared" si="17"/>
        <v>68811</v>
      </c>
      <c r="G184" s="1681">
        <f t="shared" si="17"/>
        <v>107836</v>
      </c>
      <c r="H184" s="1681">
        <f t="shared" si="17"/>
        <v>107455</v>
      </c>
      <c r="I184" s="1681">
        <f t="shared" si="17"/>
        <v>0</v>
      </c>
      <c r="J184" s="1681">
        <f t="shared" si="17"/>
        <v>0</v>
      </c>
      <c r="K184" s="1681">
        <f>SUM(K180,K182,K183)</f>
        <v>677482</v>
      </c>
      <c r="L184" s="1681">
        <f>SUM(L180, L182:L183)</f>
        <v>564960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4313</v>
      </c>
      <c r="I205" s="1673"/>
      <c r="J205" s="1673"/>
      <c r="K205" s="1696">
        <f>SUM(H205)</f>
        <v>4313</v>
      </c>
      <c r="L205" s="1630">
        <v>4313</v>
      </c>
    </row>
    <row r="206" spans="1:14" ht="30" customHeight="1" x14ac:dyDescent="0.2">
      <c r="A206" s="555" t="s">
        <v>1652</v>
      </c>
      <c r="B206" s="546" t="s">
        <v>31</v>
      </c>
      <c r="C206" s="1673"/>
      <c r="D206" s="1673"/>
      <c r="E206" s="1673"/>
      <c r="F206" s="1673"/>
      <c r="G206" s="1673"/>
      <c r="H206" s="1573">
        <v>52014</v>
      </c>
      <c r="I206" s="1673"/>
      <c r="J206" s="1673"/>
      <c r="K206" s="1672">
        <f>SUM(H206)</f>
        <v>52014</v>
      </c>
      <c r="L206" s="1573">
        <v>52014</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56327</v>
      </c>
      <c r="I208" s="1673"/>
      <c r="J208" s="1673"/>
      <c r="K208" s="1681">
        <f>SUM(K204,K205,K206,K207)</f>
        <v>56327</v>
      </c>
      <c r="L208" s="1681">
        <f>SUM(L204,L205,L206,L207)</f>
        <v>56327</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326289</v>
      </c>
      <c r="D210" s="1674">
        <f>SUM(D184,D185)</f>
        <v>31659</v>
      </c>
      <c r="E210" s="1674">
        <f>SUM(E184,E185,E196)</f>
        <v>35432</v>
      </c>
      <c r="F210" s="1674">
        <f>SUM(F184,F185)</f>
        <v>68811</v>
      </c>
      <c r="G210" s="1674">
        <f>SUM(G184,G185)</f>
        <v>107836</v>
      </c>
      <c r="H210" s="1674">
        <f>SUM(H184,H185,H196,H208,H209)</f>
        <v>163782</v>
      </c>
      <c r="I210" s="1674">
        <f>SUM(I184,I185)</f>
        <v>0</v>
      </c>
      <c r="J210" s="1674">
        <f>SUM(J184,J185)</f>
        <v>0</v>
      </c>
      <c r="K210" s="1672">
        <f>SUM(K184,K185,K196,K208,K209)</f>
        <v>733809</v>
      </c>
      <c r="L210" s="1674">
        <f>SUM(L184,L185,L196,L208,L209)</f>
        <v>621287</v>
      </c>
    </row>
    <row r="211" spans="1:14" ht="13.5" thickTop="1" x14ac:dyDescent="0.2">
      <c r="A211" s="2286" t="s">
        <v>989</v>
      </c>
      <c r="B211" s="2287"/>
      <c r="C211" s="1675"/>
      <c r="D211" s="1675"/>
      <c r="E211" s="1675"/>
      <c r="F211" s="1675"/>
      <c r="G211" s="1675"/>
      <c r="H211" s="1675"/>
      <c r="I211" s="1673"/>
      <c r="J211" s="1673"/>
      <c r="K211" s="1689">
        <f>'Revenues 9-14'!F268-'Expenditures 15-22'!K210</f>
        <v>-57930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34902</v>
      </c>
      <c r="E215" s="1673"/>
      <c r="F215" s="1673"/>
      <c r="G215" s="1673"/>
      <c r="H215" s="1673"/>
      <c r="I215" s="1673"/>
      <c r="J215" s="1673"/>
      <c r="K215" s="1672">
        <f>D215</f>
        <v>34902</v>
      </c>
      <c r="L215" s="1573">
        <v>35042</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27809</v>
      </c>
      <c r="E217" s="1673"/>
      <c r="F217" s="1673"/>
      <c r="G217" s="1673"/>
      <c r="H217" s="1673"/>
      <c r="I217" s="1673"/>
      <c r="J217" s="1673"/>
      <c r="K217" s="1672">
        <f t="shared" si="19"/>
        <v>27809</v>
      </c>
      <c r="L217" s="1573">
        <v>28217</v>
      </c>
    </row>
    <row r="218" spans="1:14" x14ac:dyDescent="0.2">
      <c r="A218" s="1274" t="s">
        <v>276</v>
      </c>
      <c r="B218" s="503" t="s">
        <v>962</v>
      </c>
      <c r="C218" s="1673"/>
      <c r="D218" s="1574">
        <v>1888</v>
      </c>
      <c r="E218" s="1673"/>
      <c r="F218" s="1673"/>
      <c r="G218" s="1673"/>
      <c r="H218" s="1673"/>
      <c r="I218" s="1673"/>
      <c r="J218" s="1673"/>
      <c r="K218" s="1672">
        <f t="shared" si="19"/>
        <v>1888</v>
      </c>
      <c r="L218" s="1573">
        <v>2250</v>
      </c>
    </row>
    <row r="219" spans="1:14" x14ac:dyDescent="0.2">
      <c r="A219" s="1274" t="s">
        <v>277</v>
      </c>
      <c r="B219" s="503">
        <v>1250</v>
      </c>
      <c r="C219" s="1673"/>
      <c r="D219" s="1573">
        <v>20514</v>
      </c>
      <c r="E219" s="1673"/>
      <c r="F219" s="1673"/>
      <c r="G219" s="1673"/>
      <c r="H219" s="1673"/>
      <c r="I219" s="1673"/>
      <c r="J219" s="1673"/>
      <c r="K219" s="1672">
        <f t="shared" si="19"/>
        <v>20514</v>
      </c>
      <c r="L219" s="1573">
        <v>21697</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8928</v>
      </c>
      <c r="E222" s="1673"/>
      <c r="F222" s="1673"/>
      <c r="G222" s="1673"/>
      <c r="H222" s="1673"/>
      <c r="I222" s="1673"/>
      <c r="J222" s="1673"/>
      <c r="K222" s="1672">
        <f t="shared" si="19"/>
        <v>8928</v>
      </c>
      <c r="L222" s="1573">
        <v>8650</v>
      </c>
    </row>
    <row r="223" spans="1:14" x14ac:dyDescent="0.2">
      <c r="A223" s="1274" t="s">
        <v>957</v>
      </c>
      <c r="B223" s="503">
        <v>1500</v>
      </c>
      <c r="C223" s="1673"/>
      <c r="D223" s="1573">
        <v>6192</v>
      </c>
      <c r="E223" s="1673"/>
      <c r="F223" s="1673"/>
      <c r="G223" s="1673"/>
      <c r="H223" s="1673"/>
      <c r="I223" s="1673"/>
      <c r="J223" s="1673"/>
      <c r="K223" s="1672">
        <f t="shared" si="19"/>
        <v>6192</v>
      </c>
      <c r="L223" s="1573">
        <v>6750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54</v>
      </c>
      <c r="E226" s="1673"/>
      <c r="F226" s="1673"/>
      <c r="G226" s="1673"/>
      <c r="H226" s="1673"/>
      <c r="I226" s="1673"/>
      <c r="J226" s="1673"/>
      <c r="K226" s="1672">
        <f t="shared" si="19"/>
        <v>54</v>
      </c>
      <c r="L226" s="1573">
        <v>60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100287</v>
      </c>
      <c r="E229" s="1673"/>
      <c r="F229" s="1673"/>
      <c r="G229" s="1673"/>
      <c r="H229" s="1673"/>
      <c r="I229" s="1673"/>
      <c r="J229" s="1673"/>
      <c r="K229" s="1674">
        <f>SUM(K215:K228)</f>
        <v>100287</v>
      </c>
      <c r="L229" s="1674">
        <f>SUM(L215:L228)</f>
        <v>102666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626</v>
      </c>
      <c r="E232" s="1673"/>
      <c r="F232" s="1673"/>
      <c r="G232" s="1673"/>
      <c r="H232" s="1673"/>
      <c r="I232" s="1673"/>
      <c r="J232" s="1673"/>
      <c r="K232" s="1672">
        <f t="shared" ref="K232:K237" si="20">D232</f>
        <v>626</v>
      </c>
      <c r="L232" s="1573">
        <v>630</v>
      </c>
    </row>
    <row r="233" spans="1:12" x14ac:dyDescent="0.2">
      <c r="A233" s="1274" t="s">
        <v>1081</v>
      </c>
      <c r="B233" s="503">
        <v>2120</v>
      </c>
      <c r="C233" s="1673"/>
      <c r="D233" s="1573">
        <v>1724</v>
      </c>
      <c r="E233" s="1673"/>
      <c r="F233" s="1673"/>
      <c r="G233" s="1673"/>
      <c r="H233" s="1673"/>
      <c r="I233" s="1673"/>
      <c r="J233" s="1673"/>
      <c r="K233" s="1672">
        <f t="shared" si="20"/>
        <v>1724</v>
      </c>
      <c r="L233" s="1573">
        <v>1722</v>
      </c>
    </row>
    <row r="234" spans="1:12" x14ac:dyDescent="0.2">
      <c r="A234" s="1274" t="s">
        <v>196</v>
      </c>
      <c r="B234" s="503">
        <v>2130</v>
      </c>
      <c r="C234" s="1673"/>
      <c r="D234" s="1573">
        <v>1963</v>
      </c>
      <c r="E234" s="1673"/>
      <c r="F234" s="1673"/>
      <c r="G234" s="1673"/>
      <c r="H234" s="1673"/>
      <c r="I234" s="1673"/>
      <c r="J234" s="1673"/>
      <c r="K234" s="1672">
        <f t="shared" si="20"/>
        <v>1963</v>
      </c>
      <c r="L234" s="1573">
        <v>1940</v>
      </c>
    </row>
    <row r="235" spans="1:12" x14ac:dyDescent="0.2">
      <c r="A235" s="1274" t="s">
        <v>197</v>
      </c>
      <c r="B235" s="503">
        <v>2140</v>
      </c>
      <c r="C235" s="1673"/>
      <c r="D235" s="1573">
        <v>789</v>
      </c>
      <c r="E235" s="1673"/>
      <c r="F235" s="1673"/>
      <c r="G235" s="1673"/>
      <c r="H235" s="1673"/>
      <c r="I235" s="1673"/>
      <c r="J235" s="1673"/>
      <c r="K235" s="1672">
        <f t="shared" si="20"/>
        <v>789</v>
      </c>
      <c r="L235" s="1573">
        <v>850</v>
      </c>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609</v>
      </c>
      <c r="E237" s="1673"/>
      <c r="F237" s="1673"/>
      <c r="G237" s="1673"/>
      <c r="H237" s="1673"/>
      <c r="I237" s="1673"/>
      <c r="J237" s="1673"/>
      <c r="K237" s="1672">
        <f t="shared" si="20"/>
        <v>609</v>
      </c>
      <c r="L237" s="1573">
        <v>603</v>
      </c>
    </row>
    <row r="238" spans="1:12" ht="12.75" customHeight="1" thickBot="1" x14ac:dyDescent="0.25">
      <c r="A238" s="1380" t="s">
        <v>556</v>
      </c>
      <c r="B238" s="1383" t="s">
        <v>711</v>
      </c>
      <c r="C238" s="1673"/>
      <c r="D238" s="1674">
        <f>SUM(D232:D237)</f>
        <v>5711</v>
      </c>
      <c r="E238" s="1673"/>
      <c r="F238" s="1673"/>
      <c r="G238" s="1673"/>
      <c r="H238" s="1673"/>
      <c r="I238" s="1673"/>
      <c r="J238" s="1673"/>
      <c r="K238" s="1674">
        <f>SUM(K232:K237)</f>
        <v>5711</v>
      </c>
      <c r="L238" s="1674">
        <f>SUM(L232:L237)</f>
        <v>5745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3707</v>
      </c>
      <c r="E240" s="1673"/>
      <c r="F240" s="1673"/>
      <c r="G240" s="1673"/>
      <c r="H240" s="1673"/>
      <c r="I240" s="1673"/>
      <c r="J240" s="1673"/>
      <c r="K240" s="1678">
        <f>D240</f>
        <v>3707</v>
      </c>
      <c r="L240" s="1586">
        <v>3863</v>
      </c>
    </row>
    <row r="241" spans="1:12" x14ac:dyDescent="0.2">
      <c r="A241" s="1274" t="s">
        <v>810</v>
      </c>
      <c r="B241" s="503">
        <v>2220</v>
      </c>
      <c r="C241" s="1673"/>
      <c r="D241" s="1573">
        <v>25149</v>
      </c>
      <c r="E241" s="1673"/>
      <c r="F241" s="1673"/>
      <c r="G241" s="1673"/>
      <c r="H241" s="1673"/>
      <c r="I241" s="1673"/>
      <c r="J241" s="1673"/>
      <c r="K241" s="1678">
        <f>D241</f>
        <v>25149</v>
      </c>
      <c r="L241" s="1573">
        <v>24173</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28856</v>
      </c>
      <c r="E243" s="1673"/>
      <c r="F243" s="1673"/>
      <c r="G243" s="1673"/>
      <c r="H243" s="1673"/>
      <c r="I243" s="1673"/>
      <c r="J243" s="1673"/>
      <c r="K243" s="1674">
        <f>SUM(K240:K242)</f>
        <v>28856</v>
      </c>
      <c r="L243" s="1674">
        <f>SUM(L240:L242)</f>
        <v>28036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1918</v>
      </c>
      <c r="E246" s="1673"/>
      <c r="F246" s="1673"/>
      <c r="G246" s="1673"/>
      <c r="H246" s="1673"/>
      <c r="I246" s="1673"/>
      <c r="J246" s="1673"/>
      <c r="K246" s="1678">
        <f t="shared" ref="K246:K256" si="21">D246</f>
        <v>1918</v>
      </c>
      <c r="L246" s="1573">
        <v>2000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43244</v>
      </c>
      <c r="E252" s="1673"/>
      <c r="F252" s="1673"/>
      <c r="G252" s="1673"/>
      <c r="H252" s="1673"/>
      <c r="I252" s="1673"/>
      <c r="J252" s="1673"/>
      <c r="K252" s="1678">
        <f t="shared" si="21"/>
        <v>43244</v>
      </c>
      <c r="L252" s="1573">
        <v>43244</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45162</v>
      </c>
      <c r="E257" s="1673"/>
      <c r="F257" s="1673"/>
      <c r="G257" s="1673"/>
      <c r="H257" s="1673"/>
      <c r="I257" s="1673"/>
      <c r="J257" s="1673"/>
      <c r="K257" s="1674">
        <f>SUM(K245:K256)</f>
        <v>45162</v>
      </c>
      <c r="L257" s="1674">
        <f>SUM(L245:L256)</f>
        <v>45244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33338</v>
      </c>
      <c r="E259" s="1673"/>
      <c r="F259" s="1673"/>
      <c r="G259" s="1673"/>
      <c r="H259" s="1673"/>
      <c r="I259" s="1673"/>
      <c r="J259" s="1673"/>
      <c r="K259" s="1678">
        <f>D259</f>
        <v>33338</v>
      </c>
      <c r="L259" s="1586">
        <v>32244</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33338</v>
      </c>
      <c r="E261" s="1673"/>
      <c r="F261" s="1673"/>
      <c r="G261" s="1673"/>
      <c r="H261" s="1673"/>
      <c r="I261" s="1673"/>
      <c r="J261" s="1673"/>
      <c r="K261" s="1674">
        <f>SUM(K259:K260)</f>
        <v>33338</v>
      </c>
      <c r="L261" s="1674">
        <f>SUM(L259:L260)</f>
        <v>32244</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11459</v>
      </c>
      <c r="E264" s="1673"/>
      <c r="F264" s="1673"/>
      <c r="G264" s="1673"/>
      <c r="H264" s="1673"/>
      <c r="I264" s="1673"/>
      <c r="J264" s="1673"/>
      <c r="K264" s="1678">
        <f t="shared" ref="K264:K269" si="22">D264</f>
        <v>11459</v>
      </c>
      <c r="L264" s="1573">
        <v>10935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55830</v>
      </c>
      <c r="E266" s="1673"/>
      <c r="F266" s="1673"/>
      <c r="G266" s="1673"/>
      <c r="H266" s="1673"/>
      <c r="I266" s="1673"/>
      <c r="J266" s="1673"/>
      <c r="K266" s="1678">
        <f t="shared" si="22"/>
        <v>55830</v>
      </c>
      <c r="L266" s="1573">
        <v>52000</v>
      </c>
    </row>
    <row r="267" spans="1:14" x14ac:dyDescent="0.2">
      <c r="A267" s="1274" t="s">
        <v>947</v>
      </c>
      <c r="B267" s="503">
        <v>2550</v>
      </c>
      <c r="C267" s="1673"/>
      <c r="D267" s="1573">
        <v>56343</v>
      </c>
      <c r="E267" s="1673"/>
      <c r="F267" s="1673"/>
      <c r="G267" s="1673"/>
      <c r="H267" s="1673"/>
      <c r="I267" s="1673"/>
      <c r="J267" s="1673"/>
      <c r="K267" s="1678">
        <f t="shared" si="22"/>
        <v>56343</v>
      </c>
      <c r="L267" s="1573">
        <v>55918</v>
      </c>
    </row>
    <row r="268" spans="1:14" x14ac:dyDescent="0.2">
      <c r="A268" s="1274" t="s">
        <v>100</v>
      </c>
      <c r="B268" s="503">
        <v>2560</v>
      </c>
      <c r="C268" s="1673"/>
      <c r="D268" s="1573">
        <v>22683</v>
      </c>
      <c r="E268" s="1673"/>
      <c r="F268" s="1673"/>
      <c r="G268" s="1673"/>
      <c r="H268" s="1673"/>
      <c r="I268" s="1673"/>
      <c r="J268" s="1673"/>
      <c r="K268" s="1678">
        <f t="shared" si="22"/>
        <v>22683</v>
      </c>
      <c r="L268" s="1573">
        <v>21706</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146315</v>
      </c>
      <c r="E270" s="1673"/>
      <c r="F270" s="1673"/>
      <c r="G270" s="1673"/>
      <c r="H270" s="1673"/>
      <c r="I270" s="1673"/>
      <c r="J270" s="1673"/>
      <c r="K270" s="1674">
        <f>SUM(K263:K269)</f>
        <v>146315</v>
      </c>
      <c r="L270" s="1674">
        <f>SUM(L263:L269)</f>
        <v>140559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259382</v>
      </c>
      <c r="E279" s="1673"/>
      <c r="F279" s="1673"/>
      <c r="G279" s="1673"/>
      <c r="H279" s="1673"/>
      <c r="I279" s="1673"/>
      <c r="J279" s="1673"/>
      <c r="K279" s="1681">
        <f>SUM(K238,K243,K257,K261,K270,K277,K278)</f>
        <v>259382</v>
      </c>
      <c r="L279" s="1681">
        <f>SUM(L238,L243,L257,L261,L270,L277,L278)</f>
        <v>251828</v>
      </c>
    </row>
    <row r="280" spans="1:12" ht="15.75" customHeight="1" thickTop="1" thickBot="1" x14ac:dyDescent="0.25">
      <c r="A280" s="1362" t="s">
        <v>870</v>
      </c>
      <c r="B280" s="1351">
        <v>3000</v>
      </c>
      <c r="C280" s="1673"/>
      <c r="D280" s="1651">
        <v>1070</v>
      </c>
      <c r="E280" s="1673"/>
      <c r="F280" s="1673"/>
      <c r="G280" s="1673"/>
      <c r="H280" s="1673"/>
      <c r="I280" s="1673"/>
      <c r="J280" s="1673"/>
      <c r="K280" s="1687">
        <f>D280</f>
        <v>1070</v>
      </c>
      <c r="L280" s="1651">
        <v>1153</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360739</v>
      </c>
      <c r="E295" s="1673"/>
      <c r="F295" s="1673"/>
      <c r="G295" s="1673"/>
      <c r="H295" s="1674">
        <f>H293</f>
        <v>0</v>
      </c>
      <c r="I295" s="1673"/>
      <c r="J295" s="1673"/>
      <c r="K295" s="1674">
        <f>SUM(K229,K279,K280,K285,K293,K294)</f>
        <v>360739</v>
      </c>
      <c r="L295" s="1674">
        <f>SUM(L229,L279,L280,L285,L293,L294)</f>
        <v>355647</v>
      </c>
    </row>
    <row r="296" spans="1:14" ht="13.5" thickTop="1" x14ac:dyDescent="0.2">
      <c r="A296" s="2286" t="s">
        <v>989</v>
      </c>
      <c r="B296" s="2287"/>
      <c r="C296" s="1673"/>
      <c r="D296" s="1675"/>
      <c r="E296" s="1673"/>
      <c r="F296" s="1673"/>
      <c r="G296" s="1673"/>
      <c r="H296" s="1707"/>
      <c r="I296" s="1673"/>
      <c r="J296" s="1673"/>
      <c r="K296" s="1689">
        <f>'Revenues 9-14'!G268-'Expenditures 15-22'!K295</f>
        <v>-40764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7750</v>
      </c>
      <c r="F301" s="1573">
        <v>273</v>
      </c>
      <c r="G301" s="1573">
        <v>34574</v>
      </c>
      <c r="H301" s="1573"/>
      <c r="I301" s="1574"/>
      <c r="J301" s="1574"/>
      <c r="K301" s="1672">
        <f>SUM(C301:J301)</f>
        <v>42597</v>
      </c>
      <c r="L301" s="1574">
        <v>42598</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7750</v>
      </c>
      <c r="F303" s="1681">
        <f t="shared" si="23"/>
        <v>273</v>
      </c>
      <c r="G303" s="1681">
        <f t="shared" si="23"/>
        <v>34574</v>
      </c>
      <c r="H303" s="1681">
        <f t="shared" si="23"/>
        <v>0</v>
      </c>
      <c r="I303" s="1681">
        <f t="shared" si="23"/>
        <v>0</v>
      </c>
      <c r="J303" s="1681">
        <f t="shared" si="23"/>
        <v>0</v>
      </c>
      <c r="K303" s="1681">
        <f t="shared" si="23"/>
        <v>42597</v>
      </c>
      <c r="L303" s="1681">
        <f t="shared" si="23"/>
        <v>42598</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7750</v>
      </c>
      <c r="F312" s="1674">
        <f>SUM(F303)</f>
        <v>273</v>
      </c>
      <c r="G312" s="1674">
        <f>SUM(G303)</f>
        <v>34574</v>
      </c>
      <c r="H312" s="1674">
        <f>SUM(H303,H310)</f>
        <v>0</v>
      </c>
      <c r="I312" s="1674">
        <f>SUM(I303)</f>
        <v>0</v>
      </c>
      <c r="J312" s="1674">
        <f>SUM(J303)</f>
        <v>0</v>
      </c>
      <c r="K312" s="1674">
        <f>SUM(K303,K310,K311)</f>
        <v>42597</v>
      </c>
      <c r="L312" s="1674">
        <f>SUM(L303,L310,L311)</f>
        <v>42598</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44526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48120</v>
      </c>
      <c r="F320" s="1574"/>
      <c r="G320" s="1574"/>
      <c r="H320" s="1574"/>
      <c r="I320" s="1574"/>
      <c r="J320" s="1574"/>
      <c r="K320" s="1672">
        <f t="shared" ref="K320:K327" si="24">SUM(C320:J320)</f>
        <v>48120</v>
      </c>
      <c r="L320" s="1574">
        <v>48120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47828</v>
      </c>
      <c r="F322" s="1574"/>
      <c r="G322" s="1574"/>
      <c r="H322" s="1574"/>
      <c r="I322" s="1574"/>
      <c r="J322" s="1574"/>
      <c r="K322" s="1672">
        <f t="shared" si="24"/>
        <v>47828</v>
      </c>
      <c r="L322" s="1574">
        <v>47828</v>
      </c>
      <c r="M322" s="539"/>
      <c r="N322" s="539"/>
    </row>
    <row r="323" spans="1:14" s="548" customFormat="1" x14ac:dyDescent="0.2">
      <c r="A323" s="1289" t="s">
        <v>697</v>
      </c>
      <c r="B323" s="567" t="s">
        <v>283</v>
      </c>
      <c r="C323" s="1574">
        <v>428099</v>
      </c>
      <c r="D323" s="1574"/>
      <c r="E323" s="1574">
        <v>14899</v>
      </c>
      <c r="F323" s="1574"/>
      <c r="G323" s="1574"/>
      <c r="H323" s="1574"/>
      <c r="I323" s="1574"/>
      <c r="J323" s="1574"/>
      <c r="K323" s="1672">
        <f t="shared" si="24"/>
        <v>442998</v>
      </c>
      <c r="L323" s="1574">
        <v>442998</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22316</v>
      </c>
      <c r="F327" s="1574"/>
      <c r="G327" s="1574"/>
      <c r="H327" s="1574"/>
      <c r="I327" s="1574"/>
      <c r="J327" s="1574"/>
      <c r="K327" s="1672">
        <f t="shared" si="24"/>
        <v>22316</v>
      </c>
      <c r="L327" s="1574">
        <v>22316</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428099</v>
      </c>
      <c r="D330" s="1674">
        <f t="shared" ref="D330:J330" si="25">SUM(D319:D329)</f>
        <v>0</v>
      </c>
      <c r="E330" s="1674">
        <f t="shared" si="25"/>
        <v>133163</v>
      </c>
      <c r="F330" s="1674">
        <f t="shared" si="25"/>
        <v>0</v>
      </c>
      <c r="G330" s="1674">
        <f t="shared" si="25"/>
        <v>0</v>
      </c>
      <c r="H330" s="1674">
        <f t="shared" si="25"/>
        <v>0</v>
      </c>
      <c r="I330" s="1674">
        <f t="shared" si="25"/>
        <v>0</v>
      </c>
      <c r="J330" s="1674">
        <f t="shared" si="25"/>
        <v>0</v>
      </c>
      <c r="K330" s="1674">
        <f>SUM(K319:K329)</f>
        <v>561262</v>
      </c>
      <c r="L330" s="1674">
        <f>SUM(L319:L329)</f>
        <v>561262</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428099</v>
      </c>
      <c r="D342" s="1674">
        <f>SUM(D330)</f>
        <v>0</v>
      </c>
      <c r="E342" s="1674">
        <f>SUM(E330)</f>
        <v>133163</v>
      </c>
      <c r="F342" s="1674">
        <f>SUM(F330)</f>
        <v>0</v>
      </c>
      <c r="G342" s="1674">
        <f>SUM(G330)</f>
        <v>0</v>
      </c>
      <c r="H342" s="1674">
        <f>SUM(H330,H334,H340)</f>
        <v>0</v>
      </c>
      <c r="I342" s="1674">
        <f>SUM(I330)</f>
        <v>0</v>
      </c>
      <c r="J342" s="1674">
        <f>SUM(J330)</f>
        <v>0</v>
      </c>
      <c r="K342" s="1674">
        <f>SUM(K330,K334,K340)</f>
        <v>561262</v>
      </c>
      <c r="L342" s="1681">
        <f>SUM(L330,L334,L340,L341)</f>
        <v>561262</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4947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39275</v>
      </c>
      <c r="F349" s="1573"/>
      <c r="G349" s="1573">
        <v>8960</v>
      </c>
      <c r="H349" s="1573"/>
      <c r="I349" s="1574"/>
      <c r="J349" s="1574"/>
      <c r="K349" s="1672">
        <f>SUM(C349:J349)</f>
        <v>48235</v>
      </c>
      <c r="L349" s="1573">
        <v>48235</v>
      </c>
    </row>
    <row r="350" spans="1:14" ht="12.75" customHeight="1" thickBot="1" x14ac:dyDescent="0.25">
      <c r="A350" s="1380" t="s">
        <v>714</v>
      </c>
      <c r="B350" s="1381" t="s">
        <v>35</v>
      </c>
      <c r="C350" s="1674">
        <f>SUM(C348:C349)</f>
        <v>0</v>
      </c>
      <c r="D350" s="1674">
        <f t="shared" ref="D350:L350" si="26">SUM(D348:D349)</f>
        <v>0</v>
      </c>
      <c r="E350" s="1674">
        <f t="shared" si="26"/>
        <v>39275</v>
      </c>
      <c r="F350" s="1674">
        <f t="shared" si="26"/>
        <v>0</v>
      </c>
      <c r="G350" s="1674">
        <f t="shared" si="26"/>
        <v>8960</v>
      </c>
      <c r="H350" s="1674">
        <f t="shared" si="26"/>
        <v>0</v>
      </c>
      <c r="I350" s="1674">
        <f t="shared" si="26"/>
        <v>0</v>
      </c>
      <c r="J350" s="1674">
        <f t="shared" si="26"/>
        <v>0</v>
      </c>
      <c r="K350" s="1674">
        <f t="shared" si="26"/>
        <v>48235</v>
      </c>
      <c r="L350" s="1674">
        <f t="shared" si="26"/>
        <v>48235</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39275</v>
      </c>
      <c r="F352" s="1674">
        <f t="shared" si="27"/>
        <v>0</v>
      </c>
      <c r="G352" s="1674">
        <f t="shared" si="27"/>
        <v>8960</v>
      </c>
      <c r="H352" s="1674">
        <f t="shared" si="27"/>
        <v>0</v>
      </c>
      <c r="I352" s="1674">
        <f t="shared" si="27"/>
        <v>0</v>
      </c>
      <c r="J352" s="1674">
        <f t="shared" si="27"/>
        <v>0</v>
      </c>
      <c r="K352" s="1674">
        <f t="shared" si="27"/>
        <v>48235</v>
      </c>
      <c r="L352" s="1674">
        <f t="shared" si="27"/>
        <v>48235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39275</v>
      </c>
      <c r="F367" s="1674">
        <f t="shared" si="28"/>
        <v>0</v>
      </c>
      <c r="G367" s="1674">
        <f t="shared" si="28"/>
        <v>8960</v>
      </c>
      <c r="H367" s="1674">
        <f t="shared" si="28"/>
        <v>0</v>
      </c>
      <c r="I367" s="1674">
        <f t="shared" si="28"/>
        <v>0</v>
      </c>
      <c r="J367" s="1674">
        <f t="shared" si="28"/>
        <v>0</v>
      </c>
      <c r="K367" s="1674">
        <f t="shared" si="28"/>
        <v>48235</v>
      </c>
      <c r="L367" s="1674">
        <f t="shared" si="28"/>
        <v>48235</v>
      </c>
    </row>
    <row r="368" spans="1:14" ht="13.5" thickTop="1" x14ac:dyDescent="0.2">
      <c r="A368" s="2286" t="s">
        <v>989</v>
      </c>
      <c r="B368" s="2287"/>
      <c r="C368" s="1694"/>
      <c r="D368" s="1694"/>
      <c r="E368" s="1677"/>
      <c r="F368" s="1677"/>
      <c r="G368" s="1677"/>
      <c r="H368" s="1677"/>
      <c r="I368" s="1677"/>
      <c r="J368" s="1676"/>
      <c r="K368" s="1672">
        <f>'Revenues 9-14'!K268-'Expenditures 15-22'!K367</f>
        <v>-5815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6ce3111e-7420-4802-b50a-75d4e9a0b980"/>
    <ds:schemaRef ds:uri="http://schemas.microsoft.com/office/infopath/2007/PartnerControls"/>
    <ds:schemaRef ds:uri="http://purl.org/dc/terms/"/>
    <ds:schemaRef ds:uri="http://purl.org/dc/elements/1.1/"/>
    <ds:schemaRef ds:uri="http://schemas.microsoft.com/sharepoint/v3"/>
    <ds:schemaRef ds:uri="http://schemas.openxmlformats.org/package/2006/metadata/core-properties"/>
    <ds:schemaRef ds:uri="http://www.w3.org/XML/1998/namespace"/>
    <ds:schemaRef ds:uri="d21dc803-237d-4c68-8692-8d731fd29118"/>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2020-10-15T22:37:37Z</cp:lastPrinted>
  <dcterms:created xsi:type="dcterms:W3CDTF">2003-10-29T19:06:34Z</dcterms:created>
  <dcterms:modified xsi:type="dcterms:W3CDTF">2020-10-27T17:20:18Z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