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122B80D-A6A7-465B-84C2-170E9479272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2)" sheetId="185" r:id="rId28"/>
    <sheet name=" SEFA (3)" sheetId="186"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9">' SEFA'!$B$1:$M$46</definedName>
    <definedName name="_xlnm.Print_Area" localSheetId="27">' SEFA (2)'!$B$1:$M$46</definedName>
    <definedName name="_xlnm.Print_Area" localSheetId="28">'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9">#REF!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9">#REF!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9">#REF!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9">#REF!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6" l="1"/>
  <c r="L26" i="186"/>
  <c r="L25" i="186"/>
  <c r="L24" i="186"/>
  <c r="L23" i="186"/>
  <c r="L22" i="186"/>
  <c r="L21" i="186"/>
  <c r="L20" i="186"/>
  <c r="L19" i="186"/>
  <c r="L18" i="186"/>
  <c r="L17" i="186"/>
  <c r="L16" i="186"/>
  <c r="L15" i="186"/>
  <c r="L14" i="186"/>
  <c r="L13" i="186"/>
  <c r="L12" i="186"/>
  <c r="L11" i="186"/>
  <c r="I9" i="186"/>
  <c r="G9" i="186"/>
  <c r="F9" i="186"/>
  <c r="E9" i="186"/>
  <c r="J8" i="186"/>
  <c r="H8" i="186"/>
  <c r="B4" i="186"/>
  <c r="L27" i="185"/>
  <c r="L26" i="185"/>
  <c r="L25" i="185"/>
  <c r="L24" i="185"/>
  <c r="L23" i="185"/>
  <c r="L22" i="185"/>
  <c r="L21" i="185"/>
  <c r="L20" i="185"/>
  <c r="L19" i="185"/>
  <c r="L18" i="185"/>
  <c r="L17" i="185"/>
  <c r="L16" i="185"/>
  <c r="L15" i="185"/>
  <c r="L14" i="185"/>
  <c r="L13" i="185"/>
  <c r="L12" i="185"/>
  <c r="L11" i="185"/>
  <c r="I9" i="185"/>
  <c r="G9" i="185"/>
  <c r="F9" i="185"/>
  <c r="E9" i="185"/>
  <c r="J8" i="185"/>
  <c r="H8" i="185"/>
  <c r="B4"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6" l="1"/>
  <c r="B1" i="185"/>
  <c r="B2" i="17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74" i="127"/>
  <c r="B7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F36" i="34" l="1"/>
  <c r="B7828" i="106" s="1"/>
  <c r="D7828" i="106" s="1"/>
  <c r="B6289" i="106"/>
  <c r="D6289" i="106" s="1"/>
  <c r="J129" i="29"/>
  <c r="B7038" i="106" s="1"/>
  <c r="D7038" i="106" s="1"/>
  <c r="I129" i="29"/>
  <c r="B7037" i="106" s="1"/>
  <c r="D7037" i="106" s="1"/>
  <c r="D69" i="36"/>
  <c r="J210" i="29"/>
  <c r="B7072" i="106" s="1"/>
  <c r="D7072" i="106" s="1"/>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B1225" i="106" s="1"/>
  <c r="D1225" i="106" s="1"/>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5770" i="106" l="1"/>
  <c r="D5770" i="106" s="1"/>
  <c r="I7" i="4"/>
  <c r="B4444" i="106" s="1"/>
  <c r="D4444" i="106" s="1"/>
  <c r="F41" i="108"/>
  <c r="G43" i="108" s="1"/>
  <c r="L16" i="11"/>
  <c r="B2061" i="106" s="1"/>
  <c r="D2061" i="106" s="1"/>
  <c r="N23" i="3"/>
  <c r="B284" i="106" s="1"/>
  <c r="D284" i="106" s="1"/>
  <c r="K342" i="29"/>
  <c r="F13" i="34" s="1"/>
  <c r="B1381" i="106"/>
  <c r="D1381" i="106" s="1"/>
  <c r="C151" i="29"/>
  <c r="B1226" i="106" s="1"/>
  <c r="D1226" i="106" s="1"/>
  <c r="D44" i="36"/>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F24" i="37" l="1"/>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F8" i="4" l="1"/>
  <c r="F10" i="4" s="1"/>
  <c r="B4125" i="106" s="1"/>
  <c r="D4125"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10" i="146" l="1"/>
  <c r="F8" i="146"/>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<sst xmlns="http://schemas.openxmlformats.org/spreadsheetml/2006/main" count="5303" uniqueCount="2130">
  <si>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</si>
  <si>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</si>
  <si>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</si>
  <si>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</si>
  <si>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</si>
  <si>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</si>
  <si>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</si>
  <si>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</si>
  <si>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</si>
  <si>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</si>
  <si>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</si>
  <si>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</si>
  <si>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</si>
  <si>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</si>
  <si>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</si>
  <si>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</si>
  <si>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</si>
  <si>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</si>
  <si>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</si>
  <si>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</si>
  <si>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</si>
  <si>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</si>
  <si>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</si>
  <si>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</si>
  <si>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</si>
  <si>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</si>
  <si>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</si>
  <si>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</si>
  <si>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</si>
  <si>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</si>
  <si>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</si>
  <si>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</si>
  <si>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</si>
  <si>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</si>
  <si>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</si>
  <si>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</si>
  <si>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</si>
  <si>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</si>
  <si>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</si>
  <si>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</si>
  <si>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</si>
  <si>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</si>
  <si>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</si>
  <si>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</si>
  <si>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</si>
  <si>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</si>
  <si>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</si>
  <si>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</si>
  <si>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</si>
  <si>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</si>
  <si>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</si>
  <si>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</si>
  <si>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</si>
  <si>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</si>
  <si>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</si>
  <si>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</si>
  <si>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</si>
  <si>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</si>
  <si>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</si>
  <si>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</si>
  <si>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</si>
  <si>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</si>
  <si>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</si>
  <si>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</si>
  <si>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</si>
  <si>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</si>
  <si>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</si>
  <si>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</si>
  <si>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</si>
  <si>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</si>
  <si>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</si>
  <si>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</si>
  <si>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</si>
  <si>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</si>
  <si>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</si>
  <si>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</si>
  <si>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</si>
  <si>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</si>
  <si>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</si>
  <si>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</si>
  <si>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</si>
  <si>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</si>
  <si>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</si>
  <si>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</si>
  <si>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</si>
  <si>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</si>
  <si>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</si>
  <si>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</si>
  <si>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</si>
  <si>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</si>
  <si>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</si>
  <si>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</si>
  <si>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</si>
  <si>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</si>
  <si>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</si>
  <si>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</si>
  <si>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</si>
  <si>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</si>
  <si>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</si>
  <si>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</si>
  <si>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</si>
  <si>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</si>
  <si>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</si>
  <si>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</si>
  <si>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</si>
  <si>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</si>
  <si>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</si>
  <si>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</si>
  <si>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</si>
  <si>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</si>
  <si>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</si>
  <si>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</si>
  <si>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</si>
  <si>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</si>
  <si>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</si>
  <si>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</si>
  <si>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</si>
  <si>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</si>
  <si>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</si>
  <si>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</si>
  <si>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</si>
  <si>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</si>
  <si>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</si>
  <si>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</si>
  <si>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</si>
  <si>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</si>
  <si>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</si>
  <si>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</si>
  <si>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</si>
  <si>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</si>
  <si>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</si>
  <si>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</si>
  <si>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</si>
  <si>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</si>
  <si>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</si>
  <si>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</si>
  <si>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</si>
  <si>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</si>
  <si>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</si>
  <si>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</si>
  <si>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</si>
  <si>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</si>
  <si>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</si>
  <si>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</si>
  <si>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</si>
  <si>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</si>
  <si>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</si>
  <si>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</si>
  <si>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</si>
  <si>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</si>
  <si>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</si>
  <si>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</si>
  <si>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</si>
  <si>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</si>
  <si>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</si>
  <si>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</si>
  <si>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</si>
  <si>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</si>
  <si>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</si>
  <si>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</si>
  <si>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</si>
  <si>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</si>
  <si>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</si>
  <si>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</si>
  <si>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</si>
  <si>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</si>
  <si>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</si>
  <si>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</si>
  <si>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</si>
  <si>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</si>
  <si>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</si>
  <si>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</si>
  <si>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</si>
  <si>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</si>
  <si>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</si>
  <si>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</si>
  <si>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</si>
  <si>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</si>
  <si>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</si>
  <si>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</si>
  <si>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</si>
  <si>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</si>
  <si>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</si>
  <si>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</si>
  <si>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</si>
  <si>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</si>
  <si>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</si>
  <si>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</si>
  <si>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</si>
  <si>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</si>
  <si>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</si>
  <si>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</si>
  <si>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</si>
  <si>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</si>
  <si>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</si>
  <si>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</si>
  <si>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</si>
  <si>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</si>
  <si>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</si>
  <si>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</si>
  <si>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</si>
  <si>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</si>
  <si>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</si>
  <si>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</si>
  <si>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</si>
  <si>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</si>
  <si>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</si>
  <si>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</si>
  <si>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</si>
  <si>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</si>
  <si>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</si>
  <si>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</si>
  <si>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</si>
  <si>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</si>
  <si>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</si>
  <si>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</si>
  <si>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</si>
  <si>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</si>
  <si>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</si>
  <si>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</si>
  <si>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</si>
  <si>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</si>
  <si>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</si>
  <si>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</si>
  <si>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</si>
  <si>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</si>
  <si>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</si>
  <si>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</si>
  <si>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</si>
  <si>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</si>
  <si>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</si>
  <si>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</si>
  <si>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</si>
  <si>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</si>
  <si>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</si>
  <si>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</si>
  <si>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</si>
  <si>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</si>
  <si>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</si>
  <si>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</si>
  <si>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</si>
  <si>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</si>
  <si>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</si>
  <si>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</si>
  <si>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</si>
  <si>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</si>
  <si>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</si>
  <si>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</si>
  <si>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</si>
  <si>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</si>
  <si>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</si>
  <si>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</si>
  <si>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</si>
  <si>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</si>
  <si>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</si>
  <si>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</si>
  <si>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</si>
  <si>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</si>
  <si>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</si>
  <si>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</si>
  <si>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</si>
  <si>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</si>
  <si>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</si>
  <si>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</si>
  <si>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</si>
  <si>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</si>
  <si>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</si>
  <si>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</si>
  <si>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</si>
  <si>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</si>
  <si>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</si>
  <si>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</si>
  <si>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</si>
  <si>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</si>
  <si>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</si>
  <si>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</si>
  <si>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</si>
  <si>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</si>
  <si>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</si>
  <si>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</si>
  <si>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</si>
  <si>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</si>
  <si>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</si>
  <si>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</si>
  <si>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</si>
  <si>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</si>
  <si>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</si>
  <si>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</si>
  <si>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</si>
  <si>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</si>
  <si>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</si>
  <si>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</si>
  <si>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</si>
  <si>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</si>
  <si>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</si>
  <si>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</si>
  <si>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</si>
  <si>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</si>
  <si>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</si>
  <si>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</si>
  <si>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</si>
  <si>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</si>
  <si>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</si>
  <si>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</si>
  <si>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</si>
  <si>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</si>
  <si>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</si>
  <si>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</si>
  <si>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</si>
  <si>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</si>
  <si>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</si>
  <si>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</si>
  <si>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</si>
  <si>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</si>
  <si>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</si>
  <si>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</si>
  <si>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</si>
  <si>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</si>
  <si>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</si>
  <si>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</si>
  <si>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</si>
  <si>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</si>
  <si>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</si>
  <si>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</si>
  <si>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</si>
  <si>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</si>
  <si>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</si>
  <si>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</si>
  <si>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</si>
  <si>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</si>
  <si>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</si>
  <si>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</si>
  <si>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</si>
  <si>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</si>
  <si>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</si>
  <si>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</si>
  <si>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</si>
  <si>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</si>
  <si>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</si>
  <si>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</si>
  <si>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</si>
  <si>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</si>
  <si>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</si>
  <si>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</si>
  <si>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</si>
  <si>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</si>
  <si>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</si>
  <si>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</si>
  <si>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</si>
  <si>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</si>
  <si>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</si>
  <si>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</si>
  <si>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</si>
  <si>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</si>
  <si>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</si>
  <si>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</si>
  <si>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</si>
  <si>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</si>
  <si>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</si>
  <si>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</si>
  <si>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</si>
  <si>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</si>
  <si>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</si>
  <si>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</si>
  <si>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</si>
  <si>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</si>
  <si>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</si>
  <si>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</si>
  <si>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</si>
  <si>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</si>
  <si>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</si>
  <si>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</si>
  <si>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</si>
  <si>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</si>
  <si>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</si>
  <si>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</si>
  <si>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</si>
  <si>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</si>
  <si>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</si>
  <si>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</si>
  <si>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</si>
  <si>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</si>
  <si>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</si>
  <si>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</si>
  <si>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</si>
  <si>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</si>
  <si>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</si>
  <si>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</si>
  <si>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</si>
  <si>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</si>
  <si>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</si>
  <si>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</si>
  <si>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</si>
  <si>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</si>
  <si>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</si>
  <si>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</si>
  <si>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</si>
  <si>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</si>
  <si>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</si>
  <si>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</si>
  <si>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</si>
  <si>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</si>
  <si>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</si>
  <si>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</si>
  <si>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</si>
  <si>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</si>
  <si>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</si>
  <si>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</si>
  <si>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</si>
  <si>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</si>
  <si>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</si>
  <si>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</si>
  <si>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</si>
  <si>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</si>
  <si>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</si>
  <si>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</si>
  <si>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</si>
  <si>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</si>
  <si>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</si>
  <si>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</si>
  <si>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</si>
  <si>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</si>
  <si>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</si>
  <si>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</si>
  <si>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</si>
  <si>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</si>
  <si>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</si>
  <si>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</si>
  <si>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</si>
  <si>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</si>
  <si>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</si>
  <si>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</si>
  <si>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</si>
  <si>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</si>
  <si>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</si>
  <si>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</si>
  <si>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</si>
  <si>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</si>
  <si>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</si>
  <si>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</si>
  <si>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</si>
  <si>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</si>
  <si>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</si>
  <si>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</si>
  <si>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</si>
  <si>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</si>
  <si>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</si>
  <si>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</si>
  <si>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</si>
  <si>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</si>
  <si>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</si>
  <si>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</si>
  <si>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</si>
  <si>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</si>
  <si>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</si>
  <si>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</si>
  <si>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</si>
  <si>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</si>
  <si>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</si>
  <si>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</si>
  <si>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</si>
  <si>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</si>
  <si>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</si>
  <si>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</si>
  <si>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</si>
  <si>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</si>
  <si>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</si>
  <si>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</si>
  <si>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</si>
  <si>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</si>
  <si>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</si>
  <si>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</si>
  <si>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</si>
  <si>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</si>
  <si>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</si>
  <si>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</si>
  <si>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</si>
  <si>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</si>
  <si>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</si>
  <si>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</si>
  <si>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</si>
  <si>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</si>
  <si>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</si>
  <si>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</si>
  <si>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</si>
  <si>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</si>
  <si>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</si>
  <si>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</si>
  <si>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</si>
  <si>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</si>
  <si>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</si>
  <si>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</si>
  <si>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</si>
  <si>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</si>
  <si>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</si>
  <si>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</si>
  <si>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</si>
  <si>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</si>
  <si>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</si>
  <si>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</si>
  <si>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</si>
  <si>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</si>
  <si>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</si>
  <si>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</si>
  <si>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</si>
  <si>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</si>
  <si>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</si>
  <si>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</si>
  <si>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</si>
  <si>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</si>
  <si>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</si>
  <si>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</si>
  <si>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</si>
  <si>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</si>
  <si>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</si>
  <si>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</si>
  <si>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</si>
  <si>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</si>
  <si>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</si>
  <si>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</si>
  <si>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</si>
  <si>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</si>
  <si>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</si>
  <si>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</si>
  <si>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</si>
  <si>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</si>
  <si>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</si>
  <si>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</si>
  <si>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</si>
  <si>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</si>
  <si>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</si>
  <si>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</si>
  <si>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</si>
  <si>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</si>
  <si>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</si>
  <si>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</si>
  <si>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</si>
  <si>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</si>
  <si>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</si>
  <si>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</si>
  <si>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</si>
  <si>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</si>
  <si>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</si>
  <si>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</si>
  <si>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</si>
  <si>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</si>
  <si>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</si>
  <si>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</si>
  <si>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</si>
  <si>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</si>
  <si>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</si>
  <si>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</si>
  <si>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</si>
  <si>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</si>
  <si>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</si>
  <si>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</si>
  <si>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</si>
  <si>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</si>
  <si>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</si>
  <si>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</si>
  <si>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</si>
  <si>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</si>
  <si>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</si>
  <si>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</si>
  <si>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</si>
  <si>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</si>
  <si>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</si>
  <si>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</si>
  <si>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</si>
  <si>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</si>
  <si>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</si>
  <si>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</si>
  <si>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</si>
  <si>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</si>
  <si>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</si>
  <si>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</si>
  <si>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</si>
  <si>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</si>
  <si>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</si>
  <si>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</si>
  <si>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</si>
  <si>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</si>
  <si>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</si>
  <si>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</si>
  <si>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</si>
  <si>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</si>
  <si>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</si>
  <si>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</si>
  <si>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</si>
  <si>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</si>
  <si>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</si>
  <si>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</si>
  <si>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</si>
  <si>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</si>
  <si>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</si>
  <si>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</si>
  <si>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</si>
  <si>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</si>
  <si>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</si>
  <si>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</si>
  <si>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</si>
  <si>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</si>
  <si>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</si>
  <si>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</si>
  <si>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</si>
  <si>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</si>
  <si>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</si>
  <si>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</si>
  <si>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</si>
  <si>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</si>
  <si>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</si>
  <si>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</si>
  <si>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</si>
  <si>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</si>
  <si>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</si>
  <si>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</si>
  <si>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</si>
  <si>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</si>
  <si>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</si>
  <si>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</si>
  <si>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</si>
  <si>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</si>
  <si>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</si>
  <si>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</si>
  <si>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</si>
  <si>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</si>
  <si>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</si>
  <si>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</si>
  <si>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</si>
  <si>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</si>
  <si>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</si>
  <si>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</si>
  <si>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</si>
  <si>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</si>
  <si>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</si>
  <si>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</si>
  <si>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</si>
  <si>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</si>
  <si>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</si>
  <si>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</si>
  <si>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</si>
  <si>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</si>
  <si>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</si>
  <si>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</si>
  <si>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</si>
  <si>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</si>
  <si>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</si>
  <si>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</si>
  <si>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</si>
  <si>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</si>
  <si>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</si>
  <si>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</si>
  <si>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</si>
  <si>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</si>
  <si>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</si>
  <si>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</si>
  <si>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</si>
  <si>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</si>
  <si>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</si>
  <si>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</si>
  <si>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</si>
  <si>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</si>
  <si>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</si>
  <si>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</si>
  <si>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</si>
  <si>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</si>
  <si>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</si>
  <si>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</si>
  <si>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</si>
  <si>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</si>
  <si>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</si>
  <si>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</si>
  <si>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</si>
  <si>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</si>
  <si>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</si>
  <si>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</si>
  <si>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</si>
  <si>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</si>
  <si>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</si>
  <si>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</si>
  <si>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</si>
  <si>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</si>
  <si>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</si>
  <si>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</si>
  <si>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</si>
  <si>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</si>
  <si>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</si>
  <si>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</si>
  <si>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</si>
  <si>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</si>
  <si>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</si>
  <si>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</si>
  <si>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</si>
  <si>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</si>
  <si>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</si>
  <si>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</si>
  <si>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</si>
  <si>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</si>
  <si>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</si>
  <si>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</si>
  <si>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</si>
  <si>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</si>
  <si>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</si>
  <si>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</si>
  <si>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</si>
  <si>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</si>
  <si>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</si>
  <si>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</si>
  <si>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</si>
  <si>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</si>
  <si>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</si>
  <si>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</si>
  <si>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</si>
  <si>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</si>
  <si>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</si>
  <si>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</si>
  <si>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</si>
  <si>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</si>
  <si>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</si>
  <si>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</si>
  <si>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</si>
  <si>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</si>
  <si>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</si>
  <si>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</si>
  <si>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</si>
  <si>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</si>
  <si>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</si>
  <si>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</si>
  <si>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</si>
  <si>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</si>
  <si>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</si>
  <si>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</si>
  <si>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</si>
  <si>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</si>
  <si>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</si>
  <si>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</si>
  <si>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</si>
  <si>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</si>
  <si>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</si>
  <si>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</si>
  <si>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</si>
  <si>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</si>
  <si>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</si>
  <si>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</si>
  <si>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</si>
  <si>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</si>
  <si>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</si>
  <si>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</si>
  <si>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</si>
  <si>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</si>
  <si>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</si>
  <si>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</si>
  <si>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</si>
  <si>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</si>
  <si>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</si>
  <si>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</si>
  <si>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</si>
  <si>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</si>
  <si>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</si>
  <si>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</si>
  <si>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</si>
  <si>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</si>
  <si>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</si>
  <si>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</si>
  <si>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</si>
  <si>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</si>
  <si>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</si>
  <si>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</si>
  <si>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</si>
  <si>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</si>
  <si>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</si>
  <si>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</si>
  <si>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</si>
  <si>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</si>
  <si>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</si>
  <si>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</si>
  <si>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</si>
  <si>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</si>
  <si>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</si>
  <si>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</si>
  <si>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</si>
  <si>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</si>
  <si>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</si>
  <si>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</si>
  <si>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</si>
  <si>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</si>
  <si>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</si>
  <si>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</si>
  <si>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</si>
  <si>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</si>
  <si>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</si>
  <si>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</si>
  <si>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</si>
  <si>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</si>
  <si>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</si>
  <si>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</si>
  <si>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</si>
  <si>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</si>
  <si>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</si>
  <si>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</si>
  <si>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</si>
  <si>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</si>
  <si>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</si>
  <si>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</si>
  <si>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</si>
  <si>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</si>
  <si>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</si>
  <si>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</si>
  <si>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</si>
  <si>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</si>
  <si>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</si>
  <si>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</si>
  <si>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</si>
  <si>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</si>
  <si>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</si>
  <si>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</si>
  <si>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</si>
  <si>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</si>
  <si>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</si>
  <si>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</si>
  <si>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</si>
  <si>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</si>
  <si>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</si>
  <si>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</si>
  <si>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</si>
  <si>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</si>
  <si>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</si>
  <si>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</si>
  <si>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</si>
  <si>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</si>
  <si>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</si>
  <si>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</si>
  <si>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</si>
  <si>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</si>
  <si>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</si>
  <si>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</si>
  <si>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</si>
  <si>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</si>
  <si>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</si>
  <si>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</si>
  <si>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</si>
  <si>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</si>
  <si>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</si>
  <si>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</si>
  <si>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</si>
  <si>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</si>
  <si>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</si>
  <si>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</si>
  <si>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</si>
  <si>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</si>
  <si>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</si>
  <si>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</si>
  <si>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</si>
  <si>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</si>
  <si>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</si>
  <si>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</si>
  <si>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</si>
  <si>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</si>
  <si>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</si>
  <si>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</si>
  <si>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</si>
  <si>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</si>
  <si>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</si>
  <si>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</si>
  <si>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</si>
  <si>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</si>
  <si>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</si>
  <si>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</si>
  <si>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</si>
  <si>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</si>
  <si>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</si>
  <si>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</si>
  <si>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</si>
  <si>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</si>
  <si>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</si>
  <si>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</si>
  <si>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</si>
  <si>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</si>
  <si>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</si>
  <si>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</si>
  <si>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</si>
  <si>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</si>
  <si>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</si>
  <si>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</si>
  <si>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</si>
  <si>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</si>
  <si>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</si>
  <si>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</si>
  <si>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</si>
  <si>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</si>
  <si>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</si>
  <si>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</si>
  <si>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</si>
  <si>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</si>
  <si>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</si>
  <si>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</si>
  <si>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</si>
  <si>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</si>
  <si>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</si>
  <si>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</si>
  <si>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</si>
  <si>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</si>
  <si>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</si>
  <si>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</si>
  <si>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</si>
  <si>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</si>
  <si>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</si>
  <si>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</si>
  <si>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</si>
  <si>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</si>
  <si>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</si>
  <si>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</si>
  <si>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</si>
  <si>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</si>
  <si>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</si>
  <si>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</si>
  <si>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</si>
  <si>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</si>
  <si>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</si>
  <si>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</si>
  <si>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</si>
  <si>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</si>
  <si>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</si>
  <si>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</si>
  <si>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</si>
  <si>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</si>
  <si>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</si>
  <si>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</si>
  <si>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</si>
  <si>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</si>
  <si>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</si>
  <si>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</si>
  <si>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</si>
  <si>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</si>
  <si>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</si>
  <si>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</si>
  <si>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</si>
  <si>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</si>
  <si>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</si>
  <si>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</si>
  <si>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</si>
  <si>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</si>
  <si>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</si>
  <si>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</si>
  <si>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</si>
  <si>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</si>
  <si>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</si>
  <si>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</si>
  <si>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</si>
  <si>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</si>
  <si>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</si>
  <si>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</si>
  <si>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</si>
  <si>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</si>
  <si>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</si>
  <si>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</si>
  <si>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</si>
  <si>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</si>
  <si>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</si>
  <si>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</si>
  <si>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</si>
  <si>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</si>
  <si>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</si>
  <si>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</si>
  <si>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</si>
  <si>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</si>
  <si>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</si>
  <si>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</si>
  <si>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</si>
  <si>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</si>
  <si>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</si>
  <si>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</si>
  <si>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</si>
  <si>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</si>
  <si>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</si>
  <si>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</si>
  <si>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</si>
  <si>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</si>
  <si>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</si>
  <si>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</si>
  <si>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</si>
  <si>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</si>
  <si>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</si>
  <si>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</si>
  <si>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</si>
  <si>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</si>
  <si>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</si>
  <si>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</si>
  <si>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</si>
  <si>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</si>
  <si>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</si>
  <si>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</si>
  <si>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</si>
  <si>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</si>
  <si>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</si>
  <si>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</si>
  <si>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</si>
  <si>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</si>
  <si>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</si>
  <si>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</si>
  <si>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</si>
  <si>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</si>
  <si>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</si>
  <si>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</si>
  <si>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</si>
  <si>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</si>
  <si>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</si>
  <si>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</si>
  <si>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</si>
  <si>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</si>
  <si>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</si>
  <si>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</si>
  <si>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</si>
  <si>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</si>
  <si>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</si>
  <si>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</si>
  <si>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</si>
  <si>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</si>
  <si>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</si>
  <si>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</si>
  <si>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</si>
  <si>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</si>
  <si>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</si>
  <si>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</si>
  <si>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</si>
  <si>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</si>
  <si>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</si>
  <si>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</si>
  <si>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</si>
  <si>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</si>
  <si>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</si>
  <si>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</si>
  <si>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</si>
  <si>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</si>
  <si>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</si>
  <si>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</si>
  <si>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</si>
  <si>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</si>
  <si>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</si>
  <si>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</si>
  <si>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</si>
  <si>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</si>
  <si>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</si>
  <si>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</si>
  <si>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</si>
  <si>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</si>
  <si>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</si>
  <si>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</si>
  <si>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</si>
  <si>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</si>
  <si>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</si>
  <si>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</si>
  <si>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</si>
  <si>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</si>
  <si>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</si>
  <si>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</si>
  <si>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</si>
  <si>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</si>
  <si>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</si>
  <si>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</si>
  <si>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</si>
  <si>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</si>
  <si>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</si>
  <si>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</si>
  <si>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</si>
  <si>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</si>
  <si>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</si>
  <si>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</si>
  <si>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</si>
  <si>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</si>
  <si>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</si>
  <si>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</si>
  <si>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</si>
  <si>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</si>
  <si>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</si>
  <si>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</si>
  <si>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</si>
  <si>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</si>
  <si>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</si>
  <si>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</si>
  <si>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</si>
  <si>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</si>
  <si>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</si>
  <si>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</si>
  <si>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</si>
  <si>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</si>
  <si>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</si>
  <si>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</si>
  <si>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</si>
  <si>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</si>
  <si>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</si>
  <si>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</si>
  <si>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</si>
  <si>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</si>
  <si>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</si>
  <si>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</si>
  <si>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</si>
  <si>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</si>
  <si>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</si>
  <si>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</si>
  <si>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</si>
  <si>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</si>
  <si>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</si>
  <si>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</si>
  <si>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</si>
  <si>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</si>
  <si>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</si>
  <si>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</si>
  <si>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</si>
  <si>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</si>
  <si>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</si>
  <si>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</si>
  <si>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</si>
  <si>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</si>
  <si>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</si>
  <si>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</si>
  <si>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</si>
  <si>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</si>
  <si>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</si>
  <si>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</si>
  <si>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</si>
  <si>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</si>
  <si>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</si>
  <si>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</si>
  <si>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</si>
  <si>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</si>
  <si>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</si>
  <si>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</si>
  <si>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</si>
  <si>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</si>
  <si>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</si>
  <si>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</si>
  <si>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</si>
  <si>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</si>
  <si>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</si>
  <si>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</si>
  <si>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</si>
  <si>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</si>
  <si>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</si>
  <si>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</si>
  <si>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</si>
  <si>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</si>
  <si>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</si>
  <si>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</si>
  <si>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</si>
  <si>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</si>
  <si>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</si>
  <si>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</si>
  <si>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</si>
  <si>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</si>
  <si>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</si>
  <si>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</si>
  <si>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</si>
  <si>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</si>
  <si>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</si>
  <si>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</si>
  <si>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</si>
  <si>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</si>
  <si>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</si>
  <si>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</si>
  <si>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</si>
  <si>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</si>
  <si>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</si>
  <si>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</si>
  <si>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</si>
  <si>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</si>
  <si>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</si>
  <si>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</si>
  <si>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</si>
  <si>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</si>
  <si>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</si>
  <si>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</si>
  <si>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</si>
  <si>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</si>
  <si>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</si>
  <si>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</si>
  <si>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</si>
  <si>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</si>
  <si>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</si>
  <si>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</si>
  <si>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</si>
  <si>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</si>
  <si>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</si>
  <si>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</si>
  <si>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</si>
  <si>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</si>
  <si>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</si>
  <si>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</si>
  <si>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</si>
  <si>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</si>
  <si>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</si>
  <si>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</si>
  <si>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</si>
  <si>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</si>
  <si>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</si>
  <si>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</si>
  <si>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</si>
  <si>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</si>
  <si>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</si>
  <si>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</si>
  <si>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</si>
  <si>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</si>
  <si>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</si>
  <si>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</si>
  <si>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</si>
  <si>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</si>
  <si>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</si>
  <si>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</si>
  <si>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</si>
  <si>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</si>
  <si>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</si>
  <si>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</si>
  <si>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</si>
  <si>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</si>
  <si>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</si>
  <si>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</si>
  <si>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</si>
  <si>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</si>
  <si>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</si>
  <si>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</si>
  <si>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</si>
  <si>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</si>
  <si>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</si>
  <si>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</si>
  <si>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</si>
  <si>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</si>
  <si>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</si>
  <si>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</si>
  <si>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</si>
  <si>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</si>
  <si>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</si>
  <si>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</si>
  <si>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</si>
  <si>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</si>
  <si>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</si>
  <si>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</si>
  <si>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</si>
  <si>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</si>
  <si>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</si>
  <si>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</si>
  <si>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</si>
  <si>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</si>
  <si>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</si>
  <si>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</si>
  <si>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</si>
  <si>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</si>
  <si>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</si>
  <si>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</si>
  <si>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</si>
  <si>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</si>
  <si>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</si>
  <si>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</si>
  <si>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</si>
  <si>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</si>
  <si>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</si>
  <si>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</si>
  <si>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</si>
  <si>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</si>
  <si>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</si>
  <si>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</si>
  <si>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</si>
  <si>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</si>
  <si>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</si>
  <si>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</si>
  <si>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</si>
  <si>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</si>
  <si>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</si>
  <si>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</si>
  <si>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</si>
  <si>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</si>
  <si>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</si>
  <si>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</si>
  <si>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</si>
  <si>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</si>
  <si>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</si>
  <si>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</si>
  <si>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</si>
  <si>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</si>
  <si>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</si>
  <si>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</si>
  <si>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</si>
  <si>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</si>
  <si>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</si>
  <si>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</si>
  <si>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</si>
  <si>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</si>
  <si>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</si>
  <si>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</si>
  <si>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</si>
  <si>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</si>
  <si>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</si>
  <si>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</si>
  <si>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</si>
  <si>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</si>
  <si>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</si>
  <si>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</si>
  <si>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</si>
  <si>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</si>
  <si>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</si>
  <si>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</si>
  <si>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</si>
  <si>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</si>
  <si>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</si>
  <si>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</si>
  <si>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</si>
  <si>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</si>
  <si>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</si>
  <si>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</si>
  <si>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</si>
  <si>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</si>
  <si>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</si>
  <si>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</si>
  <si>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</si>
  <si>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</si>
  <si>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</si>
  <si>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</si>
  <si>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</si>
  <si>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</si>
  <si>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</si>
  <si>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</si>
  <si>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</si>
  <si>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</si>
  <si>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</si>
  <si>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</si>
  <si>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</si>
  <si>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</si>
  <si>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</si>
  <si>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</si>
  <si>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</si>
  <si>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</si>
  <si>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</si>
  <si>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</si>
  <si>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</si>
  <si>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</si>
  <si>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</si>
  <si>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</si>
  <si>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</si>
  <si>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</si>
  <si>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</si>
  <si>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</si>
  <si>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</si>
  <si>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</si>
  <si>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</si>
  <si>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</si>
  <si>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</si>
  <si>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</si>
  <si>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</si>
  <si>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</si>
  <si>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</si>
  <si>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</si>
  <si>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</si>
  <si>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</si>
  <si>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</si>
  <si>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</si>
  <si>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</si>
  <si>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</si>
  <si>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</si>
  <si>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</si>
  <si>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</si>
  <si>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</si>
  <si>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</si>
  <si>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</si>
  <si>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</si>
  <si>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</si>
  <si>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</si>
  <si>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</si>
  <si>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</si>
  <si>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</si>
  <si>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</si>
  <si>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</si>
  <si>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</si>
  <si>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</si>
  <si>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</si>
  <si>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</si>
  <si>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</si>
  <si>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</si>
  <si>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</si>
  <si>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</si>
  <si>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</si>
  <si>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</si>
  <si>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</si>
  <si>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</si>
  <si>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</si>
  <si>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</si>
  <si>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</si>
  <si>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</si>
  <si>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</si>
  <si>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</si>
  <si>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</si>
  <si>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</si>
  <si>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</si>
  <si>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</si>
  <si>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</si>
  <si>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</si>
  <si>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</si>
  <si>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</si>
  <si>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</si>
  <si>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</si>
  <si>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</si>
  <si>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</si>
  <si>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</si>
  <si>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</si>
  <si>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</si>
  <si>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</si>
  <si>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</si>
  <si>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</si>
  <si>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</si>
  <si>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</si>
  <si>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</si>
  <si>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</si>
  <si>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</si>
  <si>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</si>
  <si>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</si>
  <si>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</si>
  <si>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</si>
  <si>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</si>
  <si>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</si>
  <si>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</si>
  <si>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</si>
  <si>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</si>
  <si>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</si>
  <si>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</si>
  <si>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</si>
  <si>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</si>
  <si>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</si>
  <si>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</si>
  <si>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</si>
  <si>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</si>
  <si>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</si>
  <si>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</si>
  <si>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</si>
  <si>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</si>
  <si>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</si>
  <si>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</si>
  <si>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</si>
  <si>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</si>
  <si>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</si>
  <si>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</si>
  <si>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</si>
  <si>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</si>
  <si>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</si>
  <si>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</si>
  <si>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</si>
  <si>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</si>
  <si>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</si>
  <si>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</si>
  <si>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</si>
  <si>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</si>
  <si>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</si>
  <si>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</si>
  <si>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</si>
  <si>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</si>
  <si>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</si>
  <si>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</si>
  <si>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</si>
  <si>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</si>
  <si>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</si>
  <si>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</si>
  <si>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</si>
  <si>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</si>
  <si>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</si>
  <si>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</si>
  <si>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</si>
  <si>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</si>
  <si>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</si>
  <si>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</si>
  <si>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</si>
  <si>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</si>
  <si>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</si>
  <si>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</si>
  <si>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</si>
  <si>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</si>
  <si>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</si>
  <si>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</si>
  <si>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</si>
  <si>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</si>
  <si>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</si>
  <si>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</si>
  <si>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</si>
  <si>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</si>
  <si>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</si>
  <si>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</si>
  <si>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</si>
  <si>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</si>
  <si>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</si>
  <si>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</si>
  <si>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</si>
  <si>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</si>
  <si>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</si>
  <si>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</si>
  <si>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</si>
  <si>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</si>
  <si>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</si>
  <si>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</si>
  <si>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</si>
  <si>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</si>
  <si>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</si>
  <si>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</si>
  <si>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</si>
  <si>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</si>
  <si>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</si>
  <si>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</si>
  <si>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</si>
  <si>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</si>
  <si>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</si>
  <si>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</si>
  <si>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</si>
  <si>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</si>
  <si>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</si>
  <si>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</si>
  <si>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</si>
  <si>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</si>
  <si>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</si>
  <si>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</si>
  <si>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</si>
  <si>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</si>
  <si>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</si>
  <si>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</si>
  <si>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</si>
  <si>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</si>
  <si>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</si>
  <si>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</si>
  <si>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</si>
  <si>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</si>
  <si>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</si>
  <si>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</si>
  <si>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</si>
  <si>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</si>
  <si>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</si>
  <si>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</si>
  <si>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</si>
  <si>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</si>
  <si>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</si>
  <si>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</si>
  <si>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</si>
  <si>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</si>
  <si>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</si>
  <si>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</si>
  <si>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</si>
  <si>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</si>
  <si>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</si>
  <si>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</si>
  <si>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</si>
  <si>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</si>
  <si>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</si>
  <si>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</si>
  <si>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</si>
  <si>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</si>
  <si>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</si>
  <si>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</si>
  <si>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</si>
  <si>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</si>
  <si>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</si>
  <si>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</si>
  <si>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</si>
  <si>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</si>
  <si>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</si>
  <si>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</si>
  <si>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</si>
  <si>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</si>
  <si>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</si>
  <si>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</si>
  <si>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</si>
  <si>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</si>
  <si>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</si>
  <si>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</si>
  <si>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</si>
  <si>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</si>
  <si>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</si>
  <si>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</si>
  <si>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</si>
  <si>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</si>
  <si>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</si>
  <si>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</si>
  <si>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</si>
  <si>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</si>
  <si>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</si>
  <si>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</si>
  <si>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</si>
  <si>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</si>
  <si>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</si>
  <si>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</si>
  <si>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</si>
  <si>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</si>
  <si>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</si>
  <si>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</si>
  <si>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</si>
  <si>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</si>
  <si>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</si>
  <si>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</si>
  <si>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</si>
  <si>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</si>
  <si>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</si>
  <si>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</si>
  <si>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</si>
  <si>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</si>
  <si>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</si>
  <si>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</si>
  <si>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</si>
  <si>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</si>
  <si>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</si>
  <si>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</si>
  <si>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</si>
  <si>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</si>
  <si>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</si>
  <si>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</si>
  <si>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</si>
  <si>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</si>
  <si>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</si>
  <si>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</si>
  <si>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</si>
  <si>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</si>
  <si>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</si>
  <si>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</si>
  <si>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</si>
  <si>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</si>
  <si>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</si>
  <si>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</si>
  <si>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</si>
  <si>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</si>
  <si>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</si>
  <si>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</si>
  <si>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</si>
  <si>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</si>
  <si>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</si>
  <si>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</si>
  <si>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</si>
  <si>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</si>
  <si>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</si>
  <si>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</si>
  <si>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</si>
  <si>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</si>
  <si>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</si>
  <si>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</si>
  <si>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</si>
  <si>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</si>
  <si>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</si>
  <si>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</si>
  <si>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</si>
  <si>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</si>
  <si>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</si>
  <si>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</si>
  <si>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</si>
  <si>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</si>
  <si>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</si>
  <si>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</si>
  <si>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</si>
  <si>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</si>
  <si>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</si>
  <si>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</si>
  <si>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</si>
  <si>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</si>
  <si>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</si>
  <si>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</si>
  <si>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</si>
  <si>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</si>
  <si>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</si>
  <si>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</si>
  <si>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</si>
  <si>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</si>
  <si>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</si>
  <si>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</si>
  <si>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</si>
  <si>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</si>
  <si>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</si>
  <si>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</si>
  <si>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</si>
  <si>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</si>
  <si>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</si>
  <si>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</si>
  <si>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</si>
  <si>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</si>
  <si>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</si>
  <si>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</si>
  <si>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</si>
  <si>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</si>
  <si>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</si>
  <si>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</si>
  <si>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</si>
  <si>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</si>
  <si>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</si>
  <si>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</si>
  <si>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</si>
  <si>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</si>
  <si>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</si>
  <si>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</si>
  <si>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</si>
  <si>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</si>
  <si>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</si>
  <si>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</si>
  <si>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</si>
  <si>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</si>
  <si>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</si>
  <si>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</si>
  <si>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</si>
  <si>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</si>
  <si>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</si>
  <si>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</si>
  <si>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</si>
  <si>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</si>
  <si>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</si>
  <si>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</si>
  <si>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</si>
  <si>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</si>
  <si>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</si>
  <si>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</si>
  <si>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</si>
  <si>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</si>
  <si>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</si>
  <si>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</si>
  <si>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</si>
  <si>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</si>
  <si>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</si>
  <si>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</si>
  <si>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</si>
  <si>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</si>
  <si>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</si>
  <si>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</si>
  <si>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</si>
  <si>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</si>
  <si>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</si>
  <si>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</si>
  <si>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</si>
  <si>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</si>
  <si>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</si>
  <si>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</si>
  <si>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</si>
  <si>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</si>
  <si>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</si>
  <si>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</si>
  <si>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</si>
  <si>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</si>
  <si>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</si>
  <si>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</si>
  <si>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</si>
  <si>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</si>
  <si>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</si>
  <si>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</si>
  <si>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</si>
  <si>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</si>
  <si>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</si>
  <si>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</si>
  <si>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</si>
  <si>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</si>
  <si>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</si>
  <si>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</si>
  <si>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</si>
  <si>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</si>
  <si>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</si>
  <si>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</si>
  <si>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</si>
  <si>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</si>
  <si>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</si>
  <si>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</si>
  <si>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</si>
  <si>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</si>
  <si>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</si>
  <si>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</si>
  <si>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</si>
  <si>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</si>
  <si>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</si>
  <si>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</si>
  <si>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</si>
  <si>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</si>
  <si>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</si>
  <si>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</si>
  <si>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</si>
  <si>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</si>
  <si>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</si>
  <si>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</si>
  <si>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</si>
  <si>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</si>
  <si>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</si>
  <si>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</si>
  <si>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</si>
  <si>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</si>
  <si>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</si>
  <si>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</si>
  <si>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</si>
  <si>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</si>
  <si>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</si>
  <si>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</si>
  <si>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</si>
  <si>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</si>
  <si>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</si>
  <si>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</si>
  <si>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</si>
  <si>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</si>
  <si>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</si>
  <si>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</si>
  <si>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</si>
  <si>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</si>
  <si>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</si>
  <si>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</si>
  <si>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</si>
  <si>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</si>
  <si>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</si>
  <si>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</si>
  <si>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</si>
  <si>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</si>
  <si>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</si>
  <si>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</si>
  <si>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</si>
  <si>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</si>
  <si>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</si>
  <si>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</si>
  <si>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</si>
  <si>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</si>
  <si>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</si>
  <si>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</si>
  <si>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</si>
  <si>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</si>
  <si>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</si>
  <si>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</si>
  <si>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</si>
  <si>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</si>
  <si>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</si>
  <si>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</si>
  <si>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</si>
  <si>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</si>
  <si>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</si>
  <si>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</si>
  <si>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</si>
  <si>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</si>
  <si>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</si>
  <si>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</si>
  <si>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</si>
  <si>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</si>
  <si>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</si>
  <si>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</si>
  <si>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</si>
  <si>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</si>
  <si>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</si>
  <si>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</si>
  <si>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</si>
  <si>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</si>
  <si>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</si>
  <si>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</si>
  <si>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</si>
  <si>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</si>
  <si>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</si>
  <si>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</si>
  <si>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</si>
  <si>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</si>
  <si>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</si>
  <si>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</si>
  <si>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</si>
  <si>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</si>
  <si>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</si>
  <si>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</si>
  <si>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</si>
  <si>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</si>
  <si>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</si>
  <si>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</si>
  <si>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</si>
  <si>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</si>
  <si>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</si>
  <si>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</si>
  <si>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</si>
  <si>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</si>
  <si>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</si>
  <si>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</si>
  <si>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</si>
  <si>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</si>
  <si>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</si>
  <si>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</si>
  <si>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</si>
  <si>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</si>
  <si>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</si>
  <si>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</si>
  <si>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</si>
  <si>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</si>
  <si>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</si>
  <si>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</si>
  <si>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</si>
  <si>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</si>
  <si>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</si>
  <si>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</si>
  <si>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</si>
  <si>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</si>
  <si>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</si>
  <si>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</si>
  <si>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</si>
  <si>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</si>
  <si>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</si>
  <si>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</si>
  <si>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</si>
  <si>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</si>
  <si>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</si>
  <si>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</si>
  <si>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</si>
  <si>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</si>
  <si>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</si>
  <si>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</si>
  <si>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</si>
  <si>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</si>
  <si>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</si>
  <si>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</si>
  <si>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</si>
  <si>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</si>
  <si>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</si>
  <si>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</si>
  <si>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</si>
  <si>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</si>
  <si>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</si>
  <si>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</si>
  <si>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</si>
  <si>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</si>
  <si>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</si>
  <si>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</si>
  <si>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</si>
  <si>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</si>
  <si>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</si>
  <si>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</si>
  <si>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</si>
  <si>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</si>
  <si>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</si>
  <si>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</si>
  <si>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</si>
  <si>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</si>
  <si>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</si>
  <si>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</si>
  <si>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</si>
  <si>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</si>
  <si>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</si>
  <si>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</si>
  <si>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</si>
  <si>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</si>
  <si>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</si>
  <si>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</si>
  <si>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</si>
  <si>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</si>
  <si>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</si>
  <si>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</si>
  <si>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</si>
  <si>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</si>
  <si>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</si>
  <si>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</si>
  <si>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</si>
  <si>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</si>
  <si>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</si>
  <si>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</si>
  <si>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</si>
  <si>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</si>
  <si>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</si>
  <si>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</si>
  <si>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</si>
  <si>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</si>
  <si>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</si>
  <si>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</si>
  <si>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</si>
  <si>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</si>
  <si>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</si>
  <si>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</si>
  <si>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</si>
  <si>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</si>
  <si>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</si>
  <si>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</si>
  <si>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</si>
  <si>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</si>
  <si>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</si>
  <si>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</si>
  <si>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</si>
  <si>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</si>
  <si>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</si>
  <si>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</si>
  <si>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</si>
  <si>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</si>
  <si>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</si>
  <si>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</si>
  <si>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</si>
  <si>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</si>
  <si>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</si>
  <si>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</si>
  <si>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</si>
  <si>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</si>
  <si>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</si>
  <si>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</si>
  <si>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</si>
  <si>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</si>
  <si>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</si>
  <si>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</si>
  <si>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</si>
  <si>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</si>
  <si>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</si>
  <si>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</si>
  <si>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</si>
  <si>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</si>
  <si>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</si>
  <si>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</si>
  <si>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</si>
  <si>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</si>
  <si>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</si>
  <si>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</si>
  <si>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</si>
  <si>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</si>
  <si>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</si>
  <si>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</si>
  <si>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</si>
  <si>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</si>
  <si>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</si>
  <si>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</si>
  <si>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</si>
  <si>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</si>
  <si>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</si>
  <si>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</si>
  <si>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</si>
  <si>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</si>
  <si>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</si>
  <si>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</si>
  <si>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</si>
  <si>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</si>
  <si>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</si>
  <si>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</si>
  <si>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</si>
  <si>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</si>
  <si>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</si>
  <si>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</si>
  <si>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</si>
  <si>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</si>
  <si>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</si>
  <si>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</si>
  <si>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</si>
  <si>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</si>
  <si>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</si>
  <si>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</si>
  <si>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</si>
  <si>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</si>
  <si>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</si>
  <si>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</si>
  <si>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</si>
  <si>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</si>
  <si>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</si>
  <si>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</si>
  <si>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</si>
  <si>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</si>
  <si>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</si>
  <si>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</si>
  <si>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</si>
  <si>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</si>
  <si>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</si>
  <si>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</si>
  <si>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</si>
  <si>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</si>
  <si>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</si>
  <si>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</si>
  <si>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</si>
  <si>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</si>
  <si>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</si>
  <si>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 LLC</t>
  </si>
  <si>
    <t>RUSS LEIGH</t>
  </si>
  <si>
    <t>228 E MAIN ST</t>
  </si>
  <si>
    <t>HOOPESTON</t>
  </si>
  <si>
    <t>IL</t>
  </si>
  <si>
    <t>217-283-9336</t>
  </si>
  <si>
    <t>217-283-9736</t>
  </si>
  <si>
    <t>admin@russleigh.com</t>
  </si>
  <si>
    <t>Russell Leigh &amp; Associates LLC</t>
  </si>
  <si>
    <t>FORD</t>
  </si>
  <si>
    <t>PO BOX 50</t>
  </si>
  <si>
    <t>PAXTON</t>
  </si>
  <si>
    <t>Cliff McClure</t>
  </si>
  <si>
    <t>cmcclure@pblpanthers.org</t>
  </si>
  <si>
    <t>217-379-3314</t>
  </si>
  <si>
    <t>217-379-2862</t>
  </si>
  <si>
    <t>2001 School Building Bond</t>
  </si>
  <si>
    <t>2008 Life Safety Bond</t>
  </si>
  <si>
    <t>2017A General Obligation School Building Bonds</t>
  </si>
  <si>
    <t>No applicable contracts paid</t>
  </si>
  <si>
    <t>Ford County Special Education Cooperative</t>
  </si>
  <si>
    <t>Page 5 - Acct 430 - Other Payables</t>
  </si>
  <si>
    <t>Col 30 - Debt Services - Deficit Cash - $675,513</t>
  </si>
  <si>
    <t>Col 50 - Municipal Retirement/Social Security - Deficit Cash - $17,849</t>
  </si>
  <si>
    <t>Col 90 - Fire Prevention &amp; Safety - $96</t>
  </si>
  <si>
    <t>Page 11 - Acct 1999 - Other Revenue from Local Sources</t>
  </si>
  <si>
    <t>Col 10 - Educational - Refunds &amp; Reimbursement - $96,617</t>
  </si>
  <si>
    <t>Col 20 - Operations &amp; Maintenance - Refunds &amp; Reimbursements - $19,611</t>
  </si>
  <si>
    <t>Col 40 - Transportation - Refunds &amp; Reimbursements - $2,349</t>
  </si>
  <si>
    <t>Page 18 - Function 5400 - Debt Services - Other</t>
  </si>
  <si>
    <t>Other Objects - Bond Fees - $1,300</t>
  </si>
  <si>
    <t>AUDITCHECK Tab - #13 Contracts Paid Error</t>
  </si>
  <si>
    <t>No applicable contracts paid in the current year</t>
  </si>
  <si>
    <t>U.S. Department of Agriculture</t>
  </si>
  <si>
    <t xml:space="preserve">     Passed Through the Illinois State Board of Education</t>
  </si>
  <si>
    <t xml:space="preserve">        School Breakfast-19</t>
  </si>
  <si>
    <t xml:space="preserve">       School Breakfast-20</t>
  </si>
  <si>
    <t xml:space="preserve">       Summer Food </t>
  </si>
  <si>
    <t xml:space="preserve">       School Commodities</t>
  </si>
  <si>
    <t xml:space="preserve">       Fresh Fruits &amp; Vegtables</t>
  </si>
  <si>
    <t xml:space="preserve">           Total U.S Department of Agriculture</t>
  </si>
  <si>
    <t>U.S Department of Education</t>
  </si>
  <si>
    <t xml:space="preserve">       Passed Through the Illinois State Board of Education</t>
  </si>
  <si>
    <t>84.010a</t>
  </si>
  <si>
    <t xml:space="preserve">       Title 1-Low Income-19</t>
  </si>
  <si>
    <t>84.367a</t>
  </si>
  <si>
    <t xml:space="preserve">        Title II-Teacher Quality-19</t>
  </si>
  <si>
    <t xml:space="preserve">        Title II-Teacher Quality-20</t>
  </si>
  <si>
    <t xml:space="preserve">        Title IV-Student Support-19</t>
  </si>
  <si>
    <t>84.424a</t>
  </si>
  <si>
    <t xml:space="preserve">       Title IV-Student Support-20</t>
  </si>
  <si>
    <t xml:space="preserve">       Special Ed-Pre School</t>
  </si>
  <si>
    <t>84.027a</t>
  </si>
  <si>
    <t xml:space="preserve">          Total U.S . Department of Education</t>
  </si>
  <si>
    <t>U.S.  Department of Health &amp; Human Services</t>
  </si>
  <si>
    <t xml:space="preserve">     Passed Through Illiois Department of Health &amp; Family Services</t>
  </si>
  <si>
    <t xml:space="preserve">       Medicare Matching -Admin Outreach</t>
  </si>
  <si>
    <t xml:space="preserve">           Total U.S. Department of Health &amp; Human Services</t>
  </si>
  <si>
    <t xml:space="preserve">          Total Federal Financial Assistance</t>
  </si>
  <si>
    <t>x</t>
  </si>
  <si>
    <t>The accompanying Schedule of Expenditures of Federal Awards includes the federal grant activity of Paxton Buckley Loda Community Unit #10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</si>
  <si>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Paxton Buckley Loda Community Unit #10 provided federal awards to subrecipients as follows:</t>
  </si>
  <si>
    <t>none</t>
  </si>
  <si>
    <r>
      <t xml:space="preserve">The following amounts were expended in the form of non-cash assistance by Paxton Buckley Loda Community Unit #10 and </t>
    </r>
    <r>
      <rPr>
        <b/>
        <sz val="9"/>
        <rFont val="Calibri"/>
        <family val="2"/>
        <scheme val="minor"/>
      </rPr>
      <t>should be</t>
    </r>
    <r>
      <rPr>
        <sz val="9"/>
        <rFont val="Calibri"/>
        <family val="2"/>
        <scheme val="minor"/>
      </rPr>
      <t xml:space="preserve"> included in the Schedule of Expenditures of Federal Awards:</t>
    </r>
  </si>
  <si>
    <t>no</t>
  </si>
  <si>
    <t>Adverse-Gaap/Qualified-Regulatory</t>
  </si>
  <si>
    <t>Special Education-Flow Thru</t>
  </si>
  <si>
    <t>School Lunch Program</t>
  </si>
  <si>
    <t xml:space="preserve"> x</t>
  </si>
  <si>
    <t>The District is required to maintain  a system of controls over the preparation of financial statements.  The District's internal control over the financial reporting should include adequately trained personnel with knowledge and expertise to review the financial statements to ensure they are free of material mistatements</t>
  </si>
  <si>
    <t>For year-end reporting purposes the District relies on the auditor to propoase year end adjustments, and to prepare a draft of the finanical statements</t>
  </si>
  <si>
    <t>Although the auditor can propose adjustemnts and assist in assembling or drafting the financial statements, they cannot establish or maintian the District's internal controls, including monitoring ongoing activities, since to do so would impair the auditor's independence</t>
  </si>
  <si>
    <t>Lack of sufficient knowledge and expertise to prepare ad review the financial statements could result in cntrols not being effective in preventing or detecting material mistatements particularly in the related notes to the financial statements</t>
  </si>
  <si>
    <t>Due to the actual errors identified and adjustments required during the preparation of the fiancial statements, the District wasn not monitoring its financials</t>
  </si>
  <si>
    <t>We recommend that the District establsh effective review procedure for financial reports</t>
  </si>
  <si>
    <t>The District agrees with the corrective action plan and will evaluate year-end reporting controls and pursue additional training when it is considered cost beneficial</t>
  </si>
  <si>
    <t>(M) School Lunch-19</t>
  </si>
  <si>
    <t xml:space="preserve"> (M)  School Lunch-20</t>
  </si>
  <si>
    <t>(M) Title 1-Low Income-20</t>
  </si>
  <si>
    <t>(M)Special Ed-Flow Through</t>
  </si>
  <si>
    <t xml:space="preserve">  Paxton-Buckley-Loda CUD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</si>
</sst>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67"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831" t="str">
        <f>"Due to ISBE on "</f>
        <v xml:space="preserve">Due to ISBE on </v>
      </c>
      <c r="B2" s="2123">
        <f>+'AFR20'!F4</f>
        <v>44151</v>
      </c>
      <c r="C2" s="2123"/>
      <c r="D2" s="2124"/>
      <c r="I2" s="2082" t="s">
        <v>2000</v>
      </c>
      <c r="J2" s="2081"/>
      <c r="K2" s="2081"/>
      <c r="L2" s="2081"/>
      <c r="M2" s="2081"/>
      <c r="N2" s="2081"/>
      <c r="O2" s="2081"/>
      <c r="P2" s="2081"/>
      <c r="Q2" s="2081"/>
      <c r="R2" s="2081"/>
      <c r="S2" s="2081"/>
    </row>
    <row r="3" spans="1:32" ht="12" customHeight="1" x14ac:dyDescent="0.2">
      <c r="A3" s="1834"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2048</v>
      </c>
      <c r="C5" s="26" t="s">
        <v>904</v>
      </c>
      <c r="D5" s="81"/>
      <c r="E5" s="81"/>
      <c r="H5" s="38"/>
      <c r="I5" s="2090" t="s">
        <v>675</v>
      </c>
      <c r="J5" s="2089"/>
      <c r="K5" s="2089"/>
      <c r="L5" s="2089"/>
      <c r="M5" s="2089"/>
      <c r="N5" s="2089"/>
      <c r="O5" s="2089"/>
      <c r="P5" s="2089"/>
      <c r="Q5" s="2089"/>
      <c r="R5" s="2089"/>
      <c r="S5" s="2089"/>
      <c r="AF5" s="1827"/>
    </row>
    <row r="6" spans="1:32" ht="14.1" customHeight="1" x14ac:dyDescent="0.2">
      <c r="B6" s="101"/>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4" t="s">
        <v>2048</v>
      </c>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v>9027010026</v>
      </c>
      <c r="B13" s="2102"/>
      <c r="C13" s="2102"/>
      <c r="D13" s="2102"/>
      <c r="E13" s="2102"/>
      <c r="F13" s="2102"/>
      <c r="G13" s="2102"/>
      <c r="H13" s="2103"/>
      <c r="I13" s="31"/>
      <c r="J13" s="30"/>
      <c r="K13" s="28"/>
      <c r="L13" s="30"/>
      <c r="M13" s="30"/>
      <c r="N13" s="30"/>
      <c r="O13" s="30"/>
      <c r="P13" s="30"/>
      <c r="Q13" s="30"/>
      <c r="R13" s="30"/>
      <c r="S13" s="30"/>
      <c r="T13" s="2107" t="s">
        <v>2049</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4" t="s">
        <v>2058</v>
      </c>
      <c r="B15" s="2105"/>
      <c r="C15" s="2105"/>
      <c r="D15" s="2105"/>
      <c r="E15" s="2105"/>
      <c r="F15" s="2105"/>
      <c r="G15" s="2105"/>
      <c r="H15" s="2106"/>
      <c r="T15" s="2111" t="s">
        <v>2050</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2129</v>
      </c>
      <c r="B17" s="2075"/>
      <c r="C17" s="2075"/>
      <c r="D17" s="2075"/>
      <c r="E17" s="2075"/>
      <c r="F17" s="2075"/>
      <c r="G17" s="2075"/>
      <c r="H17" s="2100"/>
      <c r="T17" s="2118" t="s">
        <v>2051</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04" t="s">
        <v>2059</v>
      </c>
      <c r="B19" s="2060"/>
      <c r="C19" s="2060"/>
      <c r="D19" s="2060"/>
      <c r="E19" s="2060"/>
      <c r="F19" s="2060"/>
      <c r="G19" s="2060"/>
      <c r="H19" s="2040"/>
      <c r="I19" s="30"/>
      <c r="J19" s="96"/>
      <c r="K19" s="40"/>
      <c r="L19" s="38"/>
      <c r="M19" s="109" t="s">
        <v>312</v>
      </c>
      <c r="P19" s="27"/>
      <c r="Q19" s="27"/>
      <c r="R19" s="27"/>
      <c r="S19" s="31"/>
      <c r="T19" s="2104" t="s">
        <v>2052</v>
      </c>
      <c r="U19" s="2039"/>
      <c r="V19" s="2039"/>
      <c r="W19" s="2040"/>
      <c r="X19" s="2116" t="s">
        <v>2053</v>
      </c>
      <c r="Y19" s="2117"/>
      <c r="Z19" s="2114">
        <v>60942</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2060</v>
      </c>
      <c r="B21" s="2039"/>
      <c r="C21" s="2039"/>
      <c r="D21" s="2039"/>
      <c r="E21" s="2039"/>
      <c r="F21" s="2039"/>
      <c r="G21" s="2039"/>
      <c r="H21" s="2040"/>
      <c r="I21" s="2094" t="s">
        <v>673</v>
      </c>
      <c r="J21" s="2089"/>
      <c r="K21" s="2089"/>
      <c r="L21" s="2089"/>
      <c r="M21" s="2089"/>
      <c r="N21" s="2089"/>
      <c r="O21" s="2089"/>
      <c r="P21" s="2089"/>
      <c r="Q21" s="2089"/>
      <c r="R21" s="2089"/>
      <c r="S21" s="2095"/>
      <c r="T21" s="2129" t="s">
        <v>2054</v>
      </c>
      <c r="U21" s="2130"/>
      <c r="V21" s="2130"/>
      <c r="W21" s="2130"/>
      <c r="X21" s="2135" t="s">
        <v>2055</v>
      </c>
      <c r="Y21" s="2136"/>
      <c r="Z21" s="2136"/>
      <c r="AA21" s="2137"/>
    </row>
    <row r="22" spans="1:27" ht="13.5" customHeight="1" x14ac:dyDescent="0.2">
      <c r="A22" s="84" t="s">
        <v>528</v>
      </c>
      <c r="B22" s="56"/>
      <c r="C22" s="56"/>
      <c r="D22" s="56"/>
      <c r="E22" s="56"/>
      <c r="F22" s="56"/>
      <c r="G22" s="56"/>
      <c r="H22" s="57"/>
      <c r="I22" s="2096" t="s">
        <v>1412</v>
      </c>
      <c r="J22" s="2097"/>
      <c r="K22" s="2097"/>
      <c r="L22" s="2097"/>
      <c r="M22" s="2097"/>
      <c r="N22" s="2097"/>
      <c r="O22" s="2097"/>
      <c r="P22" s="2097"/>
      <c r="Q22" s="2097"/>
      <c r="R22" s="2097"/>
      <c r="S22" s="2098"/>
      <c r="T22" s="82" t="s">
        <v>1499</v>
      </c>
      <c r="U22" s="48"/>
      <c r="V22" s="69"/>
      <c r="W22" s="48"/>
      <c r="X22" s="155" t="s">
        <v>1307</v>
      </c>
      <c r="Z22" s="43"/>
      <c r="AA22" s="44"/>
    </row>
    <row r="23" spans="1:27" ht="13.5" customHeight="1" x14ac:dyDescent="0.2">
      <c r="A23" s="2091"/>
      <c r="B23" s="2092"/>
      <c r="C23" s="2092"/>
      <c r="D23" s="2092"/>
      <c r="E23" s="2092"/>
      <c r="F23" s="2092"/>
      <c r="G23" s="2092"/>
      <c r="H23" s="2093"/>
      <c r="T23" s="2074">
        <v>65.018319000000005</v>
      </c>
      <c r="U23" s="2128"/>
      <c r="V23" s="2128"/>
      <c r="W23" s="2128"/>
      <c r="X23" s="2132">
        <v>44469</v>
      </c>
      <c r="Y23" s="2133"/>
      <c r="Z23" s="2133"/>
      <c r="AA23" s="2134"/>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2020-2021 Budget",)),"")</f>
        <v>0</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v>60957</v>
      </c>
      <c r="B25" s="2039"/>
      <c r="C25" s="2039"/>
      <c r="D25" s="2039"/>
      <c r="E25" s="2039"/>
      <c r="F25" s="2039"/>
      <c r="G25" s="2039"/>
      <c r="H25" s="2040"/>
      <c r="I25" s="110"/>
      <c r="J25" s="2063"/>
      <c r="K25" s="2063"/>
      <c r="L25" s="2063"/>
      <c r="M25" s="2063"/>
      <c r="N25" s="2063"/>
      <c r="O25" s="2063"/>
      <c r="P25" s="2063"/>
      <c r="Q25" s="2063"/>
      <c r="R25" s="2063"/>
      <c r="S25" s="2064"/>
      <c r="T25" s="2125" t="s">
        <v>2056</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9" t="s">
        <v>1494</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2061</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2062</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t="s">
        <v>2063</v>
      </c>
      <c r="B42" s="2058"/>
      <c r="C42" s="2059"/>
      <c r="D42" s="2057" t="s">
        <v>2064</v>
      </c>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4" t="s">
        <v>1056</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1591</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1158</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9" t="s">
        <v>1616</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2048</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1312</v>
      </c>
      <c r="B70" s="2172"/>
      <c r="C70" s="2172"/>
      <c r="D70" s="2172"/>
      <c r="E70" s="2173"/>
      <c r="F70" s="2173"/>
      <c r="G70" s="2173"/>
      <c r="H70" s="2173"/>
      <c r="I70" s="217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1309</v>
      </c>
      <c r="B83" s="2174"/>
      <c r="C83" s="2174"/>
      <c r="D83" s="217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5" t="s">
        <v>1986</v>
      </c>
      <c r="B85" s="2185"/>
      <c r="C85" s="2185"/>
      <c r="D85" s="2186"/>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7" t="s">
        <v>1986</v>
      </c>
      <c r="B88" s="2188"/>
      <c r="C88" s="2188"/>
      <c r="D88" s="2189"/>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2057</v>
      </c>
      <c r="D114" s="216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1319</v>
      </c>
      <c r="D117" s="2167"/>
      <c r="E117" s="2168"/>
      <c r="F117" s="2168"/>
      <c r="G117" s="2168"/>
      <c r="H117" s="2168"/>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180048881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3.6489000000000001E-2</v>
      </c>
      <c r="E10" s="333" t="s">
        <v>998</v>
      </c>
      <c r="F10" s="332">
        <v>4.999E-3</v>
      </c>
      <c r="G10" s="333" t="s">
        <v>998</v>
      </c>
      <c r="H10" s="332">
        <v>1.9989999999999999E-3</v>
      </c>
      <c r="I10" s="333" t="s">
        <v>999</v>
      </c>
      <c r="J10" s="1424">
        <f>ROUND(D10+F10+H10,5)</f>
        <v>4.3490000000000001E-2</v>
      </c>
      <c r="K10" s="217"/>
      <c r="L10" s="332">
        <v>5.0000000000000001E-4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14894948</v>
      </c>
      <c r="E16" s="1547"/>
      <c r="F16" s="1546">
        <f>SUM('Acct Summary 7-8'!C17,'Acct Summary 7-8'!D17,'Acct Summary 7-8'!F17)</f>
        <v>13913597</v>
      </c>
      <c r="G16" s="1547"/>
      <c r="H16" s="1546">
        <f>SUM(D16-F16)</f>
        <v>981351</v>
      </c>
      <c r="I16" s="1548"/>
      <c r="J16" s="1546">
        <f>SUM('Acct Summary 7-8'!C81,'Acct Summary 7-8'!D81,'Acct Summary 7-8'!F81,'Acct Summary 7-8'!I81)</f>
        <v>7602758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24846745.578000002</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31230000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1396</v>
      </c>
      <c r="B3" s="2210"/>
      <c r="C3" s="2210"/>
      <c r="D3" s="2210"/>
      <c r="E3" s="2210"/>
      <c r="F3" s="2210"/>
      <c r="G3" s="2210"/>
      <c r="H3" s="2210"/>
      <c r="I3" s="2210"/>
      <c r="J3" s="2210"/>
      <c r="K3" s="2210"/>
      <c r="L3" s="2210"/>
      <c r="M3" s="2210"/>
      <c r="N3" s="2210"/>
      <c r="O3" s="2210"/>
      <c r="P3" s="2210"/>
      <c r="Q3" s="2210"/>
      <c r="R3" s="2210"/>
    </row>
    <row r="4" spans="1:18" x14ac:dyDescent="0.2">
      <c r="A4" s="2211" t="s">
        <v>1537</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Paxton-Buckley-Loda CUD 10</v>
      </c>
      <c r="E7" s="368"/>
      <c r="G7" s="247"/>
      <c r="H7" s="364"/>
      <c r="I7" s="364"/>
      <c r="J7" s="364"/>
      <c r="K7" s="364"/>
      <c r="L7" s="307"/>
      <c r="M7" s="307"/>
      <c r="N7" s="307"/>
      <c r="O7" s="307"/>
      <c r="P7" s="307"/>
    </row>
    <row r="8" spans="1:18" ht="12.75" x14ac:dyDescent="0.2">
      <c r="A8" s="307"/>
      <c r="B8" s="307"/>
      <c r="C8" s="366" t="s">
        <v>1115</v>
      </c>
      <c r="D8" s="369">
        <f>COVER!A13</f>
        <v>9027010026</v>
      </c>
      <c r="E8" s="370"/>
      <c r="G8" s="307"/>
      <c r="H8" s="307"/>
      <c r="I8" s="307"/>
      <c r="J8" s="307"/>
      <c r="K8" s="307"/>
      <c r="L8" s="307"/>
      <c r="M8" s="307"/>
      <c r="N8" s="307"/>
      <c r="O8" s="307"/>
      <c r="P8" s="307"/>
    </row>
    <row r="9" spans="1:18" ht="12.75" x14ac:dyDescent="0.2">
      <c r="A9" s="307"/>
      <c r="B9" s="307"/>
      <c r="C9" s="366" t="s">
        <v>708</v>
      </c>
      <c r="D9" s="371" t="str">
        <f>COVER!A15</f>
        <v>FORD</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7602758</v>
      </c>
      <c r="I12" s="380"/>
      <c r="J12" s="380"/>
      <c r="K12" s="1559">
        <f>TRUNC((H12/H13*100000),5)/100000</f>
        <v>0.51042527970000007</v>
      </c>
      <c r="L12" s="381"/>
      <c r="M12" s="337" t="s">
        <v>1134</v>
      </c>
      <c r="N12" s="337"/>
      <c r="O12" s="1562">
        <v>0.35</v>
      </c>
      <c r="P12" s="213"/>
      <c r="Q12" s="213"/>
    </row>
    <row r="13" spans="1:18" s="382" customFormat="1" ht="12.75" x14ac:dyDescent="0.2">
      <c r="A13" s="213"/>
      <c r="B13" s="377"/>
      <c r="C13" s="2207" t="s">
        <v>1313</v>
      </c>
      <c r="D13" s="2208"/>
      <c r="E13" s="213"/>
      <c r="F13" s="383" t="s">
        <v>788</v>
      </c>
      <c r="G13" s="378"/>
      <c r="H13" s="1551">
        <f>SUM('Acct Summary 7-8'!C8+'Acct Summary 7-8'!D8+'Acct Summary 7-8'!F8+'Acct Summary 7-8'!I8)+H14</f>
        <v>14894948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13913597</v>
      </c>
      <c r="I17" s="380"/>
      <c r="J17" s="389"/>
      <c r="K17" s="1559">
        <f>TRUNC((H17/H18*100000),5)/100000</f>
        <v>0.93411517779999997</v>
      </c>
      <c r="L17" s="381"/>
      <c r="M17" s="390" t="s">
        <v>1161</v>
      </c>
      <c r="O17" s="1565" t="str">
        <f>IF(AND(O16="2", J20 &gt; 2),"1",IF(AND(O16 = "1", J20 &gt; 2),"2",IF(AND(O16="1", J20 &gt;1),"1","0")))</f>
        <v>0</v>
      </c>
      <c r="P17" s="213"/>
    </row>
    <row r="18" spans="1:18" s="382" customFormat="1" ht="11.25" x14ac:dyDescent="0.2">
      <c r="A18" s="213"/>
      <c r="B18" s="377"/>
      <c r="C18" s="2207" t="s">
        <v>1306</v>
      </c>
      <c r="D18" s="2208"/>
      <c r="E18" s="213"/>
      <c r="F18" s="391" t="s">
        <v>789</v>
      </c>
      <c r="G18" s="378"/>
      <c r="H18" s="1551">
        <f>SUM('Acct Summary 7-8'!C8+'Acct Summary 7-8'!D8+'Acct Summary 7-8'!F8+'Acct Summary 7-8'!I8)+H19</f>
        <v>14894948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4" t="s">
        <v>1395</v>
      </c>
      <c r="D24" s="2204"/>
      <c r="E24" s="213"/>
      <c r="F24" s="213" t="s">
        <v>442</v>
      </c>
      <c r="G24" s="378"/>
      <c r="H24" s="1551">
        <f>SUM('Assets-Liab 5-6'!C4+'Assets-Liab 5-6'!D4+'Assets-Liab 5-6'!F4+'Assets-Liab 5-6'!I4+'Assets-Liab 5-6'!C5+'Assets-Liab 5-6'!D5+'Assets-Liab 5-6'!F5+'Assets-Liab 5-6'!I5)</f>
        <v>7602758</v>
      </c>
      <c r="I24" s="394"/>
      <c r="J24" s="394"/>
      <c r="K24" s="1555">
        <f>TRUNC(((H24/H25*100000)/100000),2)</f>
        <v>196.71</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38648.880559999998</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6655776.9594900003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31230000</v>
      </c>
      <c r="I32" s="392"/>
      <c r="J32" s="392"/>
      <c r="K32" s="1555">
        <f>TRUNC(100-((((H32/H33*100))*100)/100),2)</f>
        <v>-25.69</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24846745.578000002</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306"/>
      <c r="D3" s="1307"/>
      <c r="E3" s="1307"/>
      <c r="F3" s="1307"/>
      <c r="G3" s="1307"/>
      <c r="H3" s="1307"/>
      <c r="I3" s="1307"/>
      <c r="J3" s="1307"/>
      <c r="K3" s="1307"/>
      <c r="L3" s="1307"/>
      <c r="M3" s="1308"/>
      <c r="N3" s="1309"/>
    </row>
    <row r="4" spans="1:14" ht="13.5" customHeight="1" x14ac:dyDescent="0.2">
      <c r="A4" s="427" t="s">
        <v>1632</v>
      </c>
      <c r="B4" s="428"/>
      <c r="C4" s="1572">
        <v>3716230</v>
      </c>
      <c r="D4" s="1573">
        <v>319832</v>
      </c>
      <c r="E4" s="1573"/>
      <c r="F4" s="1573">
        <v>38384</v>
      </c>
      <c r="G4" s="1573"/>
      <c r="H4" s="1573">
        <v>1918538</v>
      </c>
      <c r="I4" s="1573">
        <v>778075</v>
      </c>
      <c r="J4" s="1574">
        <v>422623</v>
      </c>
      <c r="K4" s="1573"/>
      <c r="L4" s="1573">
        <v>132503</v>
      </c>
      <c r="M4" s="1575"/>
      <c r="N4" s="1576"/>
    </row>
    <row r="5" spans="1:14" x14ac:dyDescent="0.2">
      <c r="A5" s="427" t="s">
        <v>985</v>
      </c>
      <c r="B5" s="429">
        <v>120</v>
      </c>
      <c r="C5" s="1572">
        <v>2290239</v>
      </c>
      <c r="D5" s="1573">
        <v>306665</v>
      </c>
      <c r="E5" s="1573">
        <v>768459</v>
      </c>
      <c r="F5" s="1573">
        <v>122666</v>
      </c>
      <c r="G5" s="1573">
        <v>142331</v>
      </c>
      <c r="H5" s="1573"/>
      <c r="I5" s="1573">
        <v>30667</v>
      </c>
      <c r="J5" s="1574">
        <v>88973</v>
      </c>
      <c r="K5" s="1577">
        <v>297</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6006469</v>
      </c>
      <c r="D13" s="1587">
        <f t="shared" ref="D13:L13" si="0">SUM(D4:D12)</f>
        <v>626497</v>
      </c>
      <c r="E13" s="1587">
        <f t="shared" si="0"/>
        <v>768459</v>
      </c>
      <c r="F13" s="1587">
        <f t="shared" si="0"/>
        <v>161050</v>
      </c>
      <c r="G13" s="1587">
        <f t="shared" si="0"/>
        <v>142331</v>
      </c>
      <c r="H13" s="1587">
        <f t="shared" si="0"/>
        <v>1918538</v>
      </c>
      <c r="I13" s="1587">
        <f t="shared" si="0"/>
        <v>808742</v>
      </c>
      <c r="J13" s="1587">
        <f t="shared" si="0"/>
        <v>511596</v>
      </c>
      <c r="K13" s="1587">
        <f t="shared" si="0"/>
        <v>297</v>
      </c>
      <c r="L13" s="1587">
        <f t="shared" si="0"/>
        <v>132503</v>
      </c>
      <c r="M13" s="1575"/>
      <c r="N13" s="1576"/>
    </row>
    <row r="14" spans="1:14" ht="18" customHeight="1" thickTop="1" x14ac:dyDescent="0.2">
      <c r="A14" s="2216" t="s">
        <v>146</v>
      </c>
      <c r="B14" s="2217"/>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164660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42733546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4123032</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4857424</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92946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31137054</v>
      </c>
    </row>
    <row r="23" spans="1:14" ht="13.5" customHeight="1" thickBot="1" x14ac:dyDescent="0.25">
      <c r="A23" s="1426" t="s">
        <v>638</v>
      </c>
      <c r="B23" s="1429"/>
      <c r="C23" s="1575"/>
      <c r="D23" s="1575"/>
      <c r="E23" s="1575"/>
      <c r="F23" s="1575"/>
      <c r="G23" s="1575"/>
      <c r="H23" s="1575"/>
      <c r="I23" s="1575"/>
      <c r="J23" s="1575"/>
      <c r="K23" s="1575"/>
      <c r="L23" s="1575"/>
      <c r="M23" s="1594">
        <f>SUM(M15:M22)</f>
        <v>51878662</v>
      </c>
      <c r="N23" s="1594">
        <f>SUM(N21:N22)</f>
        <v>31230000</v>
      </c>
    </row>
    <row r="24" spans="1:14" ht="18" customHeight="1" thickTop="1" x14ac:dyDescent="0.2">
      <c r="A24" s="2218" t="s">
        <v>594</v>
      </c>
      <c r="B24" s="2219"/>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v>675513</v>
      </c>
      <c r="F27" s="1574"/>
      <c r="G27" s="1574">
        <v>17849</v>
      </c>
      <c r="H27" s="1574"/>
      <c r="I27" s="1574"/>
      <c r="J27" s="1574"/>
      <c r="K27" s="1574">
        <v>96</v>
      </c>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132503</v>
      </c>
      <c r="M33" s="1575"/>
      <c r="N33" s="1576"/>
    </row>
    <row r="34" spans="1:14" ht="13.5" customHeight="1" thickBot="1" x14ac:dyDescent="0.25">
      <c r="A34" s="1427" t="s">
        <v>649</v>
      </c>
      <c r="B34" s="1428"/>
      <c r="C34" s="1600">
        <f>SUM(C25:C33)</f>
        <v>0</v>
      </c>
      <c r="D34" s="1600">
        <f t="shared" ref="D34:K34" si="1">SUM(D25:D33)</f>
        <v>0</v>
      </c>
      <c r="E34" s="1600">
        <f t="shared" si="1"/>
        <v>675513</v>
      </c>
      <c r="F34" s="1600">
        <f t="shared" si="1"/>
        <v>0</v>
      </c>
      <c r="G34" s="1600">
        <f t="shared" si="1"/>
        <v>17849</v>
      </c>
      <c r="H34" s="1600">
        <f t="shared" si="1"/>
        <v>0</v>
      </c>
      <c r="I34" s="1600">
        <f t="shared" si="1"/>
        <v>0</v>
      </c>
      <c r="J34" s="1600">
        <f t="shared" si="1"/>
        <v>0</v>
      </c>
      <c r="K34" s="1600">
        <f t="shared" si="1"/>
        <v>96</v>
      </c>
      <c r="L34" s="1601">
        <f>SUM(L33)</f>
        <v>132503</v>
      </c>
      <c r="M34" s="1575"/>
      <c r="N34" s="1585"/>
    </row>
    <row r="35" spans="1:14" ht="18" customHeight="1" thickTop="1" x14ac:dyDescent="0.2">
      <c r="A35" s="2220" t="s">
        <v>526</v>
      </c>
      <c r="B35" s="2221"/>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31230000</v>
      </c>
    </row>
    <row r="37" spans="1:14" ht="13.5" thickBot="1" x14ac:dyDescent="0.25">
      <c r="A37" s="1426" t="s">
        <v>648</v>
      </c>
      <c r="B37" s="1429"/>
      <c r="C37" s="1582"/>
      <c r="D37" s="1582"/>
      <c r="E37" s="1582"/>
      <c r="F37" s="1582"/>
      <c r="G37" s="1582"/>
      <c r="H37" s="1582"/>
      <c r="I37" s="1582"/>
      <c r="J37" s="1582"/>
      <c r="K37" s="1582"/>
      <c r="L37" s="1585"/>
      <c r="M37" s="1575"/>
      <c r="N37" s="1594">
        <f>SUM(N36:N36)</f>
        <v>31230000</v>
      </c>
    </row>
    <row r="38" spans="1:14" s="307" customFormat="1" ht="13.5" customHeight="1" thickTop="1" x14ac:dyDescent="0.2">
      <c r="A38" s="438" t="s">
        <v>417</v>
      </c>
      <c r="B38" s="432">
        <v>714</v>
      </c>
      <c r="C38" s="1573"/>
      <c r="D38" s="1573"/>
      <c r="E38" s="1573"/>
      <c r="F38" s="1573"/>
      <c r="G38" s="1573">
        <v>132630</v>
      </c>
      <c r="H38" s="1573"/>
      <c r="I38" s="1573"/>
      <c r="J38" s="1574"/>
      <c r="K38" s="1573"/>
      <c r="L38" s="1586"/>
      <c r="M38" s="1604"/>
      <c r="N38" s="1604"/>
    </row>
    <row r="39" spans="1:14" s="307" customFormat="1" ht="13.5" customHeight="1" x14ac:dyDescent="0.2">
      <c r="A39" s="438" t="s">
        <v>339</v>
      </c>
      <c r="B39" s="432">
        <v>730</v>
      </c>
      <c r="C39" s="1573">
        <v>6006469</v>
      </c>
      <c r="D39" s="1573">
        <v>626497</v>
      </c>
      <c r="E39" s="1573">
        <v>92946</v>
      </c>
      <c r="F39" s="1573">
        <v>161050</v>
      </c>
      <c r="G39" s="1573">
        <v>-8148</v>
      </c>
      <c r="H39" s="1573">
        <v>1918538</v>
      </c>
      <c r="I39" s="1573">
        <v>808742</v>
      </c>
      <c r="J39" s="1574">
        <v>511596</v>
      </c>
      <c r="K39" s="1573">
        <v>201</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51878662</v>
      </c>
      <c r="N40" s="1604"/>
    </row>
    <row r="41" spans="1:14" ht="13.5" customHeight="1" thickBot="1" x14ac:dyDescent="0.25">
      <c r="A41" s="1426" t="s">
        <v>650</v>
      </c>
      <c r="B41" s="1405"/>
      <c r="C41" s="1594">
        <f>(SUM(C34,C37,C38,C39))</f>
        <v>6006469</v>
      </c>
      <c r="D41" s="1594">
        <f t="shared" ref="D41:L41" si="2">SUM(D34,D37,D38:D39)</f>
        <v>626497</v>
      </c>
      <c r="E41" s="1594">
        <f t="shared" si="2"/>
        <v>768459</v>
      </c>
      <c r="F41" s="1594">
        <f t="shared" si="2"/>
        <v>161050</v>
      </c>
      <c r="G41" s="1594">
        <f t="shared" si="2"/>
        <v>142331</v>
      </c>
      <c r="H41" s="1594">
        <f t="shared" si="2"/>
        <v>1918538</v>
      </c>
      <c r="I41" s="1594">
        <f t="shared" si="2"/>
        <v>808742</v>
      </c>
      <c r="J41" s="1594">
        <f t="shared" si="2"/>
        <v>511596</v>
      </c>
      <c r="K41" s="1594">
        <f t="shared" si="2"/>
        <v>297</v>
      </c>
      <c r="L41" s="1594">
        <f t="shared" si="2"/>
        <v>132503</v>
      </c>
      <c r="M41" s="1594">
        <f>SUM(M40)</f>
        <v>51878662</v>
      </c>
      <c r="N41" s="1594">
        <f>SUM(N37)</f>
        <v>31230000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1165</v>
      </c>
      <c r="B3" s="2243"/>
      <c r="C3" s="1311"/>
      <c r="D3" s="1312"/>
      <c r="E3" s="1312"/>
      <c r="F3" s="1312"/>
      <c r="G3" s="1312"/>
      <c r="H3" s="1312"/>
      <c r="I3" s="1312"/>
      <c r="J3" s="1312"/>
      <c r="K3" s="1313"/>
      <c r="L3" s="446"/>
    </row>
    <row r="4" spans="1:13" ht="15.75" customHeight="1" x14ac:dyDescent="0.2">
      <c r="A4" s="1537" t="s">
        <v>1482</v>
      </c>
      <c r="B4" s="1538">
        <v>1000</v>
      </c>
      <c r="C4" s="1606">
        <f>'Revenues 9-14'!C109</f>
        <v>7473013</v>
      </c>
      <c r="D4" s="1606">
        <f>'Revenues 9-14'!D109</f>
        <v>904396</v>
      </c>
      <c r="E4" s="1606">
        <f>'Revenues 9-14'!E109</f>
        <v>2182919</v>
      </c>
      <c r="F4" s="1606">
        <f>'Revenues 9-14'!F109</f>
        <v>353383</v>
      </c>
      <c r="G4" s="1606">
        <f>'Revenues 9-14'!G109</f>
        <v>416542</v>
      </c>
      <c r="H4" s="1606">
        <f>'Revenues 9-14'!H109</f>
        <v>208484</v>
      </c>
      <c r="I4" s="1606">
        <f>'Revenues 9-14'!I109</f>
        <v>87760</v>
      </c>
      <c r="J4" s="1606">
        <f>'Revenues 9-14'!J109</f>
        <v>248272</v>
      </c>
      <c r="K4" s="1606">
        <f>'Revenues 9-14'!K109</f>
        <v>14</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4537047</v>
      </c>
      <c r="D6" s="1607">
        <f>'Revenues 9-14'!D170</f>
        <v>50000</v>
      </c>
      <c r="E6" s="1607">
        <f>'Revenues 9-14'!E170</f>
        <v>0</v>
      </c>
      <c r="F6" s="1607">
        <f>'Revenues 9-14'!F170</f>
        <v>446726</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1042623</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13052683</v>
      </c>
      <c r="D8" s="1594">
        <f t="shared" ref="D8:K8" si="0">SUM(D4:D7)</f>
        <v>954396</v>
      </c>
      <c r="E8" s="1594">
        <f t="shared" si="0"/>
        <v>2182919</v>
      </c>
      <c r="F8" s="1594">
        <f t="shared" si="0"/>
        <v>800109</v>
      </c>
      <c r="G8" s="1594">
        <f t="shared" si="0"/>
        <v>416542</v>
      </c>
      <c r="H8" s="1594">
        <f t="shared" si="0"/>
        <v>208484</v>
      </c>
      <c r="I8" s="1594">
        <f t="shared" si="0"/>
        <v>87760</v>
      </c>
      <c r="J8" s="1594">
        <f t="shared" si="0"/>
        <v>248272</v>
      </c>
      <c r="K8" s="1594">
        <f t="shared" si="0"/>
        <v>14</v>
      </c>
      <c r="L8" s="325"/>
    </row>
    <row r="9" spans="1:13" ht="15.75" thickTop="1" x14ac:dyDescent="0.2">
      <c r="A9" s="449" t="s">
        <v>1634</v>
      </c>
      <c r="B9" s="450">
        <v>3998</v>
      </c>
      <c r="C9" s="1586">
        <v>5397482</v>
      </c>
      <c r="D9" s="1613"/>
      <c r="E9" s="1586"/>
      <c r="F9" s="1586"/>
      <c r="G9" s="1614"/>
      <c r="H9" s="1586"/>
      <c r="I9" s="1609" t="s">
        <v>1159</v>
      </c>
      <c r="J9" s="1583"/>
      <c r="K9" s="1586"/>
      <c r="L9" s="325"/>
    </row>
    <row r="10" spans="1:13" s="452" customFormat="1" ht="13.5" thickBot="1" x14ac:dyDescent="0.25">
      <c r="A10" s="1426" t="s">
        <v>1163</v>
      </c>
      <c r="B10" s="1407"/>
      <c r="C10" s="1594">
        <f>SUM(C8:C9)</f>
        <v>18450165</v>
      </c>
      <c r="D10" s="1594">
        <f t="shared" ref="D10:K10" si="1">SUM(D8:D9)</f>
        <v>954396</v>
      </c>
      <c r="E10" s="1594">
        <f t="shared" si="1"/>
        <v>2182919</v>
      </c>
      <c r="F10" s="1594">
        <f t="shared" si="1"/>
        <v>800109</v>
      </c>
      <c r="G10" s="1594">
        <f t="shared" si="1"/>
        <v>416542</v>
      </c>
      <c r="H10" s="1594">
        <f t="shared" si="1"/>
        <v>208484</v>
      </c>
      <c r="I10" s="1594">
        <f t="shared" si="1"/>
        <v>87760</v>
      </c>
      <c r="J10" s="1594">
        <f t="shared" si="1"/>
        <v>248272</v>
      </c>
      <c r="K10" s="1594">
        <f t="shared" si="1"/>
        <v>14</v>
      </c>
      <c r="L10" s="451"/>
    </row>
    <row r="11" spans="1:13" s="452" customFormat="1" ht="16.7" customHeight="1" thickTop="1" x14ac:dyDescent="0.2">
      <c r="A11" s="2216" t="s">
        <v>1166</v>
      </c>
      <c r="B11" s="2217"/>
      <c r="C11" s="1602"/>
      <c r="D11" s="1603"/>
      <c r="E11" s="1603"/>
      <c r="F11" s="1603"/>
      <c r="G11" s="1603"/>
      <c r="H11" s="1603"/>
      <c r="I11" s="1603"/>
      <c r="J11" s="1603"/>
      <c r="K11" s="1615"/>
      <c r="L11" s="451"/>
    </row>
    <row r="12" spans="1:13" ht="15.75" customHeight="1" x14ac:dyDescent="0.2">
      <c r="A12" s="1314" t="s">
        <v>453</v>
      </c>
      <c r="B12" s="1316">
        <v>1000</v>
      </c>
      <c r="C12" s="1606">
        <f>'Expenditures 15-22'!K33</f>
        <v>7759377</v>
      </c>
      <c r="D12" s="1616" t="s">
        <v>1159</v>
      </c>
      <c r="E12" s="1575" t="s">
        <v>1159</v>
      </c>
      <c r="F12" s="1575" t="s">
        <v>1159</v>
      </c>
      <c r="G12" s="1606">
        <f>'Expenditures 15-22'!K229</f>
        <v>177908</v>
      </c>
      <c r="H12" s="1617"/>
      <c r="I12" s="1575" t="s">
        <v>1159</v>
      </c>
      <c r="J12" s="1575" t="s">
        <v>1159</v>
      </c>
      <c r="K12" s="1617" t="s">
        <v>1159</v>
      </c>
      <c r="L12" s="325"/>
    </row>
    <row r="13" spans="1:13" ht="15.75" customHeight="1" x14ac:dyDescent="0.2">
      <c r="A13" s="1314" t="s">
        <v>454</v>
      </c>
      <c r="B13" s="1316">
        <v>2000</v>
      </c>
      <c r="C13" s="1607">
        <f>'Expenditures 15-22'!K74</f>
        <v>3495990</v>
      </c>
      <c r="D13" s="1607">
        <f>'Expenditures 15-22'!K129</f>
        <v>906916</v>
      </c>
      <c r="E13" s="1576" t="s">
        <v>1159</v>
      </c>
      <c r="F13" s="1607">
        <f>'Expenditures 15-22'!K184</f>
        <v>821817</v>
      </c>
      <c r="G13" s="1607">
        <f>'Expenditures 15-22'!K279</f>
        <v>219571</v>
      </c>
      <c r="H13" s="1607">
        <f>'Expenditures 15-22'!K303</f>
        <v>11183128</v>
      </c>
      <c r="I13" s="1575" t="s">
        <v>1159</v>
      </c>
      <c r="J13" s="1607">
        <f>'Expenditures 15-22'!K330</f>
        <v>266325</v>
      </c>
      <c r="K13" s="1618">
        <f>'Expenditures 15-22'!K352</f>
        <v>0</v>
      </c>
      <c r="L13" s="325"/>
    </row>
    <row r="14" spans="1:13" ht="15.75" customHeight="1" x14ac:dyDescent="0.2">
      <c r="A14" s="1314" t="s">
        <v>446</v>
      </c>
      <c r="B14" s="1316">
        <v>3000</v>
      </c>
      <c r="C14" s="1607">
        <f>'Expenditures 15-22'!K75</f>
        <v>5520</v>
      </c>
      <c r="D14" s="1607">
        <f>'Expenditures 15-22'!K130</f>
        <v>0</v>
      </c>
      <c r="E14" s="1616" t="s">
        <v>1159</v>
      </c>
      <c r="F14" s="1607">
        <f>'Expenditures 15-22'!K185</f>
        <v>0</v>
      </c>
      <c r="G14" s="1607">
        <f>'Expenditures 15-22'!K280</f>
        <v>63</v>
      </c>
      <c r="H14" s="1612"/>
      <c r="I14" s="1575" t="s">
        <v>1159</v>
      </c>
      <c r="J14" s="1575" t="s">
        <v>1159</v>
      </c>
      <c r="K14" s="1612" t="s">
        <v>1159</v>
      </c>
      <c r="L14" s="325"/>
    </row>
    <row r="15" spans="1:13" ht="15.75" customHeight="1" x14ac:dyDescent="0.2">
      <c r="A15" s="1314" t="s">
        <v>107</v>
      </c>
      <c r="B15" s="1316">
        <v>4000</v>
      </c>
      <c r="C15" s="1607">
        <f>'Expenditures 15-22'!K102</f>
        <v>923977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2178989</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12184864</v>
      </c>
      <c r="D17" s="1594">
        <f t="shared" si="2"/>
        <v>906916</v>
      </c>
      <c r="E17" s="1594">
        <f t="shared" si="2"/>
        <v>2178989</v>
      </c>
      <c r="F17" s="1594">
        <f t="shared" si="2"/>
        <v>821817</v>
      </c>
      <c r="G17" s="1594">
        <f t="shared" si="2"/>
        <v>397542</v>
      </c>
      <c r="H17" s="1594">
        <f t="shared" si="2"/>
        <v>11183128</v>
      </c>
      <c r="I17" s="1575"/>
      <c r="J17" s="1594">
        <f>SUM(J12:J16)</f>
        <v>266325</v>
      </c>
      <c r="K17" s="1594">
        <f>SUM(K12:K16)</f>
        <v>0</v>
      </c>
      <c r="L17" s="325"/>
    </row>
    <row r="18" spans="1:12" ht="15" customHeight="1" thickTop="1" x14ac:dyDescent="0.2">
      <c r="A18" s="1430" t="s">
        <v>1635</v>
      </c>
      <c r="B18" s="1431">
        <v>4180</v>
      </c>
      <c r="C18" s="1606">
        <f t="shared" ref="C18:H18" si="3">C9</f>
        <v>5397482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17582346</v>
      </c>
      <c r="D19" s="1594">
        <f t="shared" si="4"/>
        <v>906916</v>
      </c>
      <c r="E19" s="1594">
        <f t="shared" si="4"/>
        <v>2178989</v>
      </c>
      <c r="F19" s="1594">
        <f t="shared" si="4"/>
        <v>821817</v>
      </c>
      <c r="G19" s="1594">
        <f t="shared" si="4"/>
        <v>397542</v>
      </c>
      <c r="H19" s="1594">
        <f t="shared" si="4"/>
        <v>11183128</v>
      </c>
      <c r="I19" s="1575"/>
      <c r="J19" s="1594">
        <f>SUM(J17:J18)</f>
        <v>266325</v>
      </c>
      <c r="K19" s="1594">
        <f>SUM(K17:K18)</f>
        <v>0</v>
      </c>
      <c r="L19" s="325"/>
    </row>
    <row r="20" spans="1:12" ht="16.5" thickTop="1" thickBot="1" x14ac:dyDescent="0.25">
      <c r="A20" s="2232" t="s">
        <v>1636</v>
      </c>
      <c r="B20" s="2233"/>
      <c r="C20" s="1622">
        <f>C8-C17</f>
        <v>867819</v>
      </c>
      <c r="D20" s="1622">
        <f t="shared" ref="D20:K20" si="5">D8-D17</f>
        <v>47480</v>
      </c>
      <c r="E20" s="1622">
        <f t="shared" si="5"/>
        <v>3930</v>
      </c>
      <c r="F20" s="1622">
        <f t="shared" si="5"/>
        <v>-21708</v>
      </c>
      <c r="G20" s="1622">
        <f t="shared" si="5"/>
        <v>19000</v>
      </c>
      <c r="H20" s="1622">
        <f t="shared" si="5"/>
        <v>-10974644</v>
      </c>
      <c r="I20" s="1622">
        <f t="shared" si="5"/>
        <v>87760</v>
      </c>
      <c r="J20" s="1622">
        <f t="shared" si="5"/>
        <v>-18053</v>
      </c>
      <c r="K20" s="1622">
        <f t="shared" si="5"/>
        <v>14</v>
      </c>
      <c r="L20" s="325"/>
    </row>
    <row r="21" spans="1:12" ht="16.7" customHeight="1" thickTop="1" x14ac:dyDescent="0.2">
      <c r="A21" s="2244" t="s">
        <v>591</v>
      </c>
      <c r="B21" s="2245"/>
      <c r="C21" s="1602"/>
      <c r="D21" s="1603"/>
      <c r="E21" s="1603"/>
      <c r="F21" s="1603"/>
      <c r="G21" s="1603"/>
      <c r="H21" s="1603"/>
      <c r="I21" s="1603"/>
      <c r="J21" s="1603"/>
      <c r="K21" s="1615"/>
      <c r="L21" s="453"/>
    </row>
    <row r="22" spans="1:12" ht="15.75" customHeight="1" collapsed="1" x14ac:dyDescent="0.2">
      <c r="A22" s="2240" t="s">
        <v>592</v>
      </c>
      <c r="B22" s="2241"/>
      <c r="C22" s="1582"/>
      <c r="D22" s="1582"/>
      <c r="E22" s="1582"/>
      <c r="F22" s="1582"/>
      <c r="G22" s="1582"/>
      <c r="H22" s="1582"/>
      <c r="I22" s="1582"/>
      <c r="J22" s="1582"/>
      <c r="K22" s="1582"/>
      <c r="L22" s="325"/>
    </row>
    <row r="23" spans="1:12" s="433" customFormat="1" ht="15.75" customHeight="1" x14ac:dyDescent="0.2">
      <c r="A23" s="2236" t="s">
        <v>290</v>
      </c>
      <c r="B23" s="2237"/>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38" t="s">
        <v>974</v>
      </c>
      <c r="B32" s="2239"/>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6" t="s">
        <v>371</v>
      </c>
      <c r="B44" s="2247"/>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0" t="s">
        <v>108</v>
      </c>
      <c r="B45" s="2241"/>
      <c r="C45" s="1625"/>
      <c r="D45" s="1625"/>
      <c r="E45" s="1625"/>
      <c r="F45" s="1625"/>
      <c r="G45" s="1625"/>
      <c r="H45" s="1625"/>
      <c r="I45" s="1625"/>
      <c r="J45" s="1625"/>
      <c r="K45" s="1625"/>
      <c r="L45" s="325"/>
    </row>
    <row r="46" spans="1:12" s="433" customFormat="1" ht="15.75" customHeight="1" x14ac:dyDescent="0.2">
      <c r="A46" s="2248" t="s">
        <v>109</v>
      </c>
      <c r="B46" s="2249"/>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2" t="s">
        <v>437</v>
      </c>
      <c r="B76" s="2223"/>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4" t="s">
        <v>1167</v>
      </c>
      <c r="B77" s="2225"/>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8" t="s">
        <v>593</v>
      </c>
      <c r="B78" s="2229"/>
      <c r="C78" s="1629">
        <f t="shared" ref="C78:K78" si="9">C20+C77</f>
        <v>867819</v>
      </c>
      <c r="D78" s="1629">
        <f t="shared" si="9"/>
        <v>47480</v>
      </c>
      <c r="E78" s="1629">
        <f t="shared" si="9"/>
        <v>3930</v>
      </c>
      <c r="F78" s="1629">
        <f t="shared" si="9"/>
        <v>-21708</v>
      </c>
      <c r="G78" s="1629">
        <f t="shared" si="9"/>
        <v>19000</v>
      </c>
      <c r="H78" s="1629">
        <f t="shared" si="9"/>
        <v>-10974644</v>
      </c>
      <c r="I78" s="1629">
        <f t="shared" si="9"/>
        <v>87760</v>
      </c>
      <c r="J78" s="1629">
        <f t="shared" si="9"/>
        <v>-18053</v>
      </c>
      <c r="K78" s="1629">
        <f t="shared" si="9"/>
        <v>14</v>
      </c>
      <c r="L78" s="457"/>
    </row>
    <row r="79" spans="1:12" ht="13.5" thickTop="1" x14ac:dyDescent="0.2">
      <c r="A79" s="1844" t="str">
        <f>"Fund Balances - July 1, "&amp;'AFR20'!E2-1</f>
        <v>Fund Balances - July 1, 2019</v>
      </c>
      <c r="B79" s="458"/>
      <c r="C79" s="1583">
        <v>5138650</v>
      </c>
      <c r="D79" s="1630">
        <v>579017</v>
      </c>
      <c r="E79" s="1630">
        <v>89016</v>
      </c>
      <c r="F79" s="1630">
        <v>182758</v>
      </c>
      <c r="G79" s="1630">
        <v>105482</v>
      </c>
      <c r="H79" s="1630">
        <v>12893182</v>
      </c>
      <c r="I79" s="1630">
        <v>720982</v>
      </c>
      <c r="J79" s="1630">
        <v>529649</v>
      </c>
      <c r="K79" s="1630">
        <v>187</v>
      </c>
      <c r="L79" s="325"/>
    </row>
    <row r="80" spans="1:12" x14ac:dyDescent="0.2">
      <c r="A80" s="2234" t="s">
        <v>1769</v>
      </c>
      <c r="B80" s="2235"/>
      <c r="C80" s="1574"/>
      <c r="D80" s="1574"/>
      <c r="E80" s="1574"/>
      <c r="F80" s="1574"/>
      <c r="G80" s="1574"/>
      <c r="H80" s="1574"/>
      <c r="I80" s="1574"/>
      <c r="J80" s="1574"/>
      <c r="K80" s="1574"/>
      <c r="L80" s="325"/>
    </row>
    <row r="81" spans="1:12" ht="13.5" thickBot="1" x14ac:dyDescent="0.25">
      <c r="A81" s="2226" t="str">
        <f>"Fund Balances - June 30, "&amp;'AFR20'!E2</f>
        <v>Fund Balances - June 30, 2020</v>
      </c>
      <c r="B81" s="2227"/>
      <c r="C81" s="1594">
        <f>(SUM(C78:C80))</f>
        <v>6006469</v>
      </c>
      <c r="D81" s="1594">
        <f>SUM(D78:D80)</f>
        <v>626497</v>
      </c>
      <c r="E81" s="1594">
        <f t="shared" ref="E81:K81" si="10">SUM(E78:E80)</f>
        <v>92946</v>
      </c>
      <c r="F81" s="1594">
        <f t="shared" si="10"/>
        <v>161050</v>
      </c>
      <c r="G81" s="1594">
        <f t="shared" si="10"/>
        <v>124482</v>
      </c>
      <c r="H81" s="1594">
        <f t="shared" si="10"/>
        <v>1918538</v>
      </c>
      <c r="I81" s="1594">
        <f t="shared" si="10"/>
        <v>808742</v>
      </c>
      <c r="J81" s="1594">
        <f t="shared" si="10"/>
        <v>511596</v>
      </c>
      <c r="K81" s="1594">
        <f t="shared" si="10"/>
        <v>201</v>
      </c>
      <c r="L81" s="325"/>
    </row>
    <row r="82" spans="1:12" ht="0.75" customHeight="1" thickTop="1" thickBot="1" x14ac:dyDescent="0.25">
      <c r="A82" s="459" t="s">
        <v>340</v>
      </c>
      <c r="B82" s="460"/>
      <c r="C82" s="461">
        <f>(C81-C79)</f>
        <v>867819</v>
      </c>
      <c r="D82" s="461">
        <f t="shared" ref="D82:K82" si="11">(D81-D79)</f>
        <v>47480</v>
      </c>
      <c r="E82" s="461">
        <f t="shared" si="11"/>
        <v>3930</v>
      </c>
      <c r="F82" s="461">
        <f t="shared" si="11"/>
        <v>-21708</v>
      </c>
      <c r="G82" s="461">
        <f t="shared" si="11"/>
        <v>19000</v>
      </c>
      <c r="H82" s="461">
        <f t="shared" si="11"/>
        <v>-10974644</v>
      </c>
      <c r="I82" s="461">
        <f t="shared" si="11"/>
        <v>87760</v>
      </c>
      <c r="J82" s="461">
        <f t="shared" si="11"/>
        <v>-18053</v>
      </c>
      <c r="K82" s="461">
        <f t="shared" si="11"/>
        <v>14</v>
      </c>
    </row>
    <row r="83" spans="1:12" ht="14.25" hidden="1" thickTop="1" thickBot="1" x14ac:dyDescent="0.25">
      <c r="A83" s="462" t="s">
        <v>341</v>
      </c>
      <c r="B83" s="428"/>
      <c r="C83" s="463">
        <f>C82/C81</f>
        <v>0.14448072569757706</v>
      </c>
      <c r="D83" s="463">
        <f t="shared" ref="D83:K83" si="12">D82/D81</f>
        <v>7.5786476232128808E-2</v>
      </c>
      <c r="E83" s="463">
        <f t="shared" si="12"/>
        <v>4.2282615712349106E-2</v>
      </c>
      <c r="F83" s="463">
        <f t="shared" si="12"/>
        <v>-0.13479043775225086</v>
      </c>
      <c r="G83" s="463">
        <f t="shared" si="12"/>
        <v>0.15263250911778409</v>
      </c>
      <c r="H83" s="463">
        <f t="shared" si="12"/>
        <v>-5.7203161991057776</v>
      </c>
      <c r="I83" s="463">
        <f t="shared" si="12"/>
        <v>0.10851421095973747</v>
      </c>
      <c r="J83" s="463">
        <f t="shared" si="12"/>
        <v>-3.5287609754571965E-2</v>
      </c>
      <c r="K83" s="463">
        <f t="shared" si="12"/>
        <v>6.965174129353234E-2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9" activePane="bottomLeft" state="frozen"/>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1776</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6339939</v>
      </c>
      <c r="D5" s="1586">
        <v>868485</v>
      </c>
      <c r="E5" s="1573">
        <v>2160335</v>
      </c>
      <c r="F5" s="1631">
        <v>347394</v>
      </c>
      <c r="G5" s="1573">
        <v>182352</v>
      </c>
      <c r="H5" s="1573"/>
      <c r="I5" s="1573">
        <v>86850</v>
      </c>
      <c r="J5" s="1574">
        <v>245666</v>
      </c>
      <c r="K5" s="1573"/>
    </row>
    <row r="6" spans="1:12" ht="15" x14ac:dyDescent="0.2">
      <c r="A6" s="427" t="s">
        <v>1643</v>
      </c>
      <c r="B6" s="429">
        <v>1130</v>
      </c>
      <c r="C6" s="1573">
        <v>79475</v>
      </c>
      <c r="D6" s="1573"/>
      <c r="E6" s="1580"/>
      <c r="F6" s="1580"/>
      <c r="G6" s="1575"/>
      <c r="H6" s="1575"/>
      <c r="I6" s="1575"/>
      <c r="J6" s="1575"/>
      <c r="K6" s="1575"/>
    </row>
    <row r="7" spans="1:12" x14ac:dyDescent="0.2">
      <c r="A7" s="427" t="s">
        <v>110</v>
      </c>
      <c r="B7" s="471">
        <v>1140</v>
      </c>
      <c r="C7" s="1573">
        <v>65486</v>
      </c>
      <c r="D7" s="1573"/>
      <c r="E7" s="1575"/>
      <c r="F7" s="1574"/>
      <c r="G7" s="1574"/>
      <c r="H7" s="1574"/>
      <c r="I7" s="1575"/>
      <c r="J7" s="1575"/>
      <c r="K7" s="1575"/>
    </row>
    <row r="8" spans="1:12" x14ac:dyDescent="0.2">
      <c r="A8" s="427" t="s">
        <v>410</v>
      </c>
      <c r="B8" s="429">
        <v>1150</v>
      </c>
      <c r="C8" s="1580"/>
      <c r="D8" s="1580"/>
      <c r="E8" s="1582"/>
      <c r="F8" s="1582"/>
      <c r="G8" s="1586">
        <v>218890</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6484900</v>
      </c>
      <c r="D12" s="1633">
        <f t="shared" si="0"/>
        <v>868485</v>
      </c>
      <c r="E12" s="1633">
        <f t="shared" si="0"/>
        <v>2160335</v>
      </c>
      <c r="F12" s="1633">
        <f t="shared" si="0"/>
        <v>347394</v>
      </c>
      <c r="G12" s="1633">
        <f t="shared" si="0"/>
        <v>401242</v>
      </c>
      <c r="H12" s="1633">
        <f t="shared" si="0"/>
        <v>0</v>
      </c>
      <c r="I12" s="1633">
        <f t="shared" si="0"/>
        <v>86850</v>
      </c>
      <c r="J12" s="1633">
        <f t="shared" si="0"/>
        <v>245666</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306114</v>
      </c>
      <c r="D16" s="1573"/>
      <c r="E16" s="1573"/>
      <c r="F16" s="1573"/>
      <c r="G16" s="1573">
        <v>11103</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306114</v>
      </c>
      <c r="D18" s="1635">
        <f t="shared" ref="D18:K18" si="1">SUM(D14:D17)</f>
        <v>0</v>
      </c>
      <c r="E18" s="1635">
        <f t="shared" si="1"/>
        <v>0</v>
      </c>
      <c r="F18" s="1635">
        <f t="shared" si="1"/>
        <v>0</v>
      </c>
      <c r="G18" s="1635">
        <f t="shared" si="1"/>
        <v>11103</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72220</v>
      </c>
      <c r="D65" s="1573">
        <v>9100</v>
      </c>
      <c r="E65" s="1573">
        <v>22584</v>
      </c>
      <c r="F65" s="1574">
        <v>3640</v>
      </c>
      <c r="G65" s="1573">
        <v>4197</v>
      </c>
      <c r="H65" s="1573">
        <v>200187</v>
      </c>
      <c r="I65" s="1573">
        <v>910</v>
      </c>
      <c r="J65" s="1574">
        <v>2606</v>
      </c>
      <c r="K65" s="1573">
        <v>14</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72220</v>
      </c>
      <c r="D67" s="1594">
        <f t="shared" ref="D67:K67" si="2">SUM(D65:D66)</f>
        <v>9100</v>
      </c>
      <c r="E67" s="1594">
        <f t="shared" si="2"/>
        <v>22584</v>
      </c>
      <c r="F67" s="1594">
        <f t="shared" si="2"/>
        <v>3640</v>
      </c>
      <c r="G67" s="1594">
        <f t="shared" si="2"/>
        <v>4197</v>
      </c>
      <c r="H67" s="1594">
        <f t="shared" si="2"/>
        <v>200187</v>
      </c>
      <c r="I67" s="1594">
        <f t="shared" si="2"/>
        <v>910</v>
      </c>
      <c r="J67" s="1594">
        <f t="shared" si="2"/>
        <v>2606</v>
      </c>
      <c r="K67" s="1594">
        <f t="shared" si="2"/>
        <v>14</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150005</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1525</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51</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151581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54284</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4913</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59197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100751</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100751</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v>7200</v>
      </c>
      <c r="E95" s="1617"/>
      <c r="F95" s="1617"/>
      <c r="G95" s="1617"/>
      <c r="H95" s="1617"/>
      <c r="I95" s="1617"/>
      <c r="J95" s="1617"/>
      <c r="K95" s="1617"/>
    </row>
    <row r="96" spans="1:11" ht="12.75" customHeight="1" x14ac:dyDescent="0.2">
      <c r="A96" s="427" t="s">
        <v>388</v>
      </c>
      <c r="B96" s="429">
        <v>1920</v>
      </c>
      <c r="C96" s="1632">
        <v>31756</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165271</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4606</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v>8297</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96617</v>
      </c>
      <c r="D107" s="1573">
        <v>19611</v>
      </c>
      <c r="E107" s="1573"/>
      <c r="F107" s="1573">
        <v>2349</v>
      </c>
      <c r="G107" s="1573"/>
      <c r="H107" s="1573"/>
      <c r="I107" s="1573"/>
      <c r="J107" s="1574"/>
      <c r="K107" s="1573"/>
    </row>
    <row r="108" spans="1:12" ht="12.75" customHeight="1" thickBot="1" x14ac:dyDescent="0.25">
      <c r="A108" s="1406" t="s">
        <v>484</v>
      </c>
      <c r="B108" s="1408"/>
      <c r="C108" s="1633">
        <f>SUM(C95:C107)</f>
        <v>298250</v>
      </c>
      <c r="D108" s="1633">
        <f t="shared" ref="D108:K108" si="3">SUM(D95:D107)</f>
        <v>26811</v>
      </c>
      <c r="E108" s="1633">
        <f t="shared" si="3"/>
        <v>0</v>
      </c>
      <c r="F108" s="1633">
        <f t="shared" si="3"/>
        <v>2349</v>
      </c>
      <c r="G108" s="1633">
        <f t="shared" si="3"/>
        <v>0</v>
      </c>
      <c r="H108" s="1633">
        <f t="shared" si="3"/>
        <v>8297</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7473013</v>
      </c>
      <c r="D109" s="1641">
        <f t="shared" si="4"/>
        <v>904396</v>
      </c>
      <c r="E109" s="1641">
        <f t="shared" si="4"/>
        <v>2182919</v>
      </c>
      <c r="F109" s="1641">
        <f t="shared" si="4"/>
        <v>353383</v>
      </c>
      <c r="G109" s="1641">
        <f t="shared" si="4"/>
        <v>416542</v>
      </c>
      <c r="H109" s="1641">
        <f t="shared" si="4"/>
        <v>208484</v>
      </c>
      <c r="I109" s="1641">
        <f t="shared" si="4"/>
        <v>87760</v>
      </c>
      <c r="J109" s="1641">
        <f t="shared" si="4"/>
        <v>248272</v>
      </c>
      <c r="K109" s="1629">
        <f t="shared" si="4"/>
        <v>14</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4276247</v>
      </c>
      <c r="D117" s="1586"/>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4276247</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189264</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22321</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211585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25684</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5256</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30940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3845</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14430</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259724</v>
      </c>
      <c r="G152" s="1574"/>
      <c r="H152" s="1575"/>
      <c r="I152" s="1575"/>
      <c r="J152" s="1575"/>
      <c r="K152" s="1575"/>
    </row>
    <row r="153" spans="1:11" ht="12.75" customHeight="1" x14ac:dyDescent="0.2">
      <c r="A153" s="427" t="s">
        <v>1048</v>
      </c>
      <c r="B153" s="478">
        <v>3510</v>
      </c>
      <c r="C153" s="1632"/>
      <c r="D153" s="1573"/>
      <c r="E153" s="1640"/>
      <c r="F153" s="1573">
        <v>187002</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446726</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0" t="s">
        <v>395</v>
      </c>
      <c r="B169" s="2251"/>
      <c r="C169" s="1658">
        <f t="shared" ref="C169:K169" si="6">SUM(C132,C141,C145,C146:C150,C155,C156:C167,C168)</f>
        <v>260800</v>
      </c>
      <c r="D169" s="1658">
        <f t="shared" si="6"/>
        <v>50000</v>
      </c>
      <c r="E169" s="1658">
        <f t="shared" si="6"/>
        <v>0</v>
      </c>
      <c r="F169" s="1658">
        <f t="shared" si="6"/>
        <v>446726</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4537047</v>
      </c>
      <c r="D170" s="1641">
        <f t="shared" si="7"/>
        <v>50000</v>
      </c>
      <c r="E170" s="1641">
        <f t="shared" si="7"/>
        <v>0</v>
      </c>
      <c r="F170" s="1641">
        <f t="shared" si="7"/>
        <v>446726</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2" t="s">
        <v>1475</v>
      </c>
      <c r="B172" s="2253"/>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6" t="s">
        <v>1646</v>
      </c>
      <c r="B175" s="2257"/>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0" t="s">
        <v>1645</v>
      </c>
      <c r="B176" s="2261"/>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8" t="s">
        <v>780</v>
      </c>
      <c r="B181" s="2259"/>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4" t="s">
        <v>1777</v>
      </c>
      <c r="B182" s="2255"/>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215139</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67212</v>
      </c>
      <c r="D193" s="1575"/>
      <c r="E193" s="1640"/>
      <c r="F193" s="1575"/>
      <c r="G193" s="1664"/>
      <c r="H193" s="1575"/>
      <c r="I193" s="1575"/>
      <c r="J193" s="1575"/>
      <c r="K193" s="1575"/>
    </row>
    <row r="194" spans="1:11" ht="12.75" customHeight="1" x14ac:dyDescent="0.2">
      <c r="A194" s="427" t="s">
        <v>1434</v>
      </c>
      <c r="B194" s="429">
        <v>4225</v>
      </c>
      <c r="C194" s="1632">
        <v>90654</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373005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273129</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273129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7240</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7240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306258</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306258</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60769</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4680</v>
      </c>
      <c r="D263" s="1651"/>
      <c r="E263" s="1575"/>
      <c r="F263" s="1651"/>
      <c r="G263" s="1651"/>
      <c r="H263" s="1575"/>
      <c r="I263" s="1575"/>
      <c r="J263" s="1575"/>
      <c r="K263" s="1575"/>
    </row>
    <row r="264" spans="1:11" ht="12.75" customHeight="1" thickTop="1" thickBot="1" x14ac:dyDescent="0.25">
      <c r="A264" s="427" t="s">
        <v>374</v>
      </c>
      <c r="B264" s="429">
        <v>4992</v>
      </c>
      <c r="C264" s="1650">
        <v>17542</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1042623</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1042623</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13052683</v>
      </c>
      <c r="D268" s="1641">
        <f t="shared" si="12"/>
        <v>954396</v>
      </c>
      <c r="E268" s="1641">
        <f t="shared" si="12"/>
        <v>2182919</v>
      </c>
      <c r="F268" s="1641">
        <f t="shared" si="12"/>
        <v>800109</v>
      </c>
      <c r="G268" s="1641">
        <f t="shared" si="12"/>
        <v>416542</v>
      </c>
      <c r="H268" s="1641">
        <f t="shared" si="12"/>
        <v>208484</v>
      </c>
      <c r="I268" s="1641">
        <f t="shared" si="12"/>
        <v>87760</v>
      </c>
      <c r="J268" s="1641">
        <f t="shared" si="12"/>
        <v>248272</v>
      </c>
      <c r="K268" s="1629">
        <f t="shared" si="12"/>
        <v>14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79"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3645933</v>
      </c>
      <c r="D5" s="1573">
        <v>941549</v>
      </c>
      <c r="E5" s="1573">
        <v>25664</v>
      </c>
      <c r="F5" s="1573">
        <v>114058</v>
      </c>
      <c r="G5" s="1573">
        <v>1566</v>
      </c>
      <c r="H5" s="1573"/>
      <c r="I5" s="1574"/>
      <c r="J5" s="1574"/>
      <c r="K5" s="1672">
        <f>SUM(C5:J5)</f>
        <v>4728770</v>
      </c>
      <c r="L5" s="1573">
        <v>4922083</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1590067</v>
      </c>
      <c r="D8" s="1573">
        <v>502292</v>
      </c>
      <c r="E8" s="1573">
        <v>431</v>
      </c>
      <c r="F8" s="1573">
        <v>17565</v>
      </c>
      <c r="G8" s="1573"/>
      <c r="H8" s="1573"/>
      <c r="I8" s="1574"/>
      <c r="J8" s="1574"/>
      <c r="K8" s="1672">
        <f t="shared" si="0"/>
        <v>2110355</v>
      </c>
      <c r="L8" s="1573">
        <v>2147239</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41467</v>
      </c>
      <c r="D10" s="1573">
        <v>10899</v>
      </c>
      <c r="E10" s="1573">
        <v>2778</v>
      </c>
      <c r="F10" s="1573">
        <v>117351</v>
      </c>
      <c r="G10" s="1573"/>
      <c r="H10" s="1573"/>
      <c r="I10" s="1574"/>
      <c r="J10" s="1574"/>
      <c r="K10" s="1672">
        <f t="shared" si="0"/>
        <v>172495</v>
      </c>
      <c r="L10" s="1573">
        <v>181215</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238386</v>
      </c>
      <c r="D13" s="1573">
        <v>57522</v>
      </c>
      <c r="E13" s="1573">
        <v>23417</v>
      </c>
      <c r="F13" s="1573">
        <v>26480</v>
      </c>
      <c r="G13" s="1573"/>
      <c r="H13" s="1573"/>
      <c r="I13" s="1574"/>
      <c r="J13" s="1574"/>
      <c r="K13" s="1672">
        <f t="shared" si="0"/>
        <v>345805</v>
      </c>
      <c r="L13" s="1573">
        <v>435613</v>
      </c>
    </row>
    <row r="14" spans="1:14" x14ac:dyDescent="0.2">
      <c r="A14" s="1274" t="s">
        <v>957</v>
      </c>
      <c r="B14" s="503">
        <v>1500</v>
      </c>
      <c r="C14" s="1573">
        <v>163128</v>
      </c>
      <c r="D14" s="1573">
        <v>14604</v>
      </c>
      <c r="E14" s="1573">
        <v>42483</v>
      </c>
      <c r="F14" s="1573">
        <v>51124</v>
      </c>
      <c r="G14" s="1573">
        <v>11692</v>
      </c>
      <c r="H14" s="1573"/>
      <c r="I14" s="1574"/>
      <c r="J14" s="1574"/>
      <c r="K14" s="1672">
        <f t="shared" si="0"/>
        <v>283031</v>
      </c>
      <c r="L14" s="1573">
        <v>343725</v>
      </c>
    </row>
    <row r="15" spans="1:14" x14ac:dyDescent="0.2">
      <c r="A15" s="1274" t="s">
        <v>958</v>
      </c>
      <c r="B15" s="503">
        <v>1600</v>
      </c>
      <c r="C15" s="1573">
        <v>18585</v>
      </c>
      <c r="D15" s="1573">
        <v>1737</v>
      </c>
      <c r="E15" s="1573"/>
      <c r="F15" s="1573"/>
      <c r="G15" s="1573"/>
      <c r="H15" s="1573"/>
      <c r="I15" s="1574"/>
      <c r="J15" s="1574"/>
      <c r="K15" s="1672">
        <f t="shared" si="0"/>
        <v>20322</v>
      </c>
      <c r="L15" s="1573">
        <v>20359</v>
      </c>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69332</v>
      </c>
      <c r="D17" s="1574">
        <v>20752</v>
      </c>
      <c r="E17" s="1574">
        <v>4106</v>
      </c>
      <c r="F17" s="1574">
        <v>4339</v>
      </c>
      <c r="G17" s="1574"/>
      <c r="H17" s="1574"/>
      <c r="I17" s="1574"/>
      <c r="J17" s="1574"/>
      <c r="K17" s="1672">
        <f t="shared" si="0"/>
        <v>98529</v>
      </c>
      <c r="L17" s="1573">
        <v>59102</v>
      </c>
    </row>
    <row r="18" spans="1:12" x14ac:dyDescent="0.2">
      <c r="A18" s="1274" t="s">
        <v>1078</v>
      </c>
      <c r="B18" s="503">
        <v>1800</v>
      </c>
      <c r="C18" s="1573"/>
      <c r="D18" s="1573"/>
      <c r="E18" s="1573"/>
      <c r="F18" s="1573">
        <v>70</v>
      </c>
      <c r="G18" s="1573"/>
      <c r="H18" s="1573"/>
      <c r="I18" s="1574"/>
      <c r="J18" s="1574"/>
      <c r="K18" s="1672">
        <f t="shared" si="0"/>
        <v>70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5766898</v>
      </c>
      <c r="D33" s="1674">
        <f t="shared" ref="D33:L33" si="1">SUM(D5:D32)</f>
        <v>1549355</v>
      </c>
      <c r="E33" s="1674">
        <f t="shared" si="1"/>
        <v>98879</v>
      </c>
      <c r="F33" s="1674">
        <f t="shared" si="1"/>
        <v>330987</v>
      </c>
      <c r="G33" s="1674">
        <f t="shared" si="1"/>
        <v>13258</v>
      </c>
      <c r="H33" s="1674">
        <f t="shared" si="1"/>
        <v>0</v>
      </c>
      <c r="I33" s="1674">
        <f t="shared" si="1"/>
        <v>0</v>
      </c>
      <c r="J33" s="1674">
        <f t="shared" si="1"/>
        <v>0</v>
      </c>
      <c r="K33" s="1674">
        <f t="shared" si="1"/>
        <v>7759377</v>
      </c>
      <c r="L33" s="1674">
        <f t="shared" si="1"/>
        <v>8109336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60378</v>
      </c>
      <c r="D36" s="1586">
        <v>14715</v>
      </c>
      <c r="E36" s="1586">
        <v>25437</v>
      </c>
      <c r="F36" s="1586">
        <v>52</v>
      </c>
      <c r="G36" s="1586"/>
      <c r="H36" s="1586"/>
      <c r="I36" s="1574"/>
      <c r="J36" s="1574"/>
      <c r="K36" s="1672">
        <f t="shared" ref="K36:K41" si="2">SUM(C36:J36)</f>
        <v>100582</v>
      </c>
      <c r="L36" s="1573">
        <v>184075</v>
      </c>
    </row>
    <row r="37" spans="1:14" x14ac:dyDescent="0.2">
      <c r="A37" s="1274" t="s">
        <v>1081</v>
      </c>
      <c r="B37" s="503">
        <v>2120</v>
      </c>
      <c r="C37" s="1573">
        <v>195163</v>
      </c>
      <c r="D37" s="1573">
        <v>48774</v>
      </c>
      <c r="E37" s="1573"/>
      <c r="F37" s="1573">
        <v>574</v>
      </c>
      <c r="G37" s="1573"/>
      <c r="H37" s="1573"/>
      <c r="I37" s="1574"/>
      <c r="J37" s="1574"/>
      <c r="K37" s="1672">
        <f t="shared" si="2"/>
        <v>244511</v>
      </c>
      <c r="L37" s="1573">
        <v>243639</v>
      </c>
    </row>
    <row r="38" spans="1:14" x14ac:dyDescent="0.2">
      <c r="A38" s="1274" t="s">
        <v>196</v>
      </c>
      <c r="B38" s="503">
        <v>2130</v>
      </c>
      <c r="C38" s="1573"/>
      <c r="D38" s="1573"/>
      <c r="E38" s="1573">
        <v>35991</v>
      </c>
      <c r="F38" s="1573">
        <v>4952</v>
      </c>
      <c r="G38" s="1573"/>
      <c r="H38" s="1573"/>
      <c r="I38" s="1574"/>
      <c r="J38" s="1574"/>
      <c r="K38" s="1672">
        <f t="shared" si="2"/>
        <v>40943</v>
      </c>
      <c r="L38" s="1573">
        <v>66500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255541</v>
      </c>
      <c r="D42" s="1674">
        <f t="shared" ref="D42:L42" si="3">SUM(D36:D41)</f>
        <v>63489</v>
      </c>
      <c r="E42" s="1674">
        <f t="shared" si="3"/>
        <v>61428</v>
      </c>
      <c r="F42" s="1674">
        <f t="shared" si="3"/>
        <v>5578</v>
      </c>
      <c r="G42" s="1674">
        <f t="shared" si="3"/>
        <v>0</v>
      </c>
      <c r="H42" s="1674">
        <f t="shared" si="3"/>
        <v>0</v>
      </c>
      <c r="I42" s="1674">
        <f t="shared" si="3"/>
        <v>0</v>
      </c>
      <c r="J42" s="1674">
        <f t="shared" si="3"/>
        <v>0</v>
      </c>
      <c r="K42" s="1674">
        <f t="shared" si="3"/>
        <v>386036</v>
      </c>
      <c r="L42" s="1674">
        <f t="shared" si="3"/>
        <v>494214</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200485</v>
      </c>
      <c r="D44" s="1586">
        <v>43320</v>
      </c>
      <c r="E44" s="1586">
        <v>128268</v>
      </c>
      <c r="F44" s="1586">
        <v>52605</v>
      </c>
      <c r="G44" s="1586">
        <v>100302</v>
      </c>
      <c r="H44" s="1586">
        <v>547</v>
      </c>
      <c r="I44" s="1574"/>
      <c r="J44" s="1574"/>
      <c r="K44" s="1678">
        <f>SUM(C44:J44)</f>
        <v>525527</v>
      </c>
      <c r="L44" s="1586">
        <v>585334</v>
      </c>
    </row>
    <row r="45" spans="1:14" x14ac:dyDescent="0.2">
      <c r="A45" s="1274" t="s">
        <v>810</v>
      </c>
      <c r="B45" s="503">
        <v>2220</v>
      </c>
      <c r="C45" s="1573">
        <v>87341</v>
      </c>
      <c r="D45" s="1573">
        <v>20345</v>
      </c>
      <c r="E45" s="1573"/>
      <c r="F45" s="1573">
        <v>19411</v>
      </c>
      <c r="G45" s="1573"/>
      <c r="H45" s="1573"/>
      <c r="I45" s="1574"/>
      <c r="J45" s="1574"/>
      <c r="K45" s="1678">
        <f>SUM(C45:J45)</f>
        <v>127097</v>
      </c>
      <c r="L45" s="1573">
        <v>122511</v>
      </c>
    </row>
    <row r="46" spans="1:14" x14ac:dyDescent="0.2">
      <c r="A46" s="1274" t="s">
        <v>811</v>
      </c>
      <c r="B46" s="503">
        <v>2230</v>
      </c>
      <c r="C46" s="1573"/>
      <c r="D46" s="1573"/>
      <c r="E46" s="1573"/>
      <c r="F46" s="1573"/>
      <c r="G46" s="1573"/>
      <c r="H46" s="1573"/>
      <c r="I46" s="1574"/>
      <c r="J46" s="1574"/>
      <c r="K46" s="1678">
        <f>SUM(C46:J46)</f>
        <v>0</v>
      </c>
      <c r="L46" s="1573">
        <v>6000</v>
      </c>
    </row>
    <row r="47" spans="1:14" ht="12.75" customHeight="1" thickBot="1" x14ac:dyDescent="0.25">
      <c r="A47" s="1380" t="s">
        <v>557</v>
      </c>
      <c r="B47" s="1381" t="s">
        <v>32</v>
      </c>
      <c r="C47" s="1674">
        <f>SUM(C44:C46)</f>
        <v>287826</v>
      </c>
      <c r="D47" s="1674">
        <f t="shared" ref="D47:K47" si="4">SUM(D44:D46)</f>
        <v>63665</v>
      </c>
      <c r="E47" s="1674">
        <f t="shared" si="4"/>
        <v>128268</v>
      </c>
      <c r="F47" s="1674">
        <f t="shared" si="4"/>
        <v>72016</v>
      </c>
      <c r="G47" s="1674">
        <f t="shared" si="4"/>
        <v>100302</v>
      </c>
      <c r="H47" s="1674">
        <f t="shared" si="4"/>
        <v>547</v>
      </c>
      <c r="I47" s="1674">
        <f t="shared" si="4"/>
        <v>0</v>
      </c>
      <c r="J47" s="1674">
        <f t="shared" si="4"/>
        <v>0</v>
      </c>
      <c r="K47" s="1674">
        <f t="shared" si="4"/>
        <v>652624</v>
      </c>
      <c r="L47" s="1674">
        <f>SUM(L44:L46)</f>
        <v>713845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3000</v>
      </c>
      <c r="D49" s="1586">
        <v>47288</v>
      </c>
      <c r="E49" s="1586">
        <v>48860</v>
      </c>
      <c r="F49" s="1586"/>
      <c r="G49" s="1586"/>
      <c r="H49" s="1586">
        <v>24428</v>
      </c>
      <c r="I49" s="1574"/>
      <c r="J49" s="1574"/>
      <c r="K49" s="1678">
        <f>SUM(C49:J49)</f>
        <v>123576</v>
      </c>
      <c r="L49" s="1586">
        <v>202400</v>
      </c>
    </row>
    <row r="50" spans="1:14" x14ac:dyDescent="0.2">
      <c r="A50" s="1274" t="s">
        <v>813</v>
      </c>
      <c r="B50" s="503">
        <v>2320</v>
      </c>
      <c r="C50" s="1573">
        <v>141644</v>
      </c>
      <c r="D50" s="1573">
        <v>23916</v>
      </c>
      <c r="E50" s="1573">
        <v>8473</v>
      </c>
      <c r="F50" s="1573">
        <v>21943</v>
      </c>
      <c r="G50" s="1573"/>
      <c r="H50" s="1573">
        <v>2677</v>
      </c>
      <c r="I50" s="1574"/>
      <c r="J50" s="1574"/>
      <c r="K50" s="1678">
        <f>SUM(C50:J50)</f>
        <v>198653</v>
      </c>
      <c r="L50" s="1573">
        <v>200030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144644</v>
      </c>
      <c r="D53" s="1674">
        <f t="shared" ref="D53:L53" si="5">SUM(D49:D52)</f>
        <v>71204</v>
      </c>
      <c r="E53" s="1674">
        <f t="shared" si="5"/>
        <v>57333</v>
      </c>
      <c r="F53" s="1674">
        <f t="shared" si="5"/>
        <v>21943</v>
      </c>
      <c r="G53" s="1674">
        <f t="shared" si="5"/>
        <v>0</v>
      </c>
      <c r="H53" s="1674">
        <f t="shared" si="5"/>
        <v>27105</v>
      </c>
      <c r="I53" s="1674">
        <f t="shared" si="5"/>
        <v>0</v>
      </c>
      <c r="J53" s="1674">
        <f t="shared" si="5"/>
        <v>0</v>
      </c>
      <c r="K53" s="1674">
        <f t="shared" si="5"/>
        <v>322229</v>
      </c>
      <c r="L53" s="1674">
        <f t="shared" si="5"/>
        <v>402430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545275</v>
      </c>
      <c r="D55" s="1586">
        <v>129855</v>
      </c>
      <c r="E55" s="1586">
        <v>54111</v>
      </c>
      <c r="F55" s="1586">
        <v>21559</v>
      </c>
      <c r="G55" s="1586">
        <v>3500</v>
      </c>
      <c r="H55" s="1586">
        <v>1097</v>
      </c>
      <c r="I55" s="1574"/>
      <c r="J55" s="1574"/>
      <c r="K55" s="1678">
        <f>SUM(C55:J55)</f>
        <v>755397</v>
      </c>
      <c r="L55" s="1586">
        <v>797247</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545275</v>
      </c>
      <c r="D57" s="1679">
        <f t="shared" ref="D57:K57" si="6">SUM(D55:D56)</f>
        <v>129855</v>
      </c>
      <c r="E57" s="1679">
        <f t="shared" si="6"/>
        <v>54111</v>
      </c>
      <c r="F57" s="1679">
        <f t="shared" si="6"/>
        <v>21559</v>
      </c>
      <c r="G57" s="1679">
        <f t="shared" si="6"/>
        <v>3500</v>
      </c>
      <c r="H57" s="1679">
        <f t="shared" si="6"/>
        <v>1097</v>
      </c>
      <c r="I57" s="1679">
        <f t="shared" si="6"/>
        <v>0</v>
      </c>
      <c r="J57" s="1679">
        <f t="shared" si="6"/>
        <v>0</v>
      </c>
      <c r="K57" s="1679">
        <f t="shared" si="6"/>
        <v>755397</v>
      </c>
      <c r="L57" s="1674">
        <f>SUM(L55:L56)</f>
        <v>797247</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157994</v>
      </c>
      <c r="D60" s="1573">
        <v>21583</v>
      </c>
      <c r="E60" s="1573"/>
      <c r="F60" s="1573">
        <v>3213</v>
      </c>
      <c r="G60" s="1573"/>
      <c r="H60" s="1573"/>
      <c r="I60" s="1574"/>
      <c r="J60" s="1574"/>
      <c r="K60" s="1678">
        <f t="shared" si="7"/>
        <v>182790</v>
      </c>
      <c r="L60" s="1573">
        <v>188598</v>
      </c>
      <c r="M60" s="501"/>
      <c r="N60" s="501"/>
    </row>
    <row r="61" spans="1:14" s="321" customFormat="1" x14ac:dyDescent="0.2">
      <c r="A61" s="1274" t="s">
        <v>195</v>
      </c>
      <c r="B61" s="503">
        <v>2540</v>
      </c>
      <c r="C61" s="1573">
        <v>494749</v>
      </c>
      <c r="D61" s="1573">
        <v>87479</v>
      </c>
      <c r="E61" s="1573">
        <v>13936</v>
      </c>
      <c r="F61" s="1573"/>
      <c r="G61" s="1573"/>
      <c r="H61" s="1573"/>
      <c r="I61" s="1574"/>
      <c r="J61" s="1574"/>
      <c r="K61" s="1678">
        <f t="shared" si="7"/>
        <v>596164</v>
      </c>
      <c r="L61" s="1573">
        <v>618856</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256552</v>
      </c>
      <c r="D63" s="1573">
        <v>91808</v>
      </c>
      <c r="E63" s="1573">
        <v>225500</v>
      </c>
      <c r="F63" s="1573">
        <v>14086</v>
      </c>
      <c r="G63" s="1573">
        <v>7851</v>
      </c>
      <c r="H63" s="1573"/>
      <c r="I63" s="1574"/>
      <c r="J63" s="1574"/>
      <c r="K63" s="1678">
        <f t="shared" si="7"/>
        <v>595797</v>
      </c>
      <c r="L63" s="1573">
        <v>665920</v>
      </c>
    </row>
    <row r="64" spans="1:14" s="501" customFormat="1" x14ac:dyDescent="0.2">
      <c r="A64" s="1279" t="s">
        <v>101</v>
      </c>
      <c r="B64" s="513">
        <v>2570</v>
      </c>
      <c r="C64" s="1586"/>
      <c r="D64" s="1586"/>
      <c r="E64" s="1586"/>
      <c r="F64" s="1586">
        <v>3000</v>
      </c>
      <c r="G64" s="1586"/>
      <c r="H64" s="1586"/>
      <c r="I64" s="1574"/>
      <c r="J64" s="1574"/>
      <c r="K64" s="1678">
        <f t="shared" si="7"/>
        <v>3000</v>
      </c>
      <c r="L64" s="1586">
        <v>10000</v>
      </c>
    </row>
    <row r="65" spans="1:14" s="321" customFormat="1" ht="12.75" customHeight="1" thickBot="1" x14ac:dyDescent="0.25">
      <c r="A65" s="1380" t="s">
        <v>714</v>
      </c>
      <c r="B65" s="1381" t="s">
        <v>35</v>
      </c>
      <c r="C65" s="1674">
        <f>SUM(C59:C64)</f>
        <v>909295</v>
      </c>
      <c r="D65" s="1674">
        <f t="shared" ref="D65:L65" si="8">SUM(D59:D64)</f>
        <v>200870</v>
      </c>
      <c r="E65" s="1674">
        <f t="shared" si="8"/>
        <v>239436</v>
      </c>
      <c r="F65" s="1674">
        <f t="shared" si="8"/>
        <v>20299</v>
      </c>
      <c r="G65" s="1674">
        <f t="shared" si="8"/>
        <v>7851</v>
      </c>
      <c r="H65" s="1674">
        <f t="shared" si="8"/>
        <v>0</v>
      </c>
      <c r="I65" s="1674">
        <f t="shared" si="8"/>
        <v>0</v>
      </c>
      <c r="J65" s="1674">
        <f t="shared" si="8"/>
        <v>0</v>
      </c>
      <c r="K65" s="1674">
        <f t="shared" si="8"/>
        <v>1377751</v>
      </c>
      <c r="L65" s="1674">
        <f t="shared" si="8"/>
        <v>1483374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v>1593</v>
      </c>
      <c r="D70" s="1573">
        <v>360</v>
      </c>
      <c r="E70" s="1573"/>
      <c r="F70" s="1573"/>
      <c r="G70" s="1573"/>
      <c r="H70" s="1573"/>
      <c r="I70" s="1574"/>
      <c r="J70" s="1574"/>
      <c r="K70" s="1678">
        <f>SUM(C70:J70)</f>
        <v>1953</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1593</v>
      </c>
      <c r="D72" s="1674">
        <f t="shared" ref="D72:K72" si="9">SUM(D67:D71)</f>
        <v>360</v>
      </c>
      <c r="E72" s="1674">
        <f t="shared" si="9"/>
        <v>0</v>
      </c>
      <c r="F72" s="1674">
        <f t="shared" si="9"/>
        <v>0</v>
      </c>
      <c r="G72" s="1674">
        <f t="shared" si="9"/>
        <v>0</v>
      </c>
      <c r="H72" s="1674">
        <f t="shared" si="9"/>
        <v>0</v>
      </c>
      <c r="I72" s="1674">
        <f t="shared" si="9"/>
        <v>0</v>
      </c>
      <c r="J72" s="1674">
        <f t="shared" si="9"/>
        <v>0</v>
      </c>
      <c r="K72" s="1674">
        <f t="shared" si="9"/>
        <v>1953</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v>500</v>
      </c>
      <c r="M73" s="501"/>
      <c r="N73" s="501"/>
    </row>
    <row r="74" spans="1:14" ht="12.75" customHeight="1" thickTop="1" thickBot="1" x14ac:dyDescent="0.25">
      <c r="A74" s="1380" t="s">
        <v>806</v>
      </c>
      <c r="B74" s="1384">
        <v>2000</v>
      </c>
      <c r="C74" s="1681">
        <f>SUM(C42,C47,C53,C57,C65,C72,C73)</f>
        <v>2144174</v>
      </c>
      <c r="D74" s="1681">
        <f t="shared" ref="D74:K74" si="10">SUM(D42,D47,D53,D57,D65,D72,D73)</f>
        <v>529443</v>
      </c>
      <c r="E74" s="1681">
        <f t="shared" si="10"/>
        <v>540576</v>
      </c>
      <c r="F74" s="1681">
        <f t="shared" si="10"/>
        <v>141395</v>
      </c>
      <c r="G74" s="1681">
        <f t="shared" si="10"/>
        <v>111653</v>
      </c>
      <c r="H74" s="1681">
        <f t="shared" si="10"/>
        <v>28749</v>
      </c>
      <c r="I74" s="1681">
        <f t="shared" si="10"/>
        <v>0</v>
      </c>
      <c r="J74" s="1681">
        <f t="shared" si="10"/>
        <v>0</v>
      </c>
      <c r="K74" s="1681">
        <f t="shared" si="10"/>
        <v>3495990</v>
      </c>
      <c r="L74" s="1681">
        <f>SUM(L42,L47,L53,L57,L65,L72,L73)</f>
        <v>3891610</v>
      </c>
    </row>
    <row r="75" spans="1:14" s="254" customFormat="1" ht="15.75" customHeight="1" thickTop="1" thickBot="1" x14ac:dyDescent="0.25">
      <c r="A75" s="1348" t="s">
        <v>47</v>
      </c>
      <c r="B75" s="1349" t="s">
        <v>571</v>
      </c>
      <c r="C75" s="1649">
        <v>4375</v>
      </c>
      <c r="D75" s="1649">
        <v>1145</v>
      </c>
      <c r="E75" s="1649"/>
      <c r="F75" s="1649"/>
      <c r="G75" s="1649"/>
      <c r="H75" s="1649"/>
      <c r="I75" s="1627"/>
      <c r="J75" s="1627"/>
      <c r="K75" s="1674">
        <f>SUM(C75:J75)</f>
        <v>5520</v>
      </c>
      <c r="L75" s="1651">
        <v>17355</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923977</v>
      </c>
      <c r="I86" s="1582"/>
      <c r="J86" s="1582"/>
      <c r="K86" s="1681">
        <f t="shared" ref="K86:K98" si="12">H86</f>
        <v>923977</v>
      </c>
      <c r="L86" s="1626">
        <v>1049200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v>8500</v>
      </c>
    </row>
    <row r="92" spans="1:12" ht="14.25" thickTop="1" thickBot="1" x14ac:dyDescent="0.25">
      <c r="A92" s="1386" t="s">
        <v>1543</v>
      </c>
      <c r="B92" s="1385">
        <v>4200</v>
      </c>
      <c r="C92" s="1673"/>
      <c r="D92" s="1673"/>
      <c r="E92" s="1684"/>
      <c r="F92" s="1673"/>
      <c r="G92" s="1673"/>
      <c r="H92" s="1674">
        <f>SUM(H85:H91)</f>
        <v>923977</v>
      </c>
      <c r="I92" s="1582"/>
      <c r="J92" s="1582"/>
      <c r="K92" s="1681">
        <f t="shared" si="12"/>
        <v>923977</v>
      </c>
      <c r="L92" s="1674">
        <f>SUM(L85:L91)</f>
        <v>1057700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923977</v>
      </c>
      <c r="I102" s="1582"/>
      <c r="J102" s="1582"/>
      <c r="K102" s="1681">
        <f>SUM(K84,K92,K100,K101)</f>
        <v>923977</v>
      </c>
      <c r="L102" s="1681">
        <f>SUM(L84,L92,L100,L101)</f>
        <v>1057700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15000</v>
      </c>
      <c r="M113" s="502"/>
      <c r="N113" s="502"/>
    </row>
    <row r="114" spans="1:14" ht="12.75" customHeight="1" thickTop="1" thickBot="1" x14ac:dyDescent="0.25">
      <c r="A114" s="1380" t="s">
        <v>48</v>
      </c>
      <c r="B114" s="1388"/>
      <c r="C114" s="1674">
        <f>SUM(C33,C74,C75,C102,C112,C113)</f>
        <v>7915447</v>
      </c>
      <c r="D114" s="1674">
        <f t="shared" ref="D114:K114" si="13">SUM(D33,D74,D75,D102,D112,D113)</f>
        <v>2079943</v>
      </c>
      <c r="E114" s="1674">
        <f t="shared" si="13"/>
        <v>639455</v>
      </c>
      <c r="F114" s="1674">
        <f t="shared" si="13"/>
        <v>472382</v>
      </c>
      <c r="G114" s="1674">
        <f t="shared" si="13"/>
        <v>124911</v>
      </c>
      <c r="H114" s="1674">
        <f>SUM(H33,H74,H75,H102,H112,H113)</f>
        <v>952726</v>
      </c>
      <c r="I114" s="1674">
        <f t="shared" si="13"/>
        <v>0</v>
      </c>
      <c r="J114" s="1674">
        <f t="shared" si="13"/>
        <v>0</v>
      </c>
      <c r="K114" s="1674">
        <f t="shared" si="13"/>
        <v>12184864</v>
      </c>
      <c r="L114" s="1674">
        <f>SUM(L33,L74,L75,L102,L112,L113)</f>
        <v>13091001</v>
      </c>
    </row>
    <row r="115" spans="1:14" ht="13.5" thickTop="1" x14ac:dyDescent="0.2">
      <c r="A115" s="2262" t="s">
        <v>989</v>
      </c>
      <c r="B115" s="2263"/>
      <c r="C115" s="1675"/>
      <c r="D115" s="1675"/>
      <c r="E115" s="1675"/>
      <c r="F115" s="1675"/>
      <c r="G115" s="1675"/>
      <c r="H115" s="1675"/>
      <c r="I115" s="1675"/>
      <c r="J115" s="1675"/>
      <c r="K115" s="1689">
        <f>'Revenues 9-14'!C268-'Expenditures 15-22'!K114</f>
        <v>867819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v>115000</v>
      </c>
    </row>
    <row r="124" spans="1:14" ht="14.25" thickTop="1" thickBot="1" x14ac:dyDescent="0.25">
      <c r="A124" s="1274" t="s">
        <v>195</v>
      </c>
      <c r="B124" s="503">
        <v>2540</v>
      </c>
      <c r="C124" s="1573">
        <v>70123</v>
      </c>
      <c r="D124" s="1573">
        <v>6976</v>
      </c>
      <c r="E124" s="1573">
        <v>281324</v>
      </c>
      <c r="F124" s="1573">
        <v>449638</v>
      </c>
      <c r="G124" s="1573">
        <v>98855</v>
      </c>
      <c r="H124" s="1573"/>
      <c r="I124" s="1574"/>
      <c r="J124" s="1574"/>
      <c r="K124" s="1674">
        <f>SUM(C124:J124)</f>
        <v>906916</v>
      </c>
      <c r="L124" s="1573">
        <v>1072346</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70123</v>
      </c>
      <c r="D127" s="1674">
        <f t="shared" ref="D127:L127" si="14">SUM(D122:D126)</f>
        <v>6976</v>
      </c>
      <c r="E127" s="1674">
        <f t="shared" si="14"/>
        <v>281324</v>
      </c>
      <c r="F127" s="1674">
        <f t="shared" si="14"/>
        <v>449638</v>
      </c>
      <c r="G127" s="1674">
        <f t="shared" si="14"/>
        <v>98855</v>
      </c>
      <c r="H127" s="1674">
        <f t="shared" si="14"/>
        <v>0</v>
      </c>
      <c r="I127" s="1674">
        <f t="shared" si="14"/>
        <v>0</v>
      </c>
      <c r="J127" s="1674">
        <f t="shared" si="14"/>
        <v>0</v>
      </c>
      <c r="K127" s="1674">
        <f t="shared" si="14"/>
        <v>906916</v>
      </c>
      <c r="L127" s="1674">
        <f t="shared" si="14"/>
        <v>1187346</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70123</v>
      </c>
      <c r="D129" s="1681">
        <f t="shared" ref="D129:L129" si="15">SUM(D120,D127,D128)</f>
        <v>6976</v>
      </c>
      <c r="E129" s="1681">
        <f t="shared" si="15"/>
        <v>281324</v>
      </c>
      <c r="F129" s="1681">
        <f t="shared" si="15"/>
        <v>449638</v>
      </c>
      <c r="G129" s="1681">
        <f t="shared" si="15"/>
        <v>98855</v>
      </c>
      <c r="H129" s="1681">
        <f t="shared" si="15"/>
        <v>0</v>
      </c>
      <c r="I129" s="1681">
        <f t="shared" si="15"/>
        <v>0</v>
      </c>
      <c r="J129" s="1681">
        <f t="shared" si="15"/>
        <v>0</v>
      </c>
      <c r="K129" s="1681">
        <f t="shared" si="15"/>
        <v>906916</v>
      </c>
      <c r="L129" s="1681">
        <f t="shared" si="15"/>
        <v>1187346</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15000</v>
      </c>
    </row>
    <row r="151" spans="1:14" ht="12.75" customHeight="1" thickTop="1" thickBot="1" x14ac:dyDescent="0.25">
      <c r="A151" s="2279" t="s">
        <v>616</v>
      </c>
      <c r="B151" s="2259"/>
      <c r="C151" s="1674">
        <f>SUM(C129,C130,C139,C149,C150)</f>
        <v>70123</v>
      </c>
      <c r="D151" s="1674">
        <f t="shared" ref="D151:K151" si="16">SUM(D129,D130,D139,D149,D150)</f>
        <v>6976</v>
      </c>
      <c r="E151" s="1674">
        <f t="shared" si="16"/>
        <v>281324</v>
      </c>
      <c r="F151" s="1674">
        <f t="shared" si="16"/>
        <v>449638</v>
      </c>
      <c r="G151" s="1674">
        <f t="shared" si="16"/>
        <v>98855</v>
      </c>
      <c r="H151" s="1674">
        <f t="shared" si="16"/>
        <v>0</v>
      </c>
      <c r="I151" s="1674">
        <f t="shared" si="16"/>
        <v>0</v>
      </c>
      <c r="J151" s="1674">
        <f t="shared" si="16"/>
        <v>0</v>
      </c>
      <c r="K151" s="1674">
        <f t="shared" si="16"/>
        <v>906916</v>
      </c>
      <c r="L151" s="1674">
        <f>SUM(L129,L130,L139,L149,L150)</f>
        <v>1202346</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47480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v>2177689</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2177689</v>
      </c>
    </row>
    <row r="169" spans="1:14" ht="15.75" customHeight="1" thickTop="1" x14ac:dyDescent="0.2">
      <c r="A169" s="543" t="s">
        <v>83</v>
      </c>
      <c r="B169" s="544" t="s">
        <v>38</v>
      </c>
      <c r="C169" s="1673"/>
      <c r="D169" s="1673"/>
      <c r="E169" s="1673"/>
      <c r="F169" s="1673"/>
      <c r="G169" s="1673"/>
      <c r="H169" s="1695">
        <v>1342689</v>
      </c>
      <c r="I169" s="1673"/>
      <c r="J169" s="1673"/>
      <c r="K169" s="1672">
        <f>SUM(C169:H169)</f>
        <v>1342689</v>
      </c>
      <c r="L169" s="1695"/>
    </row>
    <row r="170" spans="1:14" ht="33.75" customHeight="1" x14ac:dyDescent="0.2">
      <c r="A170" s="543" t="s">
        <v>1651</v>
      </c>
      <c r="B170" s="545" t="s">
        <v>31</v>
      </c>
      <c r="C170" s="1673"/>
      <c r="D170" s="1673"/>
      <c r="E170" s="1673"/>
      <c r="F170" s="1673"/>
      <c r="G170" s="1673"/>
      <c r="H170" s="1646">
        <v>835000</v>
      </c>
      <c r="I170" s="1673"/>
      <c r="J170" s="1673"/>
      <c r="K170" s="1672">
        <f>SUM(C170:J170)</f>
        <v>835000</v>
      </c>
      <c r="L170" s="1646"/>
    </row>
    <row r="171" spans="1:14" ht="15.75" customHeight="1" x14ac:dyDescent="0.2">
      <c r="A171" s="507" t="s">
        <v>761</v>
      </c>
      <c r="B171" s="546" t="s">
        <v>84</v>
      </c>
      <c r="C171" s="1673"/>
      <c r="D171" s="1673"/>
      <c r="E171" s="1573"/>
      <c r="F171" s="1673"/>
      <c r="G171" s="1673"/>
      <c r="H171" s="1646">
        <v>1300</v>
      </c>
      <c r="I171" s="1582"/>
      <c r="J171" s="1673"/>
      <c r="K171" s="1672">
        <f>SUM(C171:J171)</f>
        <v>1300</v>
      </c>
      <c r="L171" s="1646"/>
    </row>
    <row r="172" spans="1:14" ht="12.75" customHeight="1" thickBot="1" x14ac:dyDescent="0.25">
      <c r="A172" s="1380" t="s">
        <v>633</v>
      </c>
      <c r="B172" s="1381" t="s">
        <v>489</v>
      </c>
      <c r="C172" s="1673"/>
      <c r="D172" s="1673"/>
      <c r="E172" s="1681">
        <f>SUM(E168,E169,E170,E171)</f>
        <v>0</v>
      </c>
      <c r="F172" s="1673"/>
      <c r="G172" s="1673"/>
      <c r="H172" s="1681">
        <f>SUM(H168,H169,H170,H171)</f>
        <v>2178989</v>
      </c>
      <c r="I172" s="1684"/>
      <c r="J172" s="1673"/>
      <c r="K172" s="1681">
        <f>SUM(K168,K169,K170,K171)</f>
        <v>2178989</v>
      </c>
      <c r="L172" s="1681">
        <f>SUM(L168,L169,L170,L171)</f>
        <v>2177689</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2178989</v>
      </c>
      <c r="I174" s="1684"/>
      <c r="J174" s="1673"/>
      <c r="K174" s="1681">
        <f>SUM(K160,K172,K173)</f>
        <v>2178989</v>
      </c>
      <c r="L174" s="1681">
        <f>SUM(L160,L172,L173)</f>
        <v>2177689</v>
      </c>
    </row>
    <row r="175" spans="1:14" ht="13.5" thickTop="1" x14ac:dyDescent="0.2">
      <c r="A175" s="2262" t="s">
        <v>989</v>
      </c>
      <c r="B175" s="2263"/>
      <c r="C175" s="1673"/>
      <c r="D175" s="1673"/>
      <c r="E175" s="1673"/>
      <c r="F175" s="1673"/>
      <c r="G175" s="1673"/>
      <c r="H175" s="1675"/>
      <c r="I175" s="1673"/>
      <c r="J175" s="1673"/>
      <c r="K175" s="1689">
        <f>'Revenues 9-14'!E268-'Expenditures 15-22'!K174</f>
        <v>3930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60426</v>
      </c>
      <c r="D182" s="1573">
        <v>1901</v>
      </c>
      <c r="E182" s="1573">
        <v>669058</v>
      </c>
      <c r="F182" s="1573">
        <v>67094</v>
      </c>
      <c r="G182" s="1573">
        <v>23338</v>
      </c>
      <c r="H182" s="1573"/>
      <c r="I182" s="1574"/>
      <c r="J182" s="1574"/>
      <c r="K182" s="1672">
        <f>SUM(C182:J182)</f>
        <v>821817</v>
      </c>
      <c r="L182" s="1573">
        <v>908614</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60426</v>
      </c>
      <c r="D184" s="1681">
        <f t="shared" ref="D184:J184" si="17">SUM(D180,D182,D183)</f>
        <v>1901</v>
      </c>
      <c r="E184" s="1681">
        <f t="shared" si="17"/>
        <v>669058</v>
      </c>
      <c r="F184" s="1681">
        <f t="shared" si="17"/>
        <v>67094</v>
      </c>
      <c r="G184" s="1681">
        <f t="shared" si="17"/>
        <v>23338</v>
      </c>
      <c r="H184" s="1681">
        <f t="shared" si="17"/>
        <v>0</v>
      </c>
      <c r="I184" s="1681">
        <f t="shared" si="17"/>
        <v>0</v>
      </c>
      <c r="J184" s="1681">
        <f t="shared" si="17"/>
        <v>0</v>
      </c>
      <c r="K184" s="1681">
        <f>SUM(K180,K182,K183)</f>
        <v>821817</v>
      </c>
      <c r="L184" s="1681">
        <f>SUM(L180, L182:L183)</f>
        <v>908614</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8000</v>
      </c>
    </row>
    <row r="210" spans="1:14" ht="12.75" customHeight="1" thickTop="1" thickBot="1" x14ac:dyDescent="0.25">
      <c r="A210" s="1394" t="s">
        <v>275</v>
      </c>
      <c r="B210" s="1395"/>
      <c r="C210" s="1674">
        <f>SUM(C184,C185)</f>
        <v>60426</v>
      </c>
      <c r="D210" s="1674">
        <f>SUM(D184,D185)</f>
        <v>1901</v>
      </c>
      <c r="E210" s="1674">
        <f>SUM(E184,E185,E196)</f>
        <v>669058</v>
      </c>
      <c r="F210" s="1674">
        <f>SUM(F184,F185)</f>
        <v>67094</v>
      </c>
      <c r="G210" s="1674">
        <f>SUM(G184,G185)</f>
        <v>23338</v>
      </c>
      <c r="H210" s="1674">
        <f>SUM(H184,H185,H196,H208,H209)</f>
        <v>0</v>
      </c>
      <c r="I210" s="1674">
        <f>SUM(I184,I185)</f>
        <v>0</v>
      </c>
      <c r="J210" s="1674">
        <f>SUM(J184,J185)</f>
        <v>0</v>
      </c>
      <c r="K210" s="1672">
        <f>SUM(K184,K185,K196,K208,K209)</f>
        <v>821817</v>
      </c>
      <c r="L210" s="1674">
        <f>SUM(L184,L185,L196,L208,L209)</f>
        <v>916614</v>
      </c>
    </row>
    <row r="211" spans="1:14" ht="13.5" thickTop="1" x14ac:dyDescent="0.2">
      <c r="A211" s="2262" t="s">
        <v>989</v>
      </c>
      <c r="B211" s="2263"/>
      <c r="C211" s="1675"/>
      <c r="D211" s="1675"/>
      <c r="E211" s="1675"/>
      <c r="F211" s="1675"/>
      <c r="G211" s="1675"/>
      <c r="H211" s="1675"/>
      <c r="I211" s="1673"/>
      <c r="J211" s="1673"/>
      <c r="K211" s="1689">
        <f>'Revenues 9-14'!F268-'Expenditures 15-22'!K210</f>
        <v>-21708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51888</v>
      </c>
      <c r="E215" s="1673"/>
      <c r="F215" s="1673"/>
      <c r="G215" s="1673"/>
      <c r="H215" s="1673"/>
      <c r="I215" s="1673"/>
      <c r="J215" s="1673"/>
      <c r="K215" s="1672">
        <f>D215</f>
        <v>51888</v>
      </c>
      <c r="L215" s="1573">
        <v>50461</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114206</v>
      </c>
      <c r="E217" s="1673"/>
      <c r="F217" s="1673"/>
      <c r="G217" s="1673"/>
      <c r="H217" s="1673"/>
      <c r="I217" s="1673"/>
      <c r="J217" s="1673"/>
      <c r="K217" s="1672">
        <f t="shared" si="19"/>
        <v>114206</v>
      </c>
      <c r="L217" s="1573">
        <v>113814</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976</v>
      </c>
      <c r="E219" s="1673"/>
      <c r="F219" s="1673"/>
      <c r="G219" s="1673"/>
      <c r="H219" s="1673"/>
      <c r="I219" s="1673"/>
      <c r="J219" s="1673"/>
      <c r="K219" s="1672">
        <f t="shared" si="19"/>
        <v>976</v>
      </c>
      <c r="L219" s="1573">
        <v>570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3294</v>
      </c>
      <c r="E222" s="1673"/>
      <c r="F222" s="1673"/>
      <c r="G222" s="1673"/>
      <c r="H222" s="1673"/>
      <c r="I222" s="1673"/>
      <c r="J222" s="1673"/>
      <c r="K222" s="1672">
        <f t="shared" si="19"/>
        <v>3294</v>
      </c>
      <c r="L222" s="1573">
        <v>4356</v>
      </c>
    </row>
    <row r="223" spans="1:14" x14ac:dyDescent="0.2">
      <c r="A223" s="1274" t="s">
        <v>957</v>
      </c>
      <c r="B223" s="503">
        <v>1500</v>
      </c>
      <c r="C223" s="1673"/>
      <c r="D223" s="1573">
        <v>5562</v>
      </c>
      <c r="E223" s="1673"/>
      <c r="F223" s="1673"/>
      <c r="G223" s="1673"/>
      <c r="H223" s="1673"/>
      <c r="I223" s="1673"/>
      <c r="J223" s="1673"/>
      <c r="K223" s="1672">
        <f t="shared" si="19"/>
        <v>5562</v>
      </c>
      <c r="L223" s="1573">
        <v>6000</v>
      </c>
    </row>
    <row r="224" spans="1:14" x14ac:dyDescent="0.2">
      <c r="A224" s="1274" t="s">
        <v>958</v>
      </c>
      <c r="B224" s="503">
        <v>1600</v>
      </c>
      <c r="C224" s="1673"/>
      <c r="D224" s="1573">
        <v>983</v>
      </c>
      <c r="E224" s="1673"/>
      <c r="F224" s="1673"/>
      <c r="G224" s="1673"/>
      <c r="H224" s="1673"/>
      <c r="I224" s="1673"/>
      <c r="J224" s="1673"/>
      <c r="K224" s="1672">
        <f t="shared" si="19"/>
        <v>983</v>
      </c>
      <c r="L224" s="1573">
        <v>1002</v>
      </c>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999</v>
      </c>
      <c r="E226" s="1673"/>
      <c r="F226" s="1673"/>
      <c r="G226" s="1673"/>
      <c r="H226" s="1673"/>
      <c r="I226" s="1673"/>
      <c r="J226" s="1673"/>
      <c r="K226" s="1672">
        <f t="shared" si="19"/>
        <v>999</v>
      </c>
      <c r="L226" s="1573">
        <v>543</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177908</v>
      </c>
      <c r="E229" s="1673"/>
      <c r="F229" s="1673"/>
      <c r="G229" s="1673"/>
      <c r="H229" s="1673"/>
      <c r="I229" s="1673"/>
      <c r="J229" s="1673"/>
      <c r="K229" s="1674">
        <f>SUM(K215:K228)</f>
        <v>177908</v>
      </c>
      <c r="L229" s="1674">
        <f>SUM(L215:L228)</f>
        <v>176746</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866</v>
      </c>
      <c r="E232" s="1673"/>
      <c r="F232" s="1673"/>
      <c r="G232" s="1673"/>
      <c r="H232" s="1673"/>
      <c r="I232" s="1673"/>
      <c r="J232" s="1673"/>
      <c r="K232" s="1672">
        <f t="shared" ref="K232:K237" si="20">D232</f>
        <v>866</v>
      </c>
      <c r="L232" s="1573">
        <v>1437</v>
      </c>
    </row>
    <row r="233" spans="1:12" x14ac:dyDescent="0.2">
      <c r="A233" s="1274" t="s">
        <v>1081</v>
      </c>
      <c r="B233" s="503">
        <v>2120</v>
      </c>
      <c r="C233" s="1673"/>
      <c r="D233" s="1573">
        <v>6622</v>
      </c>
      <c r="E233" s="1673"/>
      <c r="F233" s="1673"/>
      <c r="G233" s="1673"/>
      <c r="H233" s="1673"/>
      <c r="I233" s="1673"/>
      <c r="J233" s="1673"/>
      <c r="K233" s="1672">
        <f t="shared" si="20"/>
        <v>6622</v>
      </c>
      <c r="L233" s="1573">
        <v>6359</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7488</v>
      </c>
      <c r="E238" s="1673"/>
      <c r="F238" s="1673"/>
      <c r="G238" s="1673"/>
      <c r="H238" s="1673"/>
      <c r="I238" s="1673"/>
      <c r="J238" s="1673"/>
      <c r="K238" s="1674">
        <f>SUM(K232:K237)</f>
        <v>7488</v>
      </c>
      <c r="L238" s="1674">
        <f>SUM(L232:L237)</f>
        <v>7796</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11002</v>
      </c>
      <c r="E240" s="1673"/>
      <c r="F240" s="1673"/>
      <c r="G240" s="1673"/>
      <c r="H240" s="1673"/>
      <c r="I240" s="1673"/>
      <c r="J240" s="1673"/>
      <c r="K240" s="1678">
        <f>D240</f>
        <v>11002</v>
      </c>
      <c r="L240" s="1586">
        <v>12528</v>
      </c>
    </row>
    <row r="241" spans="1:12" x14ac:dyDescent="0.2">
      <c r="A241" s="1274" t="s">
        <v>810</v>
      </c>
      <c r="B241" s="503">
        <v>2220</v>
      </c>
      <c r="C241" s="1673"/>
      <c r="D241" s="1573">
        <v>4983</v>
      </c>
      <c r="E241" s="1673"/>
      <c r="F241" s="1673"/>
      <c r="G241" s="1673"/>
      <c r="H241" s="1673"/>
      <c r="I241" s="1673"/>
      <c r="J241" s="1673"/>
      <c r="K241" s="1678">
        <f>D241</f>
        <v>4983</v>
      </c>
      <c r="L241" s="1573">
        <v>3709</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15985</v>
      </c>
      <c r="E243" s="1673"/>
      <c r="F243" s="1673"/>
      <c r="G243" s="1673"/>
      <c r="H243" s="1673"/>
      <c r="I243" s="1673"/>
      <c r="J243" s="1673"/>
      <c r="K243" s="1674">
        <f>SUM(K240:K242)</f>
        <v>15985</v>
      </c>
      <c r="L243" s="1674">
        <f>SUM(L240:L242)</f>
        <v>16237</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43</v>
      </c>
      <c r="E245" s="1673"/>
      <c r="F245" s="1673"/>
      <c r="G245" s="1673"/>
      <c r="H245" s="1673"/>
      <c r="I245" s="1673"/>
      <c r="J245" s="1673"/>
      <c r="K245" s="1678">
        <f>D245</f>
        <v>43</v>
      </c>
      <c r="L245" s="1586"/>
    </row>
    <row r="246" spans="1:12" x14ac:dyDescent="0.2">
      <c r="A246" s="1274" t="s">
        <v>813</v>
      </c>
      <c r="B246" s="503">
        <v>2320</v>
      </c>
      <c r="C246" s="1673"/>
      <c r="D246" s="1573">
        <v>1926</v>
      </c>
      <c r="E246" s="1673"/>
      <c r="F246" s="1673"/>
      <c r="G246" s="1673"/>
      <c r="H246" s="1673"/>
      <c r="I246" s="1673"/>
      <c r="J246" s="1673"/>
      <c r="K246" s="1678">
        <f t="shared" ref="K246:K256" si="21">D246</f>
        <v>1926</v>
      </c>
      <c r="L246" s="1573">
        <v>2054</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1969</v>
      </c>
      <c r="E257" s="1673"/>
      <c r="F257" s="1673"/>
      <c r="G257" s="1673"/>
      <c r="H257" s="1673"/>
      <c r="I257" s="1673"/>
      <c r="J257" s="1673"/>
      <c r="K257" s="1674">
        <f>SUM(K245:K256)</f>
        <v>1969</v>
      </c>
      <c r="L257" s="1674">
        <f>SUM(L245:L256)</f>
        <v>2054</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21668</v>
      </c>
      <c r="E259" s="1673"/>
      <c r="F259" s="1673"/>
      <c r="G259" s="1673"/>
      <c r="H259" s="1673"/>
      <c r="I259" s="1673"/>
      <c r="J259" s="1673"/>
      <c r="K259" s="1678">
        <f>D259</f>
        <v>21668</v>
      </c>
      <c r="L259" s="1586">
        <v>21805</v>
      </c>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21668</v>
      </c>
      <c r="E261" s="1673"/>
      <c r="F261" s="1673"/>
      <c r="G261" s="1673"/>
      <c r="H261" s="1673"/>
      <c r="I261" s="1673"/>
      <c r="J261" s="1673"/>
      <c r="K261" s="1674">
        <f>SUM(K259:K260)</f>
        <v>21668</v>
      </c>
      <c r="L261" s="1674">
        <f>SUM(L259:L260)</f>
        <v>21805</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27281</v>
      </c>
      <c r="E264" s="1673"/>
      <c r="F264" s="1673"/>
      <c r="G264" s="1673"/>
      <c r="H264" s="1673"/>
      <c r="I264" s="1673"/>
      <c r="J264" s="1673"/>
      <c r="K264" s="1678">
        <f t="shared" ref="K264:K269" si="22">D264</f>
        <v>27281</v>
      </c>
      <c r="L264" s="1573">
        <v>28007</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94736</v>
      </c>
      <c r="E266" s="1673"/>
      <c r="F266" s="1673"/>
      <c r="G266" s="1673"/>
      <c r="H266" s="1673"/>
      <c r="I266" s="1673"/>
      <c r="J266" s="1673"/>
      <c r="K266" s="1678">
        <f t="shared" si="22"/>
        <v>94736</v>
      </c>
      <c r="L266" s="1573">
        <v>79638</v>
      </c>
    </row>
    <row r="267" spans="1:14" x14ac:dyDescent="0.2">
      <c r="A267" s="1274" t="s">
        <v>947</v>
      </c>
      <c r="B267" s="503">
        <v>2550</v>
      </c>
      <c r="C267" s="1673"/>
      <c r="D267" s="1573">
        <v>7955</v>
      </c>
      <c r="E267" s="1673"/>
      <c r="F267" s="1673"/>
      <c r="G267" s="1673"/>
      <c r="H267" s="1673"/>
      <c r="I267" s="1673"/>
      <c r="J267" s="1673"/>
      <c r="K267" s="1678">
        <f t="shared" si="22"/>
        <v>7955</v>
      </c>
      <c r="L267" s="1573">
        <v>6542</v>
      </c>
    </row>
    <row r="268" spans="1:14" x14ac:dyDescent="0.2">
      <c r="A268" s="1274" t="s">
        <v>100</v>
      </c>
      <c r="B268" s="503">
        <v>2560</v>
      </c>
      <c r="C268" s="1673"/>
      <c r="D268" s="1573">
        <v>42467</v>
      </c>
      <c r="E268" s="1673"/>
      <c r="F268" s="1673"/>
      <c r="G268" s="1673"/>
      <c r="H268" s="1673"/>
      <c r="I268" s="1673"/>
      <c r="J268" s="1673"/>
      <c r="K268" s="1678">
        <f t="shared" si="22"/>
        <v>42467</v>
      </c>
      <c r="L268" s="1573">
        <v>41741</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172439</v>
      </c>
      <c r="E270" s="1673"/>
      <c r="F270" s="1673"/>
      <c r="G270" s="1673"/>
      <c r="H270" s="1673"/>
      <c r="I270" s="1673"/>
      <c r="J270" s="1673"/>
      <c r="K270" s="1674">
        <f>SUM(K263:K269)</f>
        <v>172439</v>
      </c>
      <c r="L270" s="1674">
        <f>SUM(L263:L269)</f>
        <v>155928</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v>22</v>
      </c>
      <c r="E275" s="1673"/>
      <c r="F275" s="1673"/>
      <c r="G275" s="1673"/>
      <c r="H275" s="1673"/>
      <c r="I275" s="1673"/>
      <c r="J275" s="1673"/>
      <c r="K275" s="1678">
        <f>D275</f>
        <v>22</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22</v>
      </c>
      <c r="E277" s="1673"/>
      <c r="F277" s="1673"/>
      <c r="G277" s="1673"/>
      <c r="H277" s="1673"/>
      <c r="I277" s="1673"/>
      <c r="J277" s="1673"/>
      <c r="K277" s="1674">
        <f>SUM(K272:K276)</f>
        <v>22</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219571</v>
      </c>
      <c r="E279" s="1673"/>
      <c r="F279" s="1673"/>
      <c r="G279" s="1673"/>
      <c r="H279" s="1673"/>
      <c r="I279" s="1673"/>
      <c r="J279" s="1673"/>
      <c r="K279" s="1681">
        <f>SUM(K238,K243,K257,K261,K270,K277,K278)</f>
        <v>219571</v>
      </c>
      <c r="L279" s="1681">
        <f>SUM(L238,L243,L257,L261,L270,L277,L278)</f>
        <v>203820</v>
      </c>
    </row>
    <row r="280" spans="1:12" ht="15.75" customHeight="1" thickTop="1" thickBot="1" x14ac:dyDescent="0.25">
      <c r="A280" s="1362" t="s">
        <v>870</v>
      </c>
      <c r="B280" s="1351">
        <v>3000</v>
      </c>
      <c r="C280" s="1673"/>
      <c r="D280" s="1651">
        <v>63</v>
      </c>
      <c r="E280" s="1673"/>
      <c r="F280" s="1673"/>
      <c r="G280" s="1673"/>
      <c r="H280" s="1673"/>
      <c r="I280" s="1673"/>
      <c r="J280" s="1673"/>
      <c r="K280" s="1687">
        <f>D280</f>
        <v>63</v>
      </c>
      <c r="L280" s="1651">
        <v>63</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397542</v>
      </c>
      <c r="E295" s="1673"/>
      <c r="F295" s="1673"/>
      <c r="G295" s="1673"/>
      <c r="H295" s="1674">
        <f>H293</f>
        <v>0</v>
      </c>
      <c r="I295" s="1673"/>
      <c r="J295" s="1673"/>
      <c r="K295" s="1674">
        <f>SUM(K229,K279,K280,K285,K293,K294)</f>
        <v>397542</v>
      </c>
      <c r="L295" s="1674">
        <f>SUM(L229,L279,L280,L285,L293,L294)</f>
        <v>380629</v>
      </c>
    </row>
    <row r="296" spans="1:14" ht="13.5" thickTop="1" x14ac:dyDescent="0.2">
      <c r="A296" s="2262" t="s">
        <v>989</v>
      </c>
      <c r="B296" s="2263"/>
      <c r="C296" s="1673"/>
      <c r="D296" s="1675"/>
      <c r="E296" s="1673"/>
      <c r="F296" s="1673"/>
      <c r="G296" s="1673"/>
      <c r="H296" s="1707"/>
      <c r="I296" s="1673"/>
      <c r="J296" s="1673"/>
      <c r="K296" s="1689">
        <f>'Revenues 9-14'!G268-'Expenditures 15-22'!K295</f>
        <v>19000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775883</v>
      </c>
      <c r="F301" s="1573"/>
      <c r="G301" s="1573">
        <v>10407245</v>
      </c>
      <c r="H301" s="1573"/>
      <c r="I301" s="1574"/>
      <c r="J301" s="1574"/>
      <c r="K301" s="1672">
        <f>SUM(C301:J301)</f>
        <v>11183128</v>
      </c>
      <c r="L301" s="1574">
        <v>12007000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775883</v>
      </c>
      <c r="F303" s="1681">
        <f t="shared" si="23"/>
        <v>0</v>
      </c>
      <c r="G303" s="1681">
        <f t="shared" si="23"/>
        <v>10407245</v>
      </c>
      <c r="H303" s="1681">
        <f t="shared" si="23"/>
        <v>0</v>
      </c>
      <c r="I303" s="1681">
        <f t="shared" si="23"/>
        <v>0</v>
      </c>
      <c r="J303" s="1681">
        <f t="shared" si="23"/>
        <v>0</v>
      </c>
      <c r="K303" s="1681">
        <f t="shared" si="23"/>
        <v>11183128</v>
      </c>
      <c r="L303" s="1681">
        <f t="shared" si="23"/>
        <v>12007000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35000</v>
      </c>
    </row>
    <row r="312" spans="1:14" s="548" customFormat="1" ht="12.75" customHeight="1" thickTop="1" thickBot="1" x14ac:dyDescent="0.25">
      <c r="A312" s="2277" t="s">
        <v>275</v>
      </c>
      <c r="B312" s="2278"/>
      <c r="C312" s="1674">
        <f>SUM(C303)</f>
        <v>0</v>
      </c>
      <c r="D312" s="1674">
        <f>SUM(D303)</f>
        <v>0</v>
      </c>
      <c r="E312" s="1674">
        <f>SUM(E303,E310)</f>
        <v>775883</v>
      </c>
      <c r="F312" s="1674">
        <f>SUM(F303)</f>
        <v>0</v>
      </c>
      <c r="G312" s="1674">
        <f>SUM(G303)</f>
        <v>10407245</v>
      </c>
      <c r="H312" s="1674">
        <f>SUM(H303,H310)</f>
        <v>0</v>
      </c>
      <c r="I312" s="1674">
        <f>SUM(I303)</f>
        <v>0</v>
      </c>
      <c r="J312" s="1674">
        <f>SUM(J303)</f>
        <v>0</v>
      </c>
      <c r="K312" s="1674">
        <f>SUM(K303,K310,K311)</f>
        <v>11183128</v>
      </c>
      <c r="L312" s="1674">
        <f>SUM(L303,L310,L311)</f>
        <v>12042000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-10974644</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v>76446</v>
      </c>
      <c r="F320" s="1574"/>
      <c r="G320" s="1574"/>
      <c r="H320" s="1574"/>
      <c r="I320" s="1574"/>
      <c r="J320" s="1574"/>
      <c r="K320" s="1672">
        <f t="shared" ref="K320:K327" si="24">SUM(C320:J320)</f>
        <v>76446</v>
      </c>
      <c r="L320" s="1574">
        <v>76446</v>
      </c>
      <c r="M320" s="539"/>
      <c r="N320" s="539"/>
    </row>
    <row r="321" spans="1:14" s="548" customFormat="1" x14ac:dyDescent="0.2">
      <c r="A321" s="1289" t="s">
        <v>297</v>
      </c>
      <c r="B321" s="567" t="s">
        <v>281</v>
      </c>
      <c r="C321" s="1574"/>
      <c r="D321" s="1574"/>
      <c r="E321" s="1574">
        <v>443</v>
      </c>
      <c r="F321" s="1574"/>
      <c r="G321" s="1574"/>
      <c r="H321" s="1574"/>
      <c r="I321" s="1574"/>
      <c r="J321" s="1574"/>
      <c r="K321" s="1672">
        <f t="shared" si="24"/>
        <v>443</v>
      </c>
      <c r="L321" s="1574">
        <v>2500</v>
      </c>
      <c r="M321" s="539"/>
      <c r="N321" s="539"/>
    </row>
    <row r="322" spans="1:14" s="548" customFormat="1" x14ac:dyDescent="0.2">
      <c r="A322" s="1289" t="s">
        <v>236</v>
      </c>
      <c r="B322" s="567" t="s">
        <v>282</v>
      </c>
      <c r="C322" s="1574"/>
      <c r="D322" s="1574"/>
      <c r="E322" s="1574">
        <v>121542</v>
      </c>
      <c r="F322" s="1574"/>
      <c r="G322" s="1574"/>
      <c r="H322" s="1574"/>
      <c r="I322" s="1574"/>
      <c r="J322" s="1574"/>
      <c r="K322" s="1672">
        <f t="shared" si="24"/>
        <v>121542</v>
      </c>
      <c r="L322" s="1574">
        <v>149760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8473</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16459</v>
      </c>
      <c r="F325" s="1574"/>
      <c r="G325" s="1574"/>
      <c r="H325" s="1574"/>
      <c r="I325" s="1574"/>
      <c r="J325" s="1574"/>
      <c r="K325" s="1672">
        <f t="shared" si="24"/>
        <v>16459</v>
      </c>
      <c r="L325" s="1574">
        <v>5000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51435</v>
      </c>
      <c r="F327" s="1574"/>
      <c r="G327" s="1574"/>
      <c r="H327" s="1574"/>
      <c r="I327" s="1574"/>
      <c r="J327" s="1574"/>
      <c r="K327" s="1672">
        <f t="shared" si="24"/>
        <v>51435</v>
      </c>
      <c r="L327" s="1574">
        <v>68000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v>8550</v>
      </c>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266325</v>
      </c>
      <c r="F330" s="1674">
        <f t="shared" si="25"/>
        <v>0</v>
      </c>
      <c r="G330" s="1674">
        <f t="shared" si="25"/>
        <v>0</v>
      </c>
      <c r="H330" s="1674">
        <f t="shared" si="25"/>
        <v>0</v>
      </c>
      <c r="I330" s="1674">
        <f t="shared" si="25"/>
        <v>0</v>
      </c>
      <c r="J330" s="1674">
        <f t="shared" si="25"/>
        <v>0</v>
      </c>
      <c r="K330" s="1674">
        <f>SUM(K319:K329)</f>
        <v>266325</v>
      </c>
      <c r="L330" s="1674">
        <f>SUM(L319:L329)</f>
        <v>318729</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17000</v>
      </c>
    </row>
    <row r="342" spans="1:14" ht="12.75" customHeight="1" thickTop="1" thickBot="1" x14ac:dyDescent="0.25">
      <c r="A342" s="1389" t="s">
        <v>502</v>
      </c>
      <c r="B342" s="1402"/>
      <c r="C342" s="1674">
        <f>SUM(C330)</f>
        <v>0</v>
      </c>
      <c r="D342" s="1674">
        <f>SUM(D330)</f>
        <v>0</v>
      </c>
      <c r="E342" s="1674">
        <f>SUM(E330)</f>
        <v>266325</v>
      </c>
      <c r="F342" s="1674">
        <f>SUM(F330)</f>
        <v>0</v>
      </c>
      <c r="G342" s="1674">
        <f>SUM(G330)</f>
        <v>0</v>
      </c>
      <c r="H342" s="1674">
        <f>SUM(H330,H334,H340)</f>
        <v>0</v>
      </c>
      <c r="I342" s="1674">
        <f>SUM(I330)</f>
        <v>0</v>
      </c>
      <c r="J342" s="1674">
        <f>SUM(J330)</f>
        <v>0</v>
      </c>
      <c r="K342" s="1674">
        <f>SUM(K330,K334,K340)</f>
        <v>266325</v>
      </c>
      <c r="L342" s="1681">
        <f>SUM(L330,L334,L340,L341)</f>
        <v>335729</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-18053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2" t="s">
        <v>989</v>
      </c>
      <c r="B368" s="2263"/>
      <c r="C368" s="1694"/>
      <c r="D368" s="1694"/>
      <c r="E368" s="1677"/>
      <c r="F368" s="1677"/>
      <c r="G368" s="1677"/>
      <c r="H368" s="1677"/>
      <c r="I368" s="1677"/>
      <c r="J368" s="1676"/>
      <c r="K368" s="1672">
        <f>'Revenues 9-14'!K268-'Expenditures 15-22'!K367</f>
        <v>14</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9"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0"/>
      <c r="B3" s="1294"/>
      <c r="C3" s="1295"/>
      <c r="D3" s="1296" t="s">
        <v>254</v>
      </c>
      <c r="E3" s="1295"/>
      <c r="F3" s="1296" t="s">
        <v>255</v>
      </c>
    </row>
    <row r="4" spans="1:8" ht="13.7" customHeight="1" x14ac:dyDescent="0.2">
      <c r="A4" s="579" t="s">
        <v>1145</v>
      </c>
      <c r="B4" s="1721">
        <f>'Revenues 9-14'!C5</f>
        <v>6339939</v>
      </c>
      <c r="C4" s="1722">
        <v>4784</v>
      </c>
      <c r="D4" s="1723">
        <f>B4-C4</f>
        <v>6335155</v>
      </c>
      <c r="E4" s="1722">
        <v>6569840</v>
      </c>
      <c r="F4" s="1723">
        <f>E4-C4</f>
        <v>6565056</v>
      </c>
    </row>
    <row r="5" spans="1:8" ht="13.7" customHeight="1" x14ac:dyDescent="0.2">
      <c r="A5" s="579" t="s">
        <v>865</v>
      </c>
      <c r="B5" s="1724">
        <f>'Revenues 9-14'!D5</f>
        <v>868485</v>
      </c>
      <c r="C5" s="1664">
        <v>655</v>
      </c>
      <c r="D5" s="1725">
        <f t="shared" ref="D5:D18" si="0">B5-C5</f>
        <v>867830</v>
      </c>
      <c r="E5" s="1664">
        <v>899974</v>
      </c>
      <c r="F5" s="1725">
        <f>E5-C5</f>
        <v>899319</v>
      </c>
    </row>
    <row r="6" spans="1:8" ht="13.7" customHeight="1" x14ac:dyDescent="0.2">
      <c r="A6" s="579" t="s">
        <v>408</v>
      </c>
      <c r="B6" s="1724">
        <f>'Revenues 9-14'!E5</f>
        <v>2160335</v>
      </c>
      <c r="C6" s="1664">
        <v>1604</v>
      </c>
      <c r="D6" s="1725">
        <f t="shared" si="0"/>
        <v>2158731</v>
      </c>
      <c r="E6" s="1664">
        <v>2180248</v>
      </c>
      <c r="F6" s="1725">
        <f t="shared" ref="F6:F18" si="1">E6-C6</f>
        <v>2178644</v>
      </c>
    </row>
    <row r="7" spans="1:8" ht="13.7" customHeight="1" x14ac:dyDescent="0.2">
      <c r="A7" s="579" t="s">
        <v>154</v>
      </c>
      <c r="B7" s="1724">
        <f>'Revenues 9-14'!F5</f>
        <v>347394</v>
      </c>
      <c r="C7" s="1664">
        <v>262</v>
      </c>
      <c r="D7" s="1725">
        <f t="shared" si="0"/>
        <v>347132</v>
      </c>
      <c r="E7" s="1664">
        <v>359990</v>
      </c>
      <c r="F7" s="1725">
        <f t="shared" si="1"/>
        <v>359728</v>
      </c>
    </row>
    <row r="8" spans="1:8" ht="13.7" customHeight="1" x14ac:dyDescent="0.2">
      <c r="A8" s="579" t="s">
        <v>1169</v>
      </c>
      <c r="B8" s="1724">
        <f>'Revenues 9-14'!G5</f>
        <v>182352</v>
      </c>
      <c r="C8" s="1664">
        <v>109</v>
      </c>
      <c r="D8" s="1725">
        <f t="shared" si="0"/>
        <v>182243</v>
      </c>
      <c r="E8" s="1664">
        <v>149404</v>
      </c>
      <c r="F8" s="1725">
        <f t="shared" si="1"/>
        <v>149295</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86850</v>
      </c>
      <c r="C10" s="1664">
        <v>66</v>
      </c>
      <c r="D10" s="1725">
        <f t="shared" si="0"/>
        <v>86784</v>
      </c>
      <c r="E10" s="1664">
        <v>89988</v>
      </c>
      <c r="F10" s="1725">
        <f t="shared" si="1"/>
        <v>89922</v>
      </c>
    </row>
    <row r="11" spans="1:8" x14ac:dyDescent="0.2">
      <c r="A11" s="579" t="s">
        <v>406</v>
      </c>
      <c r="B11" s="1724">
        <f>'Revenues 9-14'!J5</f>
        <v>245666</v>
      </c>
      <c r="C11" s="1664">
        <v>157</v>
      </c>
      <c r="D11" s="1725">
        <f t="shared" si="0"/>
        <v>245509</v>
      </c>
      <c r="E11" s="1664">
        <v>215987</v>
      </c>
      <c r="F11" s="1725">
        <f t="shared" si="1"/>
        <v>215830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79475</v>
      </c>
      <c r="C13" s="1664">
        <v>51</v>
      </c>
      <c r="D13" s="1725">
        <f t="shared" si="0"/>
        <v>79424</v>
      </c>
      <c r="E13" s="1664">
        <v>79564</v>
      </c>
      <c r="F13" s="1725">
        <f t="shared" si="1"/>
        <v>79513</v>
      </c>
    </row>
    <row r="14" spans="1:8" ht="13.7" customHeight="1" x14ac:dyDescent="0.2">
      <c r="A14" s="579" t="s">
        <v>407</v>
      </c>
      <c r="B14" s="1724">
        <f>SUM('Revenues 9-14'!C7:D7,'Revenues 9-14'!F7:H7)</f>
        <v>65486</v>
      </c>
      <c r="C14" s="1664">
        <v>58</v>
      </c>
      <c r="D14" s="1725">
        <f t="shared" si="0"/>
        <v>65428</v>
      </c>
      <c r="E14" s="1664">
        <v>70201</v>
      </c>
      <c r="F14" s="1725">
        <f t="shared" si="1"/>
        <v>70143</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218890</v>
      </c>
      <c r="C16" s="1664">
        <v>197</v>
      </c>
      <c r="D16" s="1725">
        <f t="shared" si="0"/>
        <v>218693</v>
      </c>
      <c r="E16" s="1664">
        <v>270181</v>
      </c>
      <c r="F16" s="1725">
        <f t="shared" si="1"/>
        <v>269984</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10594872</v>
      </c>
      <c r="C19" s="1726">
        <f>SUM(C4:C18)</f>
        <v>7943</v>
      </c>
      <c r="D19" s="1726">
        <f>SUM(D4:D18)</f>
        <v>10586929</v>
      </c>
      <c r="E19" s="1726">
        <f>SUM(E4:E18)</f>
        <v>10885377</v>
      </c>
      <c r="F19" s="1726">
        <f>SUM(F4:F18)</f>
        <v>10877434</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1776</v>
      </c>
      <c r="B2" s="231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8" t="s">
        <v>1104</v>
      </c>
      <c r="B3" s="2319"/>
      <c r="C3" s="2312"/>
      <c r="D3" s="2313"/>
      <c r="E3" s="2313"/>
      <c r="F3" s="2314"/>
    </row>
    <row r="4" spans="1:7" ht="12.75" customHeight="1" thickBot="1" x14ac:dyDescent="0.25">
      <c r="A4" s="2306" t="s">
        <v>626</v>
      </c>
      <c r="B4" s="2307"/>
      <c r="C4" s="1656"/>
      <c r="D4" s="1656"/>
      <c r="E4" s="1656"/>
      <c r="F4" s="1732">
        <f>SUM(C4+D4)-E4</f>
        <v>0</v>
      </c>
    </row>
    <row r="5" spans="1:7" ht="15.75" customHeight="1" thickTop="1" x14ac:dyDescent="0.2">
      <c r="A5" s="2310" t="s">
        <v>1101</v>
      </c>
      <c r="B5" s="2305"/>
      <c r="C5" s="2299"/>
      <c r="D5" s="2300"/>
      <c r="E5" s="2300"/>
      <c r="F5" s="2301"/>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2" t="s">
        <v>627</v>
      </c>
      <c r="B15" s="2303"/>
      <c r="C15" s="1732">
        <f>SUM(C6:C14)</f>
        <v>0</v>
      </c>
      <c r="D15" s="1732">
        <f>SUM(D6:D14)</f>
        <v>0</v>
      </c>
      <c r="E15" s="1732">
        <f>SUM(E6:E14)</f>
        <v>0</v>
      </c>
      <c r="F15" s="1732">
        <f>SUM(F6:F14)</f>
        <v>0</v>
      </c>
      <c r="G15" s="473"/>
    </row>
    <row r="16" spans="1:7" s="197" customFormat="1" ht="15.75" customHeight="1" thickTop="1" x14ac:dyDescent="0.2">
      <c r="A16" s="2315" t="s">
        <v>1102</v>
      </c>
      <c r="B16" s="2305"/>
      <c r="C16" s="2299"/>
      <c r="D16" s="2300"/>
      <c r="E16" s="2300"/>
      <c r="F16" s="2301"/>
    </row>
    <row r="17" spans="1:11" ht="12.75" customHeight="1" thickBot="1" x14ac:dyDescent="0.25">
      <c r="A17" s="2297" t="s">
        <v>64</v>
      </c>
      <c r="B17" s="2298"/>
      <c r="C17" s="1733"/>
      <c r="D17" s="1664"/>
      <c r="E17" s="1733"/>
      <c r="F17" s="1732">
        <f>SUM(C17+D17)-E17</f>
        <v>0</v>
      </c>
    </row>
    <row r="18" spans="1:11" ht="12.75" customHeight="1" thickTop="1" thickBot="1" x14ac:dyDescent="0.25">
      <c r="A18" s="2297" t="s">
        <v>6</v>
      </c>
      <c r="B18" s="2298"/>
      <c r="C18" s="1733"/>
      <c r="D18" s="1664"/>
      <c r="E18" s="1733"/>
      <c r="F18" s="1732">
        <f>SUM(C18+D18)-E18</f>
        <v>0</v>
      </c>
    </row>
    <row r="19" spans="1:11" ht="12.75" customHeight="1" thickTop="1" thickBot="1" x14ac:dyDescent="0.25">
      <c r="A19" s="2297" t="s">
        <v>385</v>
      </c>
      <c r="B19" s="2298"/>
      <c r="C19" s="1733"/>
      <c r="D19" s="1664"/>
      <c r="E19" s="1733"/>
      <c r="F19" s="1732">
        <f>SUM(C19+D19)-E19</f>
        <v>0</v>
      </c>
    </row>
    <row r="20" spans="1:11" ht="12.75" customHeight="1" thickTop="1" thickBot="1" x14ac:dyDescent="0.25">
      <c r="A20" s="2297" t="s">
        <v>445</v>
      </c>
      <c r="B20" s="2298"/>
      <c r="C20" s="1733"/>
      <c r="D20" s="1664"/>
      <c r="E20" s="1733"/>
      <c r="F20" s="1732">
        <f>SUM(C20+D20)-E20</f>
        <v>0</v>
      </c>
    </row>
    <row r="21" spans="1:11" ht="14.25" thickTop="1" thickBot="1" x14ac:dyDescent="0.25">
      <c r="A21" s="2302" t="s">
        <v>628</v>
      </c>
      <c r="B21" s="2303"/>
      <c r="C21" s="1732">
        <f>SUM(C17:C20)</f>
        <v>0</v>
      </c>
      <c r="D21" s="1732">
        <f>SUM(D17:D20)</f>
        <v>0</v>
      </c>
      <c r="E21" s="1732">
        <f>SUM(E17:E20)</f>
        <v>0</v>
      </c>
      <c r="F21" s="1732">
        <f>SUM(F17:F20)</f>
        <v>0</v>
      </c>
      <c r="G21" s="473"/>
    </row>
    <row r="22" spans="1:11" ht="15.75" customHeight="1" thickTop="1" x14ac:dyDescent="0.2">
      <c r="A22" s="2304" t="s">
        <v>1103</v>
      </c>
      <c r="B22" s="2305"/>
      <c r="C22" s="2299"/>
      <c r="D22" s="2300"/>
      <c r="E22" s="2300"/>
      <c r="F22" s="2301"/>
    </row>
    <row r="23" spans="1:11" ht="13.5" thickBot="1" x14ac:dyDescent="0.25">
      <c r="A23" s="2306" t="s">
        <v>629</v>
      </c>
      <c r="B23" s="2307"/>
      <c r="C23" s="1656"/>
      <c r="D23" s="1656"/>
      <c r="E23" s="1656"/>
      <c r="F23" s="1732">
        <f>SUM(C23+D23)-E23</f>
        <v>0</v>
      </c>
      <c r="G23" s="473"/>
    </row>
    <row r="24" spans="1:11" ht="15.75" customHeight="1" thickTop="1" x14ac:dyDescent="0.2">
      <c r="A24" s="2304" t="s">
        <v>2003</v>
      </c>
      <c r="B24" s="2305"/>
      <c r="C24" s="2299"/>
      <c r="D24" s="2300"/>
      <c r="E24" s="2300"/>
      <c r="F24" s="2301"/>
    </row>
    <row r="25" spans="1:11" ht="13.5" thickBot="1" x14ac:dyDescent="0.25">
      <c r="A25" s="2306" t="s">
        <v>2004</v>
      </c>
      <c r="B25" s="2307"/>
      <c r="C25" s="1656"/>
      <c r="D25" s="1656"/>
      <c r="E25" s="1656"/>
      <c r="F25" s="1732">
        <f>SUM(C25+D25)-E25</f>
        <v>0</v>
      </c>
      <c r="G25" s="473"/>
    </row>
    <row r="26" spans="1:11" ht="15.75" customHeight="1" thickTop="1" x14ac:dyDescent="0.2">
      <c r="A26" s="2310" t="s">
        <v>652</v>
      </c>
      <c r="B26" s="2305"/>
      <c r="C26" s="589"/>
      <c r="D26" s="589"/>
      <c r="E26" s="589"/>
      <c r="F26" s="590"/>
    </row>
    <row r="27" spans="1:11" ht="13.5" thickBot="1" x14ac:dyDescent="0.25">
      <c r="A27" s="2302" t="s">
        <v>1061</v>
      </c>
      <c r="B27" s="2303"/>
      <c r="C27" s="1664"/>
      <c r="D27" s="1664"/>
      <c r="E27" s="1664"/>
      <c r="F27" s="1732">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2065</v>
      </c>
      <c r="B31" s="595">
        <v>37073</v>
      </c>
      <c r="C31" s="1734">
        <v>5560000</v>
      </c>
      <c r="D31" s="1735">
        <v>6</v>
      </c>
      <c r="E31" s="1734">
        <v>625000</v>
      </c>
      <c r="F31" s="1734"/>
      <c r="G31" s="1734"/>
      <c r="H31" s="1734">
        <v>465000</v>
      </c>
      <c r="I31" s="1736">
        <f>((E31+F31)-H31)+G31</f>
        <v>160000</v>
      </c>
      <c r="J31" s="1734">
        <v>67054</v>
      </c>
      <c r="K31" s="596"/>
    </row>
    <row r="32" spans="1:11" ht="12" customHeight="1" x14ac:dyDescent="0.2">
      <c r="A32" s="594" t="s">
        <v>2066</v>
      </c>
      <c r="B32" s="595">
        <v>39508</v>
      </c>
      <c r="C32" s="1734">
        <v>2000000</v>
      </c>
      <c r="D32" s="1735">
        <v>4</v>
      </c>
      <c r="E32" s="1734">
        <v>700000</v>
      </c>
      <c r="F32" s="1734"/>
      <c r="G32" s="1734"/>
      <c r="H32" s="1734">
        <v>185000</v>
      </c>
      <c r="I32" s="1736">
        <f>((E32+F32)-H32)+G32</f>
        <v>515000</v>
      </c>
      <c r="J32" s="1734">
        <v>515000</v>
      </c>
      <c r="K32" s="596"/>
    </row>
    <row r="33" spans="1:11" ht="12" customHeight="1" x14ac:dyDescent="0.2">
      <c r="A33" s="594" t="s">
        <v>2067</v>
      </c>
      <c r="B33" s="595">
        <v>42781</v>
      </c>
      <c r="C33" s="1734">
        <v>30920000</v>
      </c>
      <c r="D33" s="1735">
        <v>6</v>
      </c>
      <c r="E33" s="1734">
        <v>30740000</v>
      </c>
      <c r="F33" s="1734"/>
      <c r="G33" s="1734"/>
      <c r="H33" s="1734">
        <v>185000</v>
      </c>
      <c r="I33" s="1736">
        <f t="shared" ref="I33:I48" si="1">((E33+F33)-H33)+G33</f>
        <v>30555000</v>
      </c>
      <c r="J33" s="1734">
        <v>30555000</v>
      </c>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38480000</v>
      </c>
      <c r="D49" s="1742"/>
      <c r="E49" s="1736">
        <f t="shared" ref="E49:J49" si="2">SUM(E31:E48)</f>
        <v>32065000</v>
      </c>
      <c r="F49" s="1736">
        <f t="shared" si="2"/>
        <v>0</v>
      </c>
      <c r="G49" s="1736">
        <f t="shared" si="2"/>
        <v>0</v>
      </c>
      <c r="H49" s="1736">
        <f t="shared" si="2"/>
        <v>835000</v>
      </c>
      <c r="I49" s="1736">
        <f t="shared" si="2"/>
        <v>31230000</v>
      </c>
      <c r="J49" s="1736">
        <f t="shared" si="2"/>
        <v>31137054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298"/>
      <c r="I1" s="614"/>
      <c r="J1" s="400"/>
    </row>
    <row r="2" spans="1:11" ht="26.25" x14ac:dyDescent="0.2">
      <c r="A2" s="2339" t="s">
        <v>1658</v>
      </c>
      <c r="B2" s="2340"/>
      <c r="C2" s="2340"/>
      <c r="D2" s="2340"/>
      <c r="E2" s="2341"/>
      <c r="F2" s="615" t="s">
        <v>898</v>
      </c>
      <c r="G2" s="616" t="s">
        <v>1655</v>
      </c>
      <c r="H2" s="616" t="s">
        <v>407</v>
      </c>
      <c r="I2" s="616" t="s">
        <v>1148</v>
      </c>
      <c r="J2" s="616" t="s">
        <v>1786</v>
      </c>
      <c r="K2" s="616" t="s">
        <v>137</v>
      </c>
    </row>
    <row r="3" spans="1:11" x14ac:dyDescent="0.2">
      <c r="A3" s="2342" t="str">
        <f>"Cash Basis Fund Balance as of July 1, "&amp;'AFR20'!E2-1</f>
        <v>Cash Basis Fund Balance as of July 1, 2019</v>
      </c>
      <c r="B3" s="2343"/>
      <c r="C3" s="2343"/>
      <c r="D3" s="2343"/>
      <c r="E3" s="2344"/>
      <c r="F3" s="617"/>
      <c r="G3" s="1744"/>
      <c r="H3" s="1744"/>
      <c r="I3" s="1744"/>
      <c r="J3" s="1745"/>
      <c r="K3" s="1745"/>
    </row>
    <row r="4" spans="1:11" x14ac:dyDescent="0.2">
      <c r="A4" s="2345" t="s">
        <v>366</v>
      </c>
      <c r="B4" s="2346"/>
      <c r="C4" s="2346"/>
      <c r="D4" s="2346"/>
      <c r="E4" s="2292"/>
      <c r="F4" s="620"/>
      <c r="G4" s="1746"/>
      <c r="H4" s="1747"/>
      <c r="I4" s="1746"/>
      <c r="J4" s="1748"/>
      <c r="K4" s="1748"/>
    </row>
    <row r="5" spans="1:11" x14ac:dyDescent="0.2">
      <c r="A5" s="2323" t="s">
        <v>1060</v>
      </c>
      <c r="B5" s="2324"/>
      <c r="C5" s="2324"/>
      <c r="D5" s="2324"/>
      <c r="E5" s="2325"/>
      <c r="F5" s="622" t="s">
        <v>843</v>
      </c>
      <c r="G5" s="1749"/>
      <c r="H5" s="1744">
        <v>65486</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4606</v>
      </c>
    </row>
    <row r="8" spans="1:11" x14ac:dyDescent="0.2">
      <c r="A8" s="629" t="s">
        <v>342</v>
      </c>
      <c r="B8" s="630"/>
      <c r="C8" s="630"/>
      <c r="D8" s="630"/>
      <c r="E8" s="631"/>
      <c r="F8" s="622" t="s">
        <v>846</v>
      </c>
      <c r="G8" s="1753"/>
      <c r="H8" s="1753"/>
      <c r="I8" s="1753"/>
      <c r="J8" s="1745">
        <v>8297</v>
      </c>
      <c r="K8" s="1748"/>
    </row>
    <row r="9" spans="1:11" x14ac:dyDescent="0.2">
      <c r="A9" s="629" t="s">
        <v>137</v>
      </c>
      <c r="B9" s="630"/>
      <c r="C9" s="630"/>
      <c r="D9" s="630"/>
      <c r="E9" s="631"/>
      <c r="F9" s="628" t="s">
        <v>848</v>
      </c>
      <c r="G9" s="1753"/>
      <c r="H9" s="1749"/>
      <c r="I9" s="1749"/>
      <c r="J9" s="1752"/>
      <c r="K9" s="1745">
        <v>14430</v>
      </c>
    </row>
    <row r="10" spans="1:11" x14ac:dyDescent="0.2">
      <c r="A10" s="2323" t="s">
        <v>1787</v>
      </c>
      <c r="B10" s="2324"/>
      <c r="C10" s="2324"/>
      <c r="D10" s="2324"/>
      <c r="E10" s="2326"/>
      <c r="F10" s="633" t="s">
        <v>857</v>
      </c>
      <c r="G10" s="1753"/>
      <c r="H10" s="1754"/>
      <c r="I10" s="1744"/>
      <c r="J10" s="1745"/>
      <c r="K10" s="1745"/>
    </row>
    <row r="11" spans="1:11" x14ac:dyDescent="0.2">
      <c r="A11" s="2323" t="s">
        <v>159</v>
      </c>
      <c r="B11" s="2324"/>
      <c r="C11" s="2324"/>
      <c r="D11" s="2324"/>
      <c r="E11" s="2325"/>
      <c r="F11" s="622" t="s">
        <v>847</v>
      </c>
      <c r="G11" s="1749"/>
      <c r="H11" s="1744"/>
      <c r="I11" s="1744"/>
      <c r="J11" s="1745"/>
      <c r="K11" s="1751"/>
    </row>
    <row r="12" spans="1:11" ht="13.5" thickBot="1" x14ac:dyDescent="0.25">
      <c r="A12" s="2350" t="s">
        <v>899</v>
      </c>
      <c r="B12" s="2351"/>
      <c r="C12" s="2351"/>
      <c r="D12" s="2351"/>
      <c r="E12" s="2352"/>
      <c r="F12" s="1433"/>
      <c r="G12" s="1755">
        <f>SUM(G5:G11)</f>
        <v>0</v>
      </c>
      <c r="H12" s="1755">
        <f>SUM(H5:H11)</f>
        <v>65486</v>
      </c>
      <c r="I12" s="1755">
        <f>SUM(I5:I11)</f>
        <v>0</v>
      </c>
      <c r="J12" s="1755">
        <f>SUM(J5:J11)</f>
        <v>8297</v>
      </c>
      <c r="K12" s="1755">
        <f>SUM(K5:K11)</f>
        <v>19036</v>
      </c>
    </row>
    <row r="13" spans="1:11" ht="13.5" thickTop="1" x14ac:dyDescent="0.2">
      <c r="A13" s="2347" t="s">
        <v>367</v>
      </c>
      <c r="B13" s="2348"/>
      <c r="C13" s="2348"/>
      <c r="D13" s="2348"/>
      <c r="E13" s="2349"/>
      <c r="F13" s="634"/>
      <c r="G13" s="1756"/>
      <c r="H13" s="1757"/>
      <c r="I13" s="1758"/>
      <c r="J13" s="1758"/>
      <c r="K13" s="1758"/>
    </row>
    <row r="14" spans="1:11" x14ac:dyDescent="0.2">
      <c r="A14" s="2330" t="s">
        <v>453</v>
      </c>
      <c r="B14" s="2330"/>
      <c r="C14" s="2330"/>
      <c r="D14" s="2330"/>
      <c r="E14" s="2331"/>
      <c r="F14" s="635" t="s">
        <v>849</v>
      </c>
      <c r="G14" s="1753"/>
      <c r="H14" s="1744">
        <v>65486</v>
      </c>
      <c r="I14" s="1749"/>
      <c r="J14" s="1751"/>
      <c r="K14" s="1745">
        <v>19036</v>
      </c>
    </row>
    <row r="15" spans="1:11" x14ac:dyDescent="0.2">
      <c r="A15" s="2324" t="s">
        <v>4</v>
      </c>
      <c r="B15" s="2324"/>
      <c r="C15" s="2324"/>
      <c r="D15" s="2324"/>
      <c r="E15" s="2325"/>
      <c r="F15" s="635" t="s">
        <v>850</v>
      </c>
      <c r="G15" s="1749"/>
      <c r="H15" s="1744"/>
      <c r="I15" s="1744"/>
      <c r="J15" s="1745">
        <v>8297</v>
      </c>
      <c r="K15" s="1745"/>
    </row>
    <row r="16" spans="1:11" x14ac:dyDescent="0.2">
      <c r="A16" s="2324" t="s">
        <v>295</v>
      </c>
      <c r="B16" s="2324"/>
      <c r="C16" s="2324"/>
      <c r="D16" s="2324"/>
      <c r="E16" s="2325"/>
      <c r="F16" s="635" t="s">
        <v>917</v>
      </c>
      <c r="G16" s="1750"/>
      <c r="H16" s="1746"/>
      <c r="I16" s="1746"/>
      <c r="J16" s="1748"/>
      <c r="K16" s="1748"/>
    </row>
    <row r="17" spans="1:15" x14ac:dyDescent="0.2">
      <c r="A17" s="2357" t="s">
        <v>929</v>
      </c>
      <c r="B17" s="2357"/>
      <c r="C17" s="2357"/>
      <c r="D17" s="2357"/>
      <c r="E17" s="2358"/>
      <c r="F17" s="636"/>
      <c r="G17" s="1759"/>
      <c r="H17" s="1760"/>
      <c r="I17" s="1760"/>
      <c r="J17" s="1761"/>
      <c r="K17" s="1762"/>
    </row>
    <row r="18" spans="1:15" x14ac:dyDescent="0.2">
      <c r="A18" s="2334" t="s">
        <v>365</v>
      </c>
      <c r="B18" s="2335"/>
      <c r="C18" s="2335"/>
      <c r="D18" s="2335"/>
      <c r="E18" s="2336"/>
      <c r="F18" s="635" t="s">
        <v>926</v>
      </c>
      <c r="G18" s="1753"/>
      <c r="H18" s="1753"/>
      <c r="I18" s="1753"/>
      <c r="J18" s="1745"/>
      <c r="K18" s="1763"/>
    </row>
    <row r="19" spans="1:15" ht="21.75" customHeight="1" x14ac:dyDescent="0.2">
      <c r="A19" s="2332" t="s">
        <v>1783</v>
      </c>
      <c r="B19" s="2332"/>
      <c r="C19" s="2332"/>
      <c r="D19" s="2332"/>
      <c r="E19" s="2333"/>
      <c r="F19" s="635" t="s">
        <v>927</v>
      </c>
      <c r="G19" s="1753"/>
      <c r="H19" s="1753"/>
      <c r="I19" s="1753"/>
      <c r="J19" s="1745"/>
      <c r="K19" s="1763"/>
    </row>
    <row r="20" spans="1:15" x14ac:dyDescent="0.2">
      <c r="A20" s="2334" t="s">
        <v>1788</v>
      </c>
      <c r="B20" s="2335"/>
      <c r="C20" s="2335"/>
      <c r="D20" s="2335"/>
      <c r="E20" s="2336"/>
      <c r="F20" s="635" t="s">
        <v>928</v>
      </c>
      <c r="G20" s="1753"/>
      <c r="H20" s="1753"/>
      <c r="I20" s="1753"/>
      <c r="J20" s="1745"/>
      <c r="K20" s="1763"/>
    </row>
    <row r="21" spans="1:15" ht="13.5" thickBot="1" x14ac:dyDescent="0.25">
      <c r="A21" s="2353" t="s">
        <v>633</v>
      </c>
      <c r="B21" s="2353"/>
      <c r="C21" s="2353"/>
      <c r="D21" s="2353"/>
      <c r="E21" s="2353"/>
      <c r="F21" s="1434"/>
      <c r="G21" s="1760"/>
      <c r="H21" s="1764"/>
      <c r="I21" s="1764"/>
      <c r="J21" s="1765">
        <f>SUM(J18:J20)</f>
        <v>0</v>
      </c>
      <c r="K21" s="1761"/>
    </row>
    <row r="22" spans="1:15" ht="13.5" thickTop="1" x14ac:dyDescent="0.2">
      <c r="A22" s="2324" t="s">
        <v>1789</v>
      </c>
      <c r="B22" s="2324"/>
      <c r="C22" s="2324"/>
      <c r="D22" s="2324"/>
      <c r="E22" s="2325"/>
      <c r="F22" s="635" t="s">
        <v>857</v>
      </c>
      <c r="G22" s="1753"/>
      <c r="H22" s="1744"/>
      <c r="I22" s="1744"/>
      <c r="J22" s="1766"/>
      <c r="K22" s="1745"/>
    </row>
    <row r="23" spans="1:15" ht="13.5" thickBot="1" x14ac:dyDescent="0.25">
      <c r="A23" s="2354" t="s">
        <v>900</v>
      </c>
      <c r="B23" s="2353"/>
      <c r="C23" s="2353"/>
      <c r="D23" s="2353"/>
      <c r="E23" s="2353"/>
      <c r="F23" s="1436"/>
      <c r="G23" s="1755">
        <f>SUM(G14:G16,G21,G22)</f>
        <v>0</v>
      </c>
      <c r="H23" s="1755">
        <f>SUM(H14:H16,H21,H22)</f>
        <v>65486</v>
      </c>
      <c r="I23" s="1755">
        <f>SUM(I14:I16,I21,I22)</f>
        <v>0</v>
      </c>
      <c r="J23" s="1755">
        <f>SUM(J14:J16,J21,J22)</f>
        <v>8297</v>
      </c>
      <c r="K23" s="1755">
        <f>SUM(K14:K16,K21,K22)</f>
        <v>19036</v>
      </c>
      <c r="M23" s="1846"/>
      <c r="N23" s="1846"/>
      <c r="O23" s="1846"/>
    </row>
    <row r="24" spans="1:15" ht="14.25" thickTop="1" thickBot="1" x14ac:dyDescent="0.25">
      <c r="A24" s="2355" t="str">
        <f>"Ending Cash Basis Fund Balance as of June 30, "&amp;'AFR20'!E2</f>
        <v>Ending Cash Basis Fund Balance as of June 30, 2020</v>
      </c>
      <c r="B24" s="2356"/>
      <c r="C24" s="2356"/>
      <c r="D24" s="2356"/>
      <c r="E24" s="2356"/>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1159</v>
      </c>
      <c r="B33" s="341"/>
      <c r="C33" s="341"/>
      <c r="D33" s="341"/>
      <c r="E33" s="341"/>
      <c r="F33" s="341"/>
      <c r="G33" s="653"/>
      <c r="H33" s="2329"/>
      <c r="I33" s="2328"/>
      <c r="J33" s="2328"/>
      <c r="K33" s="2328"/>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1872</v>
      </c>
      <c r="B1" s="2362"/>
      <c r="C1" s="2363"/>
      <c r="D1" s="666"/>
      <c r="E1" s="667"/>
      <c r="F1" s="667"/>
      <c r="G1" s="668"/>
      <c r="H1" s="669"/>
      <c r="I1" s="670"/>
      <c r="J1" s="2359"/>
      <c r="K1" s="2360"/>
      <c r="L1" s="2360"/>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164660</v>
      </c>
      <c r="D5" s="1770"/>
      <c r="E5" s="1770"/>
      <c r="F5" s="1765">
        <f>(C5+D5)-E5</f>
        <v>164660</v>
      </c>
      <c r="G5" s="676"/>
      <c r="H5" s="680"/>
      <c r="I5" s="680"/>
      <c r="J5" s="680"/>
      <c r="K5" s="637"/>
      <c r="L5" s="1442">
        <f>F5-K5</f>
        <v>164660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32326301</v>
      </c>
      <c r="D8" s="1771">
        <v>10407245</v>
      </c>
      <c r="E8" s="1771"/>
      <c r="F8" s="1765">
        <f>(C8+D8)-E8</f>
        <v>42733546</v>
      </c>
      <c r="G8" s="681">
        <v>50</v>
      </c>
      <c r="H8" s="619">
        <v>6693531</v>
      </c>
      <c r="I8" s="619">
        <v>791461</v>
      </c>
      <c r="J8" s="619"/>
      <c r="K8" s="1442">
        <f>(H8+I8)-J8</f>
        <v>7484992</v>
      </c>
      <c r="L8" s="1442">
        <f>F8-K8</f>
        <v>35248554</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4024177</v>
      </c>
      <c r="D10" s="1772">
        <v>98855</v>
      </c>
      <c r="E10" s="1772"/>
      <c r="F10" s="1773">
        <f>(C10+D10)-E10</f>
        <v>4123032</v>
      </c>
      <c r="G10" s="681">
        <v>20</v>
      </c>
      <c r="H10" s="683">
        <v>2703265</v>
      </c>
      <c r="I10" s="683">
        <v>140807</v>
      </c>
      <c r="J10" s="683"/>
      <c r="K10" s="1442">
        <f>(H10+I10)-J10</f>
        <v>2844072</v>
      </c>
      <c r="L10" s="1442">
        <f>F10-K10</f>
        <v>1278960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4413635</v>
      </c>
      <c r="D12" s="1771">
        <v>124911</v>
      </c>
      <c r="E12" s="1771"/>
      <c r="F12" s="1765">
        <f>(C12+D12)-E12</f>
        <v>4538546</v>
      </c>
      <c r="G12" s="681">
        <v>10</v>
      </c>
      <c r="H12" s="619">
        <v>3656713</v>
      </c>
      <c r="I12" s="619">
        <v>155320</v>
      </c>
      <c r="J12" s="619"/>
      <c r="K12" s="1442">
        <f>(H12+I12)-J12</f>
        <v>3812033</v>
      </c>
      <c r="L12" s="1442">
        <f>F12-K12</f>
        <v>726513</v>
      </c>
    </row>
    <row r="13" spans="1:14" ht="14.25" thickTop="1" thickBot="1" x14ac:dyDescent="0.25">
      <c r="A13" s="684" t="s">
        <v>1112</v>
      </c>
      <c r="B13" s="679">
        <v>252</v>
      </c>
      <c r="C13" s="1771">
        <v>295540</v>
      </c>
      <c r="D13" s="1771">
        <v>23338</v>
      </c>
      <c r="E13" s="1771"/>
      <c r="F13" s="1765">
        <f>(C13+D13)-E13</f>
        <v>318878</v>
      </c>
      <c r="G13" s="681">
        <v>5</v>
      </c>
      <c r="H13" s="619">
        <v>273029</v>
      </c>
      <c r="I13" s="619">
        <v>6945</v>
      </c>
      <c r="J13" s="619"/>
      <c r="K13" s="1442">
        <f>(H13+I13)-J13</f>
        <v>279974</v>
      </c>
      <c r="L13" s="1442">
        <f>F13-K13</f>
        <v>38904</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41224313</v>
      </c>
      <c r="D16" s="1765">
        <f>SUM(D3,D5:D6,D8:D10,D12:D15)</f>
        <v>10654349</v>
      </c>
      <c r="E16" s="1765">
        <f>SUM(E3,E5:E6,E8:E10,E12:E15)</f>
        <v>0</v>
      </c>
      <c r="F16" s="1765">
        <f>SUM(F3,F5:F6,F8:F10,F12:F15)</f>
        <v>51878662</v>
      </c>
      <c r="G16" s="681"/>
      <c r="H16" s="1435">
        <f>SUM(H3,H6,H8:H10,H12:H14,)</f>
        <v>13326538</v>
      </c>
      <c r="I16" s="1435">
        <f>SUM(I3,I6,I8:I10,I12:I14,)</f>
        <v>1094533</v>
      </c>
      <c r="J16" s="1435">
        <f>SUM(J3,J6,J8:J10,J12:J14,)</f>
        <v>0</v>
      </c>
      <c r="K16" s="1435">
        <f>(H16+I16)-J16</f>
        <v>14421071</v>
      </c>
      <c r="L16" s="1435">
        <f>F16-K16</f>
        <v>37457591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1094533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1095</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12184864</v>
      </c>
      <c r="G8" s="701"/>
    </row>
    <row r="9" spans="1:9" x14ac:dyDescent="0.2">
      <c r="A9" s="705" t="s">
        <v>457</v>
      </c>
      <c r="B9" s="706" t="s">
        <v>1845</v>
      </c>
      <c r="C9" s="707"/>
      <c r="D9" s="705" t="s">
        <v>498</v>
      </c>
      <c r="E9" s="704"/>
      <c r="F9" s="1775">
        <f>'Expenditures 15-22'!K151</f>
        <v>906916</v>
      </c>
      <c r="G9" s="708"/>
    </row>
    <row r="10" spans="1:9" x14ac:dyDescent="0.2">
      <c r="A10" s="705" t="s">
        <v>496</v>
      </c>
      <c r="B10" s="706" t="s">
        <v>1846</v>
      </c>
      <c r="C10" s="707"/>
      <c r="D10" s="705" t="s">
        <v>498</v>
      </c>
      <c r="E10" s="704"/>
      <c r="F10" s="1775">
        <f>'Expenditures 15-22'!K174</f>
        <v>2178989</v>
      </c>
      <c r="G10" s="708"/>
    </row>
    <row r="11" spans="1:9" x14ac:dyDescent="0.2">
      <c r="A11" s="705" t="s">
        <v>458</v>
      </c>
      <c r="B11" s="706" t="s">
        <v>1847</v>
      </c>
      <c r="C11" s="707"/>
      <c r="D11" s="705" t="s">
        <v>498</v>
      </c>
      <c r="E11" s="704"/>
      <c r="F11" s="1775">
        <f>'Expenditures 15-22'!K210</f>
        <v>821817</v>
      </c>
      <c r="G11" s="708"/>
    </row>
    <row r="12" spans="1:9" x14ac:dyDescent="0.2">
      <c r="A12" s="705" t="s">
        <v>459</v>
      </c>
      <c r="B12" s="706" t="s">
        <v>1848</v>
      </c>
      <c r="C12" s="707"/>
      <c r="D12" s="705" t="s">
        <v>498</v>
      </c>
      <c r="E12" s="704"/>
      <c r="F12" s="1775">
        <f>'Expenditures 15-22'!K295</f>
        <v>397542</v>
      </c>
      <c r="G12" s="708"/>
    </row>
    <row r="13" spans="1:9" x14ac:dyDescent="0.2">
      <c r="A13" s="705" t="s">
        <v>106</v>
      </c>
      <c r="B13" s="706" t="s">
        <v>1849</v>
      </c>
      <c r="C13" s="707"/>
      <c r="D13" s="705" t="s">
        <v>498</v>
      </c>
      <c r="E13" s="704"/>
      <c r="F13" s="1775">
        <f>'Expenditures 15-22'!K342</f>
        <v>266325</v>
      </c>
      <c r="G13" s="709"/>
    </row>
    <row r="14" spans="1:9" ht="12" customHeight="1" thickBot="1" x14ac:dyDescent="0.25">
      <c r="A14" s="1443"/>
      <c r="B14" s="1444"/>
      <c r="C14" s="1445"/>
      <c r="D14" s="1446" t="s">
        <v>498</v>
      </c>
      <c r="E14" s="1447" t="s">
        <v>952</v>
      </c>
      <c r="F14" s="1776">
        <f>SUM(F8:F13)</f>
        <v>16756453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20322</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5520</v>
      </c>
      <c r="G52" s="701"/>
    </row>
    <row r="53" spans="1:7" x14ac:dyDescent="0.2">
      <c r="A53" s="705" t="s">
        <v>456</v>
      </c>
      <c r="B53" s="705" t="s">
        <v>1458</v>
      </c>
      <c r="C53" s="724">
        <f>'Expenditures 15-22'!B102</f>
        <v>4000</v>
      </c>
      <c r="D53" s="723" t="str">
        <f>'Expenditures 15-22'!A102</f>
        <v>Total Payments to Other Govt Units</v>
      </c>
      <c r="E53" s="704"/>
      <c r="F53" s="1782">
        <f>'Expenditures 15-22'!K102</f>
        <v>923977</v>
      </c>
      <c r="G53" s="701"/>
    </row>
    <row r="54" spans="1:7" x14ac:dyDescent="0.2">
      <c r="A54" s="705" t="s">
        <v>456</v>
      </c>
      <c r="B54" s="705" t="s">
        <v>1459</v>
      </c>
      <c r="C54" s="724" t="s">
        <v>975</v>
      </c>
      <c r="D54" s="720" t="s">
        <v>1086</v>
      </c>
      <c r="E54" s="704"/>
      <c r="F54" s="1782">
        <f>'Expenditures 15-22'!G114</f>
        <v>124911</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98855</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835000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23338</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983</v>
      </c>
      <c r="G71" s="701"/>
    </row>
    <row r="72" spans="1:9" x14ac:dyDescent="0.2">
      <c r="A72" s="705" t="s">
        <v>459</v>
      </c>
      <c r="B72" s="705" t="s">
        <v>1864</v>
      </c>
      <c r="C72" s="721">
        <f>'Expenditures 15-22'!B280</f>
        <v>3000</v>
      </c>
      <c r="D72" s="712" t="s">
        <v>446</v>
      </c>
      <c r="E72" s="704"/>
      <c r="F72" s="1782">
        <f>'Expenditures 15-22'!K280</f>
        <v>63</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2032969</v>
      </c>
      <c r="G77" s="701"/>
    </row>
    <row r="78" spans="1:9" s="728" customFormat="1" ht="12" customHeight="1" thickTop="1" thickBot="1" x14ac:dyDescent="0.25">
      <c r="A78" s="1450"/>
      <c r="B78" s="1448"/>
      <c r="C78" s="1445"/>
      <c r="D78" s="1449" t="s">
        <v>2009</v>
      </c>
      <c r="E78" s="1447"/>
      <c r="F78" s="1788">
        <f>(F14-F77)</f>
        <v>14723484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1307.0999999999999</v>
      </c>
      <c r="G79" s="733"/>
      <c r="H79" s="705"/>
      <c r="I79" s="705"/>
    </row>
    <row r="80" spans="1:9" s="728" customFormat="1" ht="12" customHeight="1" thickBot="1" x14ac:dyDescent="0.25">
      <c r="A80" s="1452"/>
      <c r="B80" s="1448"/>
      <c r="C80" s="1445"/>
      <c r="D80" s="1449" t="s">
        <v>2010</v>
      </c>
      <c r="E80" s="1447" t="s">
        <v>952</v>
      </c>
      <c r="F80" s="1790">
        <f>IF(F79&gt;0,F78/F79," Complete Line 79")</f>
        <v>11264.236860224926</v>
      </c>
      <c r="G80" s="705"/>
    </row>
    <row r="81" spans="1:7" s="728" customFormat="1" ht="8.25" customHeight="1" thickTop="1" x14ac:dyDescent="0.2">
      <c r="A81" s="734"/>
      <c r="B81" s="705"/>
      <c r="C81" s="707"/>
      <c r="D81" s="735"/>
      <c r="E81" s="704"/>
      <c r="F81" s="1791"/>
      <c r="G81" s="705"/>
    </row>
    <row r="82" spans="1:7" s="728" customFormat="1" ht="12" thickBot="1" x14ac:dyDescent="0.25">
      <c r="A82" s="2364" t="s">
        <v>1096</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151581</v>
      </c>
      <c r="G95" s="745"/>
    </row>
    <row r="96" spans="1:7" x14ac:dyDescent="0.2">
      <c r="A96" s="741" t="s">
        <v>139</v>
      </c>
      <c r="B96" s="741" t="s">
        <v>174</v>
      </c>
      <c r="C96" s="743">
        <v>1700</v>
      </c>
      <c r="D96" s="751" t="str">
        <f>'Revenues 9-14'!A82</f>
        <v>Total District/School Activity Income</v>
      </c>
      <c r="E96" s="739"/>
      <c r="F96" s="1793">
        <f>SUM('Revenues 9-14'!C82,'Revenues 9-14'!D82)</f>
        <v>59197</v>
      </c>
      <c r="G96" s="745"/>
    </row>
    <row r="97" spans="1:7" x14ac:dyDescent="0.2">
      <c r="A97" s="741" t="s">
        <v>456</v>
      </c>
      <c r="B97" s="741" t="s">
        <v>175</v>
      </c>
      <c r="C97" s="743">
        <f>'Revenues 9-14'!B84</f>
        <v>1811</v>
      </c>
      <c r="D97" s="744" t="str">
        <f>'Revenues 9-14'!A84</f>
        <v>Rentals - Regular Textbooks</v>
      </c>
      <c r="E97" s="739"/>
      <c r="F97" s="1793">
        <f>'Revenues 9-14'!C84</f>
        <v>100751</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7200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211585</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30940</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3845</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14430</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446726</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1923</v>
      </c>
      <c r="C122" s="761">
        <f>'Revenues 9-14'!B168</f>
        <v>3999</v>
      </c>
      <c r="D122" s="762" t="s">
        <v>540</v>
      </c>
      <c r="E122" s="764"/>
      <c r="F122" s="1793">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373005</v>
      </c>
      <c r="G126" s="763"/>
    </row>
    <row r="127" spans="1:7" x14ac:dyDescent="0.2">
      <c r="A127" s="760" t="s">
        <v>663</v>
      </c>
      <c r="B127" s="760" t="s">
        <v>1928</v>
      </c>
      <c r="C127" s="765">
        <v>4300</v>
      </c>
      <c r="D127" s="766" t="str">
        <f>'Revenues 9-14'!A204</f>
        <v>Total Title I</v>
      </c>
      <c r="E127" s="739"/>
      <c r="F127" s="1793">
        <f>SUM('Revenues 9-14'!C204,'Revenues 9-14'!D204,'Revenues 9-14'!F204,'Revenues 9-14'!G204)</f>
        <v>273129</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7240</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306258</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0</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60769</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4680</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17542</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v>493404</v>
      </c>
      <c r="G172" s="760"/>
    </row>
    <row r="173" spans="1:7" x14ac:dyDescent="0.2">
      <c r="A173" s="1529" t="s">
        <v>659</v>
      </c>
      <c r="B173" s="1530" t="s">
        <v>1882</v>
      </c>
      <c r="C173" s="1531">
        <v>3300</v>
      </c>
      <c r="D173" s="1532" t="s">
        <v>1885</v>
      </c>
      <c r="E173" s="739"/>
      <c r="F173" s="1794">
        <v>1291</v>
      </c>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2613573</v>
      </c>
    </row>
    <row r="176" spans="1:7" ht="12" customHeight="1" x14ac:dyDescent="0.2">
      <c r="A176" s="1443"/>
      <c r="B176" s="1453"/>
      <c r="C176" s="1454"/>
      <c r="D176" s="1455" t="s">
        <v>2011</v>
      </c>
      <c r="E176" s="1456"/>
      <c r="F176" s="1793">
        <f>'PCTC-OEPP 27-28'!F78-F175</f>
        <v>12109911</v>
      </c>
    </row>
    <row r="177" spans="1:9" ht="12" customHeight="1" x14ac:dyDescent="0.2">
      <c r="A177" s="1443"/>
      <c r="B177" s="1453"/>
      <c r="C177" s="1454"/>
      <c r="D177" s="1455" t="s">
        <v>1791</v>
      </c>
      <c r="E177" s="1456"/>
      <c r="F177" s="1793">
        <f>'Cap Outlay Deprec 26'!I18</f>
        <v>1094533</v>
      </c>
    </row>
    <row r="178" spans="1:9" ht="12" customHeight="1" x14ac:dyDescent="0.2">
      <c r="A178" s="1443"/>
      <c r="B178" s="1453"/>
      <c r="C178" s="1454"/>
      <c r="D178" s="1455" t="s">
        <v>2012</v>
      </c>
      <c r="E178" s="1456"/>
      <c r="F178" s="1793">
        <f>F176+F177</f>
        <v>13204444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1307.0999999999999</v>
      </c>
      <c r="G179" s="763"/>
      <c r="I179" s="701"/>
    </row>
    <row r="180" spans="1:9" ht="12" customHeight="1" thickBot="1" x14ac:dyDescent="0.25">
      <c r="A180" s="1443"/>
      <c r="B180" s="1457"/>
      <c r="C180" s="1454"/>
      <c r="D180" s="1455" t="s">
        <v>2014</v>
      </c>
      <c r="E180" s="1456" t="s">
        <v>1528</v>
      </c>
      <c r="F180" s="1798">
        <f>F178/F179</f>
        <v>10102.09165327825</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78" t="s">
        <v>1792</v>
      </c>
      <c r="B4" s="2379"/>
      <c r="C4" s="2379"/>
      <c r="D4" s="2379"/>
      <c r="E4" s="2379"/>
      <c r="F4" s="2380"/>
    </row>
    <row r="5" spans="1:6" x14ac:dyDescent="0.25">
      <c r="A5" s="2381"/>
      <c r="B5" s="2382"/>
      <c r="C5" s="2382"/>
      <c r="D5" s="2382"/>
      <c r="E5" s="2382"/>
      <c r="F5" s="2383"/>
    </row>
    <row r="6" spans="1:6" ht="18.75" x14ac:dyDescent="0.25">
      <c r="A6" s="1867" t="s">
        <v>1793</v>
      </c>
      <c r="B6" s="1868"/>
      <c r="C6" s="1869"/>
      <c r="D6" s="1869"/>
      <c r="E6" s="1869"/>
      <c r="F6" s="1870"/>
    </row>
    <row r="7" spans="1:6" ht="47.25" customHeight="1" x14ac:dyDescent="0.25">
      <c r="A7" s="2384" t="s">
        <v>1982</v>
      </c>
      <c r="B7" s="2385"/>
      <c r="C7" s="2385"/>
      <c r="D7" s="2385"/>
      <c r="E7" s="2385"/>
      <c r="F7" s="2386"/>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7" t="s">
        <v>1978</v>
      </c>
      <c r="B10" s="2388"/>
      <c r="C10" s="2388"/>
      <c r="D10" s="2388"/>
      <c r="E10" s="2388"/>
      <c r="F10" s="2389"/>
    </row>
    <row r="11" spans="1:6" ht="33" customHeight="1" x14ac:dyDescent="0.25">
      <c r="A11" s="2384" t="s">
        <v>1983</v>
      </c>
      <c r="B11" s="2385"/>
      <c r="C11" s="2385"/>
      <c r="D11" s="2385"/>
      <c r="E11" s="2385"/>
      <c r="F11" s="2386"/>
    </row>
    <row r="12" spans="1:6" ht="15" customHeight="1" x14ac:dyDescent="0.25">
      <c r="A12" s="1873" t="s">
        <v>1979</v>
      </c>
      <c r="B12" s="1874"/>
      <c r="C12" s="1875"/>
      <c r="D12" s="1875"/>
      <c r="E12" s="1875"/>
      <c r="F12" s="1876"/>
    </row>
    <row r="13" spans="1:6" ht="17.25" customHeight="1" x14ac:dyDescent="0.25">
      <c r="A13" s="2384" t="s">
        <v>1980</v>
      </c>
      <c r="B13" s="2385"/>
      <c r="C13" s="2385"/>
      <c r="D13" s="2385"/>
      <c r="E13" s="2385"/>
      <c r="F13" s="2386"/>
    </row>
    <row r="14" spans="1:6" ht="15" customHeight="1" x14ac:dyDescent="0.25">
      <c r="A14" s="1873" t="s">
        <v>1797</v>
      </c>
      <c r="B14" s="1874"/>
      <c r="C14" s="1875"/>
      <c r="D14" s="1875"/>
      <c r="E14" s="1875"/>
      <c r="F14" s="187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6" t="s">
        <v>2068</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1660</v>
      </c>
      <c r="B5" s="2391"/>
      <c r="C5" s="2391"/>
      <c r="D5" s="2391"/>
      <c r="E5" s="2391"/>
      <c r="F5" s="2391"/>
      <c r="G5" s="2392"/>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801">
        <v>38526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7924027</v>
      </c>
      <c r="F19" s="1802"/>
      <c r="G19" s="1804">
        <f>'Expenditures 15-22'!K33-SUM('Expenditures 15-22'!G33,'Expenditures 15-22'!I33)+'Expenditures 15-22'!D229</f>
        <v>7924027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393524</v>
      </c>
      <c r="F21" s="1805"/>
      <c r="G21" s="1808">
        <f>'Expenditures 15-22'!K42-SUM('Expenditures 15-22'!G42,'Expenditures 15-22'!I42)+'Expenditures 15-22'!K120-SUM('Expenditures 15-22'!G120,'Expenditures 15-22'!I120)+'Expenditures 15-22'!K180-SUM('Expenditures 15-22'!G180,'Expenditures 15-22'!I180)+'Expenditures 15-22'!D238</f>
        <v>393524</v>
      </c>
      <c r="H21" s="817"/>
      <c r="I21" s="157"/>
    </row>
    <row r="22" spans="1:9" s="542" customFormat="1" ht="12" customHeight="1" x14ac:dyDescent="0.2">
      <c r="A22" s="824" t="s">
        <v>560</v>
      </c>
      <c r="B22" s="825"/>
      <c r="C22" s="823">
        <v>2200</v>
      </c>
      <c r="D22" s="1805"/>
      <c r="E22" s="1807">
        <f>'Expenditures 15-22'!K47-SUM('Expenditures 15-22'!G47,'Expenditures 15-22'!I47)+'Expenditures 15-22'!D243</f>
        <v>568307</v>
      </c>
      <c r="F22" s="1805"/>
      <c r="G22" s="1808">
        <f>'Expenditures 15-22'!K47-SUM('Expenditures 15-22'!G47,'Expenditures 15-22'!I47)+'Expenditures 15-22'!D243</f>
        <v>568307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590523</v>
      </c>
      <c r="F23" s="1805"/>
      <c r="G23" s="1807">
        <f>'Expenditures 15-22'!K53-SUM('Expenditures 15-22'!G53,'Expenditures 15-22'!I53)+'Expenditures 15-22'!D257+'Expenditures 15-22'!K330-SUM('Expenditures 15-22'!G330,'Expenditures 15-22'!I330)</f>
        <v>590523</v>
      </c>
      <c r="H23" s="817"/>
      <c r="I23" s="157"/>
    </row>
    <row r="24" spans="1:9" s="542" customFormat="1" ht="12" customHeight="1" x14ac:dyDescent="0.2">
      <c r="A24" s="824" t="s">
        <v>562</v>
      </c>
      <c r="B24" s="825"/>
      <c r="C24" s="823">
        <v>2400</v>
      </c>
      <c r="D24" s="1805"/>
      <c r="E24" s="1807">
        <f>'Expenditures 15-22'!K57-SUM('Expenditures 15-22'!G57,'Expenditures 15-22'!I57)+'Expenditures 15-22'!D261</f>
        <v>773565</v>
      </c>
      <c r="F24" s="1805"/>
      <c r="G24" s="1808">
        <f>'Expenditures 15-22'!K57-SUM('Expenditures 15-22'!G57,'Expenditures 15-22'!I57)+'Expenditures 15-22'!D261</f>
        <v>773565</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210071</v>
      </c>
      <c r="E27" s="1807">
        <f>E8</f>
        <v>0</v>
      </c>
      <c r="F27" s="1807">
        <f>'Expenditures 15-22'!K60-SUM('Expenditures 15-22'!G60,'Expenditures 15-22'!I60)+'Expenditures 15-22'!D264-E8</f>
        <v>210071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1498961</v>
      </c>
      <c r="F28" s="1809">
        <f>'Expenditures 15-22'!K61-SUM('Expenditures 15-22'!G61,'Expenditures 15-22'!I61)+'Expenditures 15-22'!K124-SUM('Expenditures 15-22'!G124,'Expenditures 15-22'!I124)+'Expenditures 15-22'!D266-E9</f>
        <v>1498961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806434</v>
      </c>
      <c r="F29" s="1805"/>
      <c r="G29" s="1808">
        <f>'Expenditures 15-22'!K62-SUM('Expenditures 15-22'!G62,'Expenditures 15-22'!I62)+'Expenditures 15-22'!K125-SUM('Expenditures 15-22'!G125,'Expenditures 15-22'!I125)+'Expenditures 15-22'!K182-SUM('Expenditures 15-22'!G182,'Expenditures 15-22'!I182)+'Expenditures 15-22'!D267</f>
        <v>806434</v>
      </c>
      <c r="H29" s="815"/>
    </row>
    <row r="30" spans="1:9" ht="12" customHeight="1" x14ac:dyDescent="0.2">
      <c r="A30" s="824" t="s">
        <v>100</v>
      </c>
      <c r="B30" s="827"/>
      <c r="C30" s="823">
        <v>2560</v>
      </c>
      <c r="D30" s="1805"/>
      <c r="E30" s="1807">
        <f>'Expenditures 15-22'!K63-SUM('Expenditures 15-22'!G63,'Expenditures 15-22'!I63)+'Expenditures 15-22'!D268-E10</f>
        <v>630413</v>
      </c>
      <c r="F30" s="1805"/>
      <c r="G30" s="1807">
        <f>'Expenditures 15-22'!K63-SUM('Expenditures 15-22'!G63,'Expenditures 15-22'!I63)+'Expenditures 15-22'!D268-E10</f>
        <v>630413</v>
      </c>
    </row>
    <row r="31" spans="1:9" ht="12" customHeight="1" x14ac:dyDescent="0.2">
      <c r="A31" s="824" t="s">
        <v>101</v>
      </c>
      <c r="B31" s="827"/>
      <c r="C31" s="823">
        <v>2570</v>
      </c>
      <c r="D31" s="1807">
        <f>'Expenditures 15-22'!K64-SUM('Expenditures 15-22'!G64,'Expenditures 15-22'!I64)+'Expenditures 15-22'!D269-E12</f>
        <v>3000</v>
      </c>
      <c r="E31" s="1807">
        <f>E12</f>
        <v>0</v>
      </c>
      <c r="F31" s="1807">
        <f>'Expenditures 15-22'!K64-SUM('Expenditures 15-22'!G64,'Expenditures 15-22'!I64)+'Expenditures 15-22'!D269-E12</f>
        <v>3000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1975</v>
      </c>
      <c r="E36" s="1807">
        <f>E13</f>
        <v>0</v>
      </c>
      <c r="F36" s="1807">
        <f>'Expenditures 15-22'!K70-SUM('Expenditures 15-22'!G70,'Expenditures 15-22'!I70)+'Expenditures 15-22'!D275-E13</f>
        <v>1975</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5583</v>
      </c>
      <c r="F39" s="1805"/>
      <c r="G39" s="1807">
        <f>'Expenditures 15-22'!K75-SUM('Expenditures 15-22'!G75,'Expenditures 15-22'!I75)+'Expenditures 15-22'!K130-SUM('Expenditures 15-22'!G130,'Expenditures 15-22'!I130)+'Expenditures 15-22'!K185-SUM('Expenditures 15-22'!G185,'Expenditures 15-22'!I185)+'Expenditures 15-22'!D280</f>
        <v>5583</v>
      </c>
    </row>
    <row r="40" spans="1:7" ht="12" customHeight="1" x14ac:dyDescent="0.2">
      <c r="A40" s="820" t="s">
        <v>1795</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215046</v>
      </c>
      <c r="E41" s="1809">
        <f>SUM(E19:E40)</f>
        <v>13191337</v>
      </c>
      <c r="F41" s="1809">
        <f>SUM(F19:F39)</f>
        <v>1714007</v>
      </c>
      <c r="G41" s="1809">
        <f>SUM(G19:G40)</f>
        <v>11692376</v>
      </c>
    </row>
    <row r="42" spans="1:7" x14ac:dyDescent="0.2">
      <c r="A42" s="817"/>
      <c r="B42" s="157"/>
      <c r="C42" s="831"/>
      <c r="D42" s="2393" t="s">
        <v>519</v>
      </c>
      <c r="E42" s="2394"/>
      <c r="F42" s="832" t="s">
        <v>520</v>
      </c>
      <c r="G42" s="833"/>
    </row>
    <row r="43" spans="1:7" ht="12" customHeight="1" x14ac:dyDescent="0.2">
      <c r="A43" s="817"/>
      <c r="B43" s="157"/>
      <c r="C43" s="831"/>
      <c r="D43" s="1458" t="s">
        <v>470</v>
      </c>
      <c r="E43" s="1810">
        <f>D41</f>
        <v>215046</v>
      </c>
      <c r="F43" s="1458" t="s">
        <v>470</v>
      </c>
      <c r="G43" s="1810">
        <f>F41</f>
        <v>1714007</v>
      </c>
    </row>
    <row r="44" spans="1:7" ht="12" customHeight="1" x14ac:dyDescent="0.2">
      <c r="A44" s="817"/>
      <c r="B44" s="157"/>
      <c r="C44" s="831"/>
      <c r="D44" s="1458" t="s">
        <v>471</v>
      </c>
      <c r="E44" s="1810">
        <f>E41</f>
        <v>13191337</v>
      </c>
      <c r="F44" s="1458" t="s">
        <v>471</v>
      </c>
      <c r="G44" s="1810">
        <f>G41</f>
        <v>11692376</v>
      </c>
    </row>
    <row r="45" spans="1:7" ht="12" customHeight="1" x14ac:dyDescent="0.2">
      <c r="A45" s="817"/>
      <c r="B45" s="157"/>
      <c r="C45" s="157"/>
      <c r="D45" s="1459" t="s">
        <v>999</v>
      </c>
      <c r="E45" s="1811">
        <f>(E43/E44)</f>
        <v>1.630206248237006E-2</v>
      </c>
      <c r="F45" s="1459" t="s">
        <v>999</v>
      </c>
      <c r="G45" s="1811">
        <f>(G43/G44)</f>
        <v>0.14659184754236435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10" sqref="A10"/>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2" t="s">
        <v>1363</v>
      </c>
      <c r="B1" s="2412"/>
      <c r="C1" s="2412"/>
      <c r="D1" s="2412"/>
      <c r="E1" s="2412"/>
      <c r="F1" s="2412"/>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3" t="s">
        <v>1529</v>
      </c>
      <c r="B5" s="2414"/>
      <c r="C5" s="2415"/>
      <c r="D5" s="2415"/>
      <c r="E5" s="2415"/>
      <c r="F5" s="2415"/>
      <c r="G5" s="1507"/>
      <c r="L5" s="1507"/>
      <c r="M5" s="1855"/>
      <c r="N5" s="1855"/>
      <c r="O5" s="1855"/>
    </row>
    <row r="6" spans="1:15" ht="12" customHeight="1" x14ac:dyDescent="0.25">
      <c r="A6" s="1480"/>
      <c r="B6" s="1481"/>
      <c r="C6" s="2416" t="str">
        <f>COVER!A17</f>
        <v xml:space="preserve">  Paxton-Buckley-Loda CUD 10</v>
      </c>
      <c r="D6" s="2416"/>
      <c r="E6" s="2416"/>
      <c r="F6" s="1482"/>
      <c r="G6" s="1507"/>
      <c r="L6" s="1507"/>
      <c r="M6" s="1855"/>
      <c r="N6" s="1855"/>
      <c r="O6" s="1855"/>
    </row>
    <row r="7" spans="1:15" ht="11.25" customHeight="1" thickBot="1" x14ac:dyDescent="0.3">
      <c r="A7" s="1480"/>
      <c r="B7" s="1481"/>
      <c r="C7" s="2417">
        <f>COVER!A13</f>
        <v>9027010026</v>
      </c>
      <c r="D7" s="2417"/>
      <c r="E7" s="2417"/>
      <c r="F7" s="1482"/>
      <c r="G7" s="1507"/>
      <c r="L7" s="1507"/>
      <c r="M7" s="1855"/>
      <c r="N7" s="1855"/>
      <c r="O7" s="1855"/>
    </row>
    <row r="8" spans="1:15" ht="25.5" customHeight="1" thickBot="1" x14ac:dyDescent="0.25">
      <c r="A8" s="1519" t="s">
        <v>1871</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2048</v>
      </c>
      <c r="D26" s="1495" t="s">
        <v>2048</v>
      </c>
      <c r="E26" s="1498" t="s">
        <v>2048</v>
      </c>
      <c r="F26" s="1497" t="s">
        <v>2069</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502"/>
      <c r="B39" s="1502"/>
      <c r="C39" s="1502"/>
      <c r="D39" s="1502"/>
      <c r="E39" s="1502"/>
      <c r="F39" s="1502"/>
    </row>
    <row r="40" spans="1:15" s="1499" customFormat="1" ht="12" customHeight="1" x14ac:dyDescent="0.25">
      <c r="A40" s="1503" t="s">
        <v>1375</v>
      </c>
      <c r="B40" s="1504"/>
      <c r="C40" s="2407"/>
      <c r="D40" s="2407"/>
      <c r="E40" s="2407"/>
      <c r="F40" s="2408"/>
      <c r="H40" s="1508"/>
      <c r="I40" s="1508"/>
      <c r="J40" s="1508"/>
      <c r="K40" s="1508"/>
    </row>
    <row r="41" spans="1:15" s="1499" customFormat="1" ht="12" customHeight="1" x14ac:dyDescent="0.25">
      <c r="A41" s="2409"/>
      <c r="B41" s="2410"/>
      <c r="C41" s="2410"/>
      <c r="D41" s="2410"/>
      <c r="E41" s="2410"/>
      <c r="F41" s="2411"/>
      <c r="H41" s="1508"/>
      <c r="I41" s="1508"/>
      <c r="J41" s="1508"/>
      <c r="K41" s="1508"/>
    </row>
    <row r="42" spans="1:15" s="1499" customFormat="1" ht="12" customHeight="1" x14ac:dyDescent="0.25">
      <c r="A42" s="2409"/>
      <c r="B42" s="2410"/>
      <c r="C42" s="2410"/>
      <c r="D42" s="2410"/>
      <c r="E42" s="2410"/>
      <c r="F42" s="2411"/>
      <c r="H42" s="1508"/>
      <c r="I42" s="1508"/>
      <c r="J42" s="1508"/>
      <c r="K42" s="1508"/>
    </row>
    <row r="43" spans="1:15" s="1499" customFormat="1" ht="15" x14ac:dyDescent="0.25">
      <c r="A43" s="2398"/>
      <c r="B43" s="2399"/>
      <c r="C43" s="2399"/>
      <c r="D43" s="2399"/>
      <c r="E43" s="2399"/>
      <c r="F43" s="2400"/>
      <c r="H43" s="1508"/>
      <c r="I43" s="1508"/>
      <c r="J43" s="1508"/>
      <c r="K43" s="1508"/>
    </row>
    <row r="44" spans="1:15" s="1499" customFormat="1" ht="12" hidden="1" customHeight="1" x14ac:dyDescent="0.25">
      <c r="A44" s="2398"/>
      <c r="B44" s="2399"/>
      <c r="C44" s="2399"/>
      <c r="D44" s="2399"/>
      <c r="E44" s="2399"/>
      <c r="F44" s="2400"/>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1999</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38" t="str">
        <f>COVER!A17</f>
        <v xml:space="preserve">  Paxton-Buckley-Loda CUD 10</v>
      </c>
      <c r="K6" s="2438"/>
      <c r="L6" s="2452"/>
      <c r="M6" s="838"/>
      <c r="N6" s="1999"/>
    </row>
    <row r="7" spans="1:14" x14ac:dyDescent="0.2">
      <c r="A7" s="2453" t="s">
        <v>864</v>
      </c>
      <c r="B7" s="2454"/>
      <c r="C7" s="2454"/>
      <c r="D7" s="2454"/>
      <c r="E7" s="2455"/>
      <c r="F7" s="839"/>
      <c r="G7" s="838"/>
      <c r="H7" s="838"/>
      <c r="I7" s="1925" t="s">
        <v>369</v>
      </c>
      <c r="J7" s="2440">
        <f>COVER!A13</f>
        <v>9027010026</v>
      </c>
      <c r="K7" s="2440"/>
      <c r="L7" s="2440"/>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2015</v>
      </c>
      <c r="F9" s="1857"/>
      <c r="G9" s="1857"/>
      <c r="H9" s="1857"/>
      <c r="I9" s="1930" t="s">
        <v>2016</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6" t="s">
        <v>478</v>
      </c>
      <c r="B11" s="2457"/>
      <c r="C11" s="2458"/>
      <c r="D11" s="1938" t="s">
        <v>866</v>
      </c>
      <c r="E11" s="1938" t="s">
        <v>64</v>
      </c>
      <c r="F11" s="1938" t="s">
        <v>6</v>
      </c>
      <c r="G11" s="1939" t="s">
        <v>2017</v>
      </c>
      <c r="H11" s="1940" t="s">
        <v>155</v>
      </c>
      <c r="I11" s="1938" t="s">
        <v>64</v>
      </c>
      <c r="J11" s="1938" t="s">
        <v>6</v>
      </c>
      <c r="K11" s="1939" t="s">
        <v>1998</v>
      </c>
      <c r="L11" s="1940" t="s">
        <v>155</v>
      </c>
      <c r="M11" s="838"/>
      <c r="N11" s="1999"/>
    </row>
    <row r="12" spans="1:14" x14ac:dyDescent="0.2">
      <c r="A12" s="2004">
        <v>1</v>
      </c>
      <c r="B12" s="1941" t="s">
        <v>813</v>
      </c>
      <c r="C12" s="842"/>
      <c r="D12" s="1942">
        <v>2320</v>
      </c>
      <c r="E12" s="1945">
        <f>'Expenditures 15-22'!K50</f>
        <v>198653</v>
      </c>
      <c r="F12" s="1943"/>
      <c r="G12" s="1969">
        <f>G68</f>
        <v>0</v>
      </c>
      <c r="H12" s="1945">
        <f t="shared" ref="H12:H18" si="0">SUM(E12:G12)</f>
        <v>198653</v>
      </c>
      <c r="I12" s="1944">
        <v>204700</v>
      </c>
      <c r="J12" s="1943"/>
      <c r="K12" s="1944"/>
      <c r="L12" s="1945">
        <f t="shared" ref="L12:L18" si="1">SUM(I12:K12)</f>
        <v>204700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3000</v>
      </c>
      <c r="F16" s="1943"/>
      <c r="G16" s="1969">
        <f>K68</f>
        <v>0</v>
      </c>
      <c r="H16" s="1945">
        <f t="shared" si="0"/>
        <v>3000</v>
      </c>
      <c r="I16" s="1944">
        <v>7500</v>
      </c>
      <c r="J16" s="1943"/>
      <c r="K16" s="1944"/>
      <c r="L16" s="1945">
        <f t="shared" si="1"/>
        <v>7500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59" t="s">
        <v>7</v>
      </c>
      <c r="C18" s="2460"/>
      <c r="D18" s="2461"/>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201653</v>
      </c>
      <c r="F19" s="1951">
        <f t="shared" si="2"/>
        <v>0</v>
      </c>
      <c r="G19" s="1951">
        <f t="shared" ref="G19" si="3">SUM(G12:G17)-G18</f>
        <v>0</v>
      </c>
      <c r="H19" s="1951">
        <f t="shared" si="2"/>
        <v>201653</v>
      </c>
      <c r="I19" s="1951">
        <f t="shared" si="2"/>
        <v>212200</v>
      </c>
      <c r="J19" s="1951">
        <f t="shared" si="2"/>
        <v>0</v>
      </c>
      <c r="K19" s="1951">
        <f t="shared" si="2"/>
        <v>0</v>
      </c>
      <c r="L19" s="1951">
        <f t="shared" si="2"/>
        <v>212200</v>
      </c>
      <c r="M19" s="838"/>
      <c r="N19" s="1999"/>
    </row>
    <row r="20" spans="1:14" ht="13.5" thickTop="1" x14ac:dyDescent="0.2">
      <c r="A20" s="2004">
        <v>9</v>
      </c>
      <c r="B20" s="2462" t="s">
        <v>2018</v>
      </c>
      <c r="C20" s="2462"/>
      <c r="D20" s="2463"/>
      <c r="E20" s="1952"/>
      <c r="F20" s="1952"/>
      <c r="G20" s="1952"/>
      <c r="H20" s="1952"/>
      <c r="I20" s="1952"/>
      <c r="J20" s="1952"/>
      <c r="K20" s="1952"/>
      <c r="L20" s="1953">
        <f>IF(AND(H19&gt;0,L19&gt;0),(((L19-H19)/H19)),"Enter Budget Data")</f>
        <v>5.230271803543711E-2</v>
      </c>
      <c r="M20" s="838"/>
      <c r="N20" s="1999"/>
    </row>
    <row r="21" spans="1:14" x14ac:dyDescent="0.2">
      <c r="A21" s="2006" t="s">
        <v>194</v>
      </c>
      <c r="B21" s="2007" t="s">
        <v>2043</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2019</v>
      </c>
      <c r="B24" s="2011"/>
      <c r="C24" s="2012"/>
      <c r="D24" s="2012"/>
      <c r="E24" s="2012"/>
      <c r="F24" s="2012"/>
      <c r="G24" s="2012"/>
      <c r="H24" s="2012"/>
      <c r="I24" s="2012"/>
      <c r="J24" s="2012"/>
      <c r="K24" s="2012"/>
      <c r="L24" s="838"/>
      <c r="M24" s="838"/>
      <c r="N24" s="1999"/>
    </row>
    <row r="25" spans="1:14" x14ac:dyDescent="0.2">
      <c r="A25" s="2010" t="s">
        <v>2020</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4"/>
      <c r="D27" s="2464"/>
      <c r="E27" s="843"/>
      <c r="F27" s="2465"/>
      <c r="G27" s="2465"/>
      <c r="H27" s="2465"/>
      <c r="I27" s="838"/>
      <c r="J27" s="838"/>
      <c r="K27" s="838"/>
      <c r="L27" s="838"/>
      <c r="M27" s="838"/>
      <c r="N27" s="1999"/>
    </row>
    <row r="28" spans="1:14" x14ac:dyDescent="0.2">
      <c r="A28" s="1998"/>
      <c r="B28" s="2008"/>
      <c r="C28" s="1958" t="s">
        <v>1026</v>
      </c>
      <c r="D28" s="844"/>
      <c r="E28" s="1959"/>
      <c r="F28" s="2466" t="s">
        <v>1492</v>
      </c>
      <c r="G28" s="2466"/>
      <c r="H28" s="2466"/>
      <c r="I28" s="838"/>
      <c r="J28" s="838"/>
      <c r="K28" s="838"/>
      <c r="L28" s="838"/>
      <c r="M28" s="838"/>
      <c r="N28" s="1999"/>
    </row>
    <row r="29" spans="1:14" x14ac:dyDescent="0.2">
      <c r="A29" s="1998"/>
      <c r="B29" s="2008"/>
      <c r="C29" s="2467"/>
      <c r="D29" s="2467"/>
      <c r="E29" s="845"/>
      <c r="F29" s="2467"/>
      <c r="G29" s="2467"/>
      <c r="H29" s="2467"/>
      <c r="I29" s="838"/>
      <c r="J29" s="838"/>
      <c r="K29" s="838"/>
      <c r="L29" s="838"/>
      <c r="M29" s="838"/>
      <c r="N29" s="1999"/>
    </row>
    <row r="30" spans="1:14" x14ac:dyDescent="0.2">
      <c r="A30" s="1998"/>
      <c r="B30" s="2008"/>
      <c r="C30" s="1961" t="s">
        <v>1544</v>
      </c>
      <c r="D30" s="838"/>
      <c r="E30" s="1960"/>
      <c r="F30" s="2451" t="s">
        <v>1493</v>
      </c>
      <c r="G30" s="2451"/>
      <c r="H30" s="2451"/>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8" t="s">
        <v>2021</v>
      </c>
      <c r="D34" s="2429"/>
      <c r="E34" s="2429"/>
      <c r="F34" s="2429"/>
      <c r="G34" s="2429"/>
      <c r="H34" s="2429"/>
      <c r="I34" s="2429"/>
      <c r="J34" s="2429"/>
      <c r="K34" s="2017"/>
      <c r="L34" s="838"/>
      <c r="M34" s="838"/>
      <c r="N34" s="1999"/>
    </row>
    <row r="35" spans="1:14" x14ac:dyDescent="0.2">
      <c r="A35" s="1998"/>
      <c r="B35" s="838"/>
      <c r="C35" s="2429"/>
      <c r="D35" s="2429"/>
      <c r="E35" s="2429"/>
      <c r="F35" s="2429"/>
      <c r="G35" s="2429"/>
      <c r="H35" s="2429"/>
      <c r="I35" s="2429"/>
      <c r="J35" s="2429"/>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8" t="s">
        <v>2022</v>
      </c>
      <c r="D37" s="2429"/>
      <c r="E37" s="2429"/>
      <c r="F37" s="2429"/>
      <c r="G37" s="2429"/>
      <c r="H37" s="2429"/>
      <c r="I37" s="2429"/>
      <c r="J37" s="2429"/>
      <c r="K37" s="2017"/>
      <c r="L37" s="2019"/>
      <c r="M37" s="838"/>
      <c r="N37" s="1999"/>
    </row>
    <row r="38" spans="1:14" x14ac:dyDescent="0.2">
      <c r="A38" s="1998"/>
      <c r="B38" s="838"/>
      <c r="C38" s="2429"/>
      <c r="D38" s="2429"/>
      <c r="E38" s="2429"/>
      <c r="F38" s="2429"/>
      <c r="G38" s="2429"/>
      <c r="H38" s="2429"/>
      <c r="I38" s="2429"/>
      <c r="J38" s="2429"/>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0" t="s">
        <v>2023</v>
      </c>
      <c r="D40" s="2431"/>
      <c r="E40" s="2431"/>
      <c r="F40" s="2431"/>
      <c r="G40" s="2431"/>
      <c r="H40" s="2431"/>
      <c r="I40" s="2431"/>
      <c r="J40" s="2431"/>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2" t="s">
        <v>2024</v>
      </c>
      <c r="B43" s="2433"/>
      <c r="C43" s="2433"/>
      <c r="D43" s="2433"/>
      <c r="E43" s="2433"/>
      <c r="F43" s="2433"/>
      <c r="G43" s="2433"/>
      <c r="H43" s="2433"/>
      <c r="I43" s="2433"/>
      <c r="J43" s="2433"/>
      <c r="K43" s="2433"/>
      <c r="L43" s="2433"/>
      <c r="M43" s="2433"/>
      <c r="N43" s="2434"/>
    </row>
    <row r="44" spans="1:14" x14ac:dyDescent="0.2">
      <c r="A44" s="1983"/>
      <c r="B44" s="1984"/>
      <c r="C44" s="1984"/>
      <c r="D44" s="1984"/>
      <c r="E44" s="1984"/>
      <c r="F44" s="1984"/>
      <c r="G44" s="1984"/>
      <c r="H44" s="1984"/>
      <c r="I44" s="1984"/>
      <c r="J44" s="1984"/>
      <c r="K44" s="1984"/>
      <c r="L44" s="1984"/>
      <c r="M44" s="1984"/>
      <c r="N44" s="1985"/>
    </row>
    <row r="45" spans="1:14" x14ac:dyDescent="0.2">
      <c r="A45" s="1983" t="s">
        <v>2025</v>
      </c>
      <c r="B45" s="1984"/>
      <c r="C45" s="1984"/>
      <c r="D45" s="1984"/>
      <c r="E45" s="1984"/>
      <c r="F45" s="1984"/>
      <c r="G45" s="1984"/>
      <c r="H45" s="1984"/>
      <c r="I45" s="1984"/>
      <c r="J45" s="1984"/>
      <c r="K45" s="1984"/>
      <c r="L45" s="1984"/>
      <c r="M45" s="1984"/>
      <c r="N45" s="1985"/>
    </row>
    <row r="46" spans="1:14" x14ac:dyDescent="0.2">
      <c r="A46" s="2435" t="s">
        <v>2026</v>
      </c>
      <c r="B46" s="2436"/>
      <c r="C46" s="2436"/>
      <c r="D46" s="2436"/>
      <c r="E46" s="2436"/>
      <c r="F46" s="2436"/>
      <c r="G46" s="2436"/>
      <c r="H46" s="2436"/>
      <c r="I46" s="2436"/>
      <c r="J46" s="2436"/>
      <c r="K46" s="2436"/>
      <c r="L46" s="2436"/>
      <c r="M46" s="2436"/>
      <c r="N46" s="2437"/>
    </row>
    <row r="47" spans="1:14" x14ac:dyDescent="0.2">
      <c r="A47" s="2435"/>
      <c r="B47" s="2436"/>
      <c r="C47" s="2436"/>
      <c r="D47" s="2436"/>
      <c r="E47" s="2436"/>
      <c r="F47" s="2436"/>
      <c r="G47" s="2436"/>
      <c r="H47" s="2436"/>
      <c r="I47" s="2436"/>
      <c r="J47" s="2436"/>
      <c r="K47" s="2436"/>
      <c r="L47" s="2436"/>
      <c r="M47" s="2436"/>
      <c r="N47" s="2437"/>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2042</v>
      </c>
      <c r="B49" s="2025"/>
      <c r="C49" s="2025"/>
      <c r="D49" s="2026"/>
      <c r="E49" s="2026"/>
      <c r="F49" s="2026"/>
      <c r="G49" s="2026"/>
      <c r="H49" s="2026"/>
      <c r="I49" s="2026"/>
      <c r="J49" s="2026"/>
      <c r="K49" s="2026"/>
      <c r="L49" s="2026"/>
      <c r="M49" s="2026"/>
      <c r="N49" s="2027"/>
    </row>
    <row r="50" spans="1:14" ht="15" x14ac:dyDescent="0.25">
      <c r="A50" s="2029" t="s">
        <v>2041</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38" t="str">
        <f>J6</f>
        <v xml:space="preserve">  Paxton-Buckley-Loda CUD 10</v>
      </c>
      <c r="M52" s="2438"/>
      <c r="N52" s="2439"/>
    </row>
    <row r="53" spans="1:14" x14ac:dyDescent="0.2">
      <c r="A53" s="1983"/>
      <c r="B53" s="1984"/>
      <c r="C53" s="1984"/>
      <c r="D53" s="1984"/>
      <c r="E53" s="1984"/>
      <c r="F53" s="1984"/>
      <c r="G53" s="1984"/>
      <c r="H53" s="1984"/>
      <c r="I53" s="1984"/>
      <c r="J53" s="1984"/>
      <c r="K53" s="1925" t="s">
        <v>369</v>
      </c>
      <c r="L53" s="2440">
        <f>J7</f>
        <v>9027010026</v>
      </c>
      <c r="M53" s="2440"/>
      <c r="N53" s="2441"/>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2"/>
      <c r="B55" s="2443"/>
      <c r="C55" s="2443"/>
      <c r="D55" s="1971"/>
      <c r="E55" s="1971"/>
      <c r="F55" s="1971"/>
      <c r="G55" s="2444" t="s">
        <v>2027</v>
      </c>
      <c r="H55" s="2444"/>
      <c r="I55" s="2444"/>
      <c r="J55" s="2444"/>
      <c r="K55" s="2444"/>
      <c r="L55" s="2444"/>
      <c r="M55" s="2444"/>
      <c r="N55" s="2445"/>
    </row>
    <row r="56" spans="1:14" ht="63.75" x14ac:dyDescent="0.2">
      <c r="A56" s="2446" t="s">
        <v>2028</v>
      </c>
      <c r="B56" s="2447"/>
      <c r="C56" s="2448"/>
      <c r="D56" s="1965" t="s">
        <v>2029</v>
      </c>
      <c r="E56" s="1965" t="s">
        <v>2030</v>
      </c>
      <c r="F56" s="1972"/>
      <c r="G56" s="1965" t="s">
        <v>2031</v>
      </c>
      <c r="H56" s="1965" t="s">
        <v>2032</v>
      </c>
      <c r="I56" s="1965" t="s">
        <v>2033</v>
      </c>
      <c r="J56" s="1965" t="s">
        <v>2034</v>
      </c>
      <c r="K56" s="1965" t="s">
        <v>2035</v>
      </c>
      <c r="L56" s="1965" t="s">
        <v>2036</v>
      </c>
      <c r="M56" s="1965" t="s">
        <v>2037</v>
      </c>
      <c r="N56" s="1966" t="s">
        <v>2044</v>
      </c>
    </row>
    <row r="57" spans="1:14" ht="24.75" customHeight="1" x14ac:dyDescent="0.2">
      <c r="A57" s="2449" t="s">
        <v>296</v>
      </c>
      <c r="B57" s="2450"/>
      <c r="C57" s="2450"/>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6" t="s">
        <v>2038</v>
      </c>
      <c r="B58" s="2427"/>
      <c r="C58" s="2427"/>
      <c r="D58" s="1968">
        <v>2362</v>
      </c>
      <c r="E58" s="1978">
        <f>'Expenditures 15-22'!K320</f>
        <v>76446</v>
      </c>
      <c r="F58" s="1973"/>
      <c r="G58" s="2032"/>
      <c r="H58" s="2033"/>
      <c r="I58" s="2033"/>
      <c r="J58" s="2033"/>
      <c r="K58" s="2033"/>
      <c r="L58" s="2033"/>
      <c r="M58" s="2033">
        <v>76446</v>
      </c>
      <c r="N58" s="1976">
        <f>IF((SUM(G58:M58))=E58,SUM(G58:M58),"Column N does not agree with Column E")</f>
        <v>76446</v>
      </c>
    </row>
    <row r="59" spans="1:14" ht="24.75" customHeight="1" x14ac:dyDescent="0.2">
      <c r="A59" s="2420" t="s">
        <v>297</v>
      </c>
      <c r="B59" s="2421"/>
      <c r="C59" s="2421"/>
      <c r="D59" s="1968">
        <v>2363</v>
      </c>
      <c r="E59" s="1978">
        <f>'Expenditures 15-22'!K321</f>
        <v>443</v>
      </c>
      <c r="F59" s="1973"/>
      <c r="G59" s="2032"/>
      <c r="H59" s="2033"/>
      <c r="I59" s="2033"/>
      <c r="J59" s="2033"/>
      <c r="K59" s="2033"/>
      <c r="L59" s="2033"/>
      <c r="M59" s="2033">
        <v>443</v>
      </c>
      <c r="N59" s="1976">
        <f>IF((SUM(G59:M59))=E59,SUM(G59:M59),"Column N does not agree with Column E")</f>
        <v>443</v>
      </c>
    </row>
    <row r="60" spans="1:14" ht="24" customHeight="1" x14ac:dyDescent="0.2">
      <c r="A60" s="2420" t="s">
        <v>236</v>
      </c>
      <c r="B60" s="2421"/>
      <c r="C60" s="2421"/>
      <c r="D60" s="1968">
        <v>2364</v>
      </c>
      <c r="E60" s="1978">
        <f>'Expenditures 15-22'!K322</f>
        <v>121542</v>
      </c>
      <c r="F60" s="1973"/>
      <c r="G60" s="2032"/>
      <c r="H60" s="2033"/>
      <c r="I60" s="2033"/>
      <c r="J60" s="2033"/>
      <c r="K60" s="2033"/>
      <c r="L60" s="2033"/>
      <c r="M60" s="2033">
        <v>121542</v>
      </c>
      <c r="N60" s="1976">
        <f t="shared" ref="N60:N67" si="4">IF((SUM(G60:M60))=E60,SUM(G60:M60),"Column N does not agree with Column E")</f>
        <v>121542</v>
      </c>
    </row>
    <row r="61" spans="1:14" ht="24.75" customHeight="1" x14ac:dyDescent="0.2">
      <c r="A61" s="2420" t="s">
        <v>697</v>
      </c>
      <c r="B61" s="2421"/>
      <c r="C61" s="2421"/>
      <c r="D61" s="1968">
        <v>2365</v>
      </c>
      <c r="E61" s="1978">
        <f>'Expenditures 15-22'!K323</f>
        <v>0</v>
      </c>
      <c r="F61" s="1973"/>
      <c r="G61" s="2032"/>
      <c r="H61" s="2033"/>
      <c r="I61" s="2033"/>
      <c r="J61" s="2033"/>
      <c r="K61" s="2033"/>
      <c r="L61" s="2033"/>
      <c r="M61" s="2033"/>
      <c r="N61" s="1976">
        <f t="shared" si="4"/>
        <v>0</v>
      </c>
    </row>
    <row r="62" spans="1:14" ht="24" customHeight="1" x14ac:dyDescent="0.2">
      <c r="A62" s="2420" t="s">
        <v>237</v>
      </c>
      <c r="B62" s="2421"/>
      <c r="C62" s="2421"/>
      <c r="D62" s="1968">
        <v>2366</v>
      </c>
      <c r="E62" s="1978">
        <f>'Expenditures 15-22'!K324</f>
        <v>0</v>
      </c>
      <c r="F62" s="1973"/>
      <c r="G62" s="2032"/>
      <c r="H62" s="2033"/>
      <c r="I62" s="2033"/>
      <c r="J62" s="2033"/>
      <c r="K62" s="2033"/>
      <c r="L62" s="2033"/>
      <c r="M62" s="2033"/>
      <c r="N62" s="1976">
        <f t="shared" si="4"/>
        <v>0</v>
      </c>
    </row>
    <row r="63" spans="1:14" ht="24" customHeight="1" x14ac:dyDescent="0.2">
      <c r="A63" s="2426" t="s">
        <v>1022</v>
      </c>
      <c r="B63" s="2427"/>
      <c r="C63" s="2427"/>
      <c r="D63" s="1968">
        <v>2367</v>
      </c>
      <c r="E63" s="1978">
        <f>'Expenditures 15-22'!K325</f>
        <v>16459</v>
      </c>
      <c r="F63" s="1973"/>
      <c r="G63" s="2032"/>
      <c r="H63" s="2033"/>
      <c r="I63" s="2033"/>
      <c r="J63" s="2033"/>
      <c r="K63" s="2033"/>
      <c r="L63" s="2033"/>
      <c r="M63" s="2033">
        <v>16459</v>
      </c>
      <c r="N63" s="1976">
        <f t="shared" si="4"/>
        <v>16459</v>
      </c>
    </row>
    <row r="64" spans="1:14" ht="24" customHeight="1" x14ac:dyDescent="0.2">
      <c r="A64" s="2420" t="s">
        <v>1023</v>
      </c>
      <c r="B64" s="2421"/>
      <c r="C64" s="2421"/>
      <c r="D64" s="1968">
        <v>2368</v>
      </c>
      <c r="E64" s="1978">
        <f>'Expenditures 15-22'!K326</f>
        <v>0</v>
      </c>
      <c r="F64" s="1973"/>
      <c r="G64" s="2032"/>
      <c r="H64" s="2033"/>
      <c r="I64" s="2033"/>
      <c r="J64" s="2033"/>
      <c r="K64" s="2033"/>
      <c r="L64" s="2033"/>
      <c r="M64" s="2033"/>
      <c r="N64" s="1976">
        <f t="shared" si="4"/>
        <v>0</v>
      </c>
    </row>
    <row r="65" spans="1:14" ht="24" customHeight="1" x14ac:dyDescent="0.2">
      <c r="A65" s="2420" t="s">
        <v>965</v>
      </c>
      <c r="B65" s="2421"/>
      <c r="C65" s="2421"/>
      <c r="D65" s="1968">
        <v>2369</v>
      </c>
      <c r="E65" s="1978">
        <f>'Expenditures 15-22'!K327</f>
        <v>51435</v>
      </c>
      <c r="F65" s="1973"/>
      <c r="G65" s="2032"/>
      <c r="H65" s="2033"/>
      <c r="I65" s="2033"/>
      <c r="J65" s="2033"/>
      <c r="K65" s="2033"/>
      <c r="L65" s="2033"/>
      <c r="M65" s="2033">
        <v>51435</v>
      </c>
      <c r="N65" s="1976">
        <f t="shared" si="4"/>
        <v>51435</v>
      </c>
    </row>
    <row r="66" spans="1:14" ht="24" customHeight="1" x14ac:dyDescent="0.2">
      <c r="A66" s="2420" t="s">
        <v>469</v>
      </c>
      <c r="B66" s="2421"/>
      <c r="C66" s="2421"/>
      <c r="D66" s="1968">
        <v>2371</v>
      </c>
      <c r="E66" s="1978">
        <f>'Expenditures 15-22'!K328</f>
        <v>0</v>
      </c>
      <c r="F66" s="1973"/>
      <c r="G66" s="2032"/>
      <c r="H66" s="2033"/>
      <c r="I66" s="2033"/>
      <c r="J66" s="2033"/>
      <c r="K66" s="2033"/>
      <c r="L66" s="2033"/>
      <c r="M66" s="2033"/>
      <c r="N66" s="1976">
        <f t="shared" si="4"/>
        <v>0</v>
      </c>
    </row>
    <row r="67" spans="1:14" ht="24.75" customHeight="1" x14ac:dyDescent="0.2">
      <c r="A67" s="2422" t="s">
        <v>2039</v>
      </c>
      <c r="B67" s="2423"/>
      <c r="C67" s="2423"/>
      <c r="D67" s="1970">
        <v>2372</v>
      </c>
      <c r="E67" s="1979">
        <f>'Expenditures 15-22'!K329</f>
        <v>0</v>
      </c>
      <c r="F67" s="1973"/>
      <c r="G67" s="2034"/>
      <c r="H67" s="2035"/>
      <c r="I67" s="2035"/>
      <c r="J67" s="2035"/>
      <c r="K67" s="2035"/>
      <c r="L67" s="2035"/>
      <c r="M67" s="2035"/>
      <c r="N67" s="1976">
        <f t="shared" si="4"/>
        <v>0</v>
      </c>
    </row>
    <row r="68" spans="1:14" x14ac:dyDescent="0.2">
      <c r="A68" s="2424" t="s">
        <v>1151</v>
      </c>
      <c r="B68" s="2425"/>
      <c r="C68" s="2425"/>
      <c r="D68" s="1971"/>
      <c r="E68" s="1975">
        <f>SUM(E57:E67)</f>
        <v>266325</v>
      </c>
      <c r="F68" s="1974"/>
      <c r="G68" s="1975">
        <f t="shared" ref="G68:N68" si="5">SUM(G57:G67)</f>
        <v>0</v>
      </c>
      <c r="H68" s="1975">
        <f t="shared" si="5"/>
        <v>0</v>
      </c>
      <c r="I68" s="1975">
        <f t="shared" si="5"/>
        <v>0</v>
      </c>
      <c r="J68" s="1975">
        <f t="shared" si="5"/>
        <v>0</v>
      </c>
      <c r="K68" s="1975">
        <f t="shared" si="5"/>
        <v>0</v>
      </c>
      <c r="L68" s="1975">
        <f t="shared" si="5"/>
        <v>0</v>
      </c>
      <c r="M68" s="1975">
        <f t="shared" si="5"/>
        <v>266325</v>
      </c>
      <c r="N68" s="1989">
        <f t="shared" si="5"/>
        <v>266325</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2040</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7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7" t="s">
        <v>2070</v>
      </c>
    </row>
    <row r="6" spans="1:2" x14ac:dyDescent="0.2">
      <c r="A6" s="847"/>
      <c r="B6" s="307" t="s">
        <v>2071</v>
      </c>
    </row>
    <row r="7" spans="1:2" x14ac:dyDescent="0.2">
      <c r="A7" s="847"/>
      <c r="B7" s="307" t="s">
        <v>2072</v>
      </c>
    </row>
    <row r="8" spans="1:2" x14ac:dyDescent="0.2">
      <c r="A8" s="847"/>
      <c r="B8" s="307" t="s">
        <v>2073</v>
      </c>
    </row>
    <row r="9" spans="1:2" x14ac:dyDescent="0.2">
      <c r="A9" s="847"/>
    </row>
    <row r="10" spans="1:2" x14ac:dyDescent="0.2">
      <c r="A10" s="847">
        <v>2</v>
      </c>
      <c r="B10" s="2037" t="s">
        <v>2074</v>
      </c>
    </row>
    <row r="11" spans="1:2" x14ac:dyDescent="0.2">
      <c r="A11" s="847"/>
      <c r="B11" s="307" t="s">
        <v>2075</v>
      </c>
    </row>
    <row r="12" spans="1:2" x14ac:dyDescent="0.2">
      <c r="A12" s="847"/>
      <c r="B12" s="307" t="s">
        <v>2076</v>
      </c>
    </row>
    <row r="13" spans="1:2" x14ac:dyDescent="0.2">
      <c r="A13" s="847"/>
      <c r="B13" s="307" t="s">
        <v>2077</v>
      </c>
    </row>
    <row r="14" spans="1:2" x14ac:dyDescent="0.2">
      <c r="A14" s="847"/>
    </row>
    <row r="15" spans="1:2" x14ac:dyDescent="0.2">
      <c r="A15" s="847">
        <v>3</v>
      </c>
      <c r="B15" s="2037" t="s">
        <v>2078</v>
      </c>
    </row>
    <row r="16" spans="1:2" x14ac:dyDescent="0.2">
      <c r="A16" s="847"/>
      <c r="B16" s="307" t="s">
        <v>2079</v>
      </c>
    </row>
    <row r="17" spans="1:2" x14ac:dyDescent="0.2">
      <c r="A17" s="847"/>
    </row>
    <row r="18" spans="1:2" x14ac:dyDescent="0.2">
      <c r="A18" s="847">
        <v>4</v>
      </c>
      <c r="B18" s="2037" t="s">
        <v>2080</v>
      </c>
    </row>
    <row r="19" spans="1:2" x14ac:dyDescent="0.2">
      <c r="A19" s="848"/>
      <c r="B19" s="307" t="s">
        <v>2081</v>
      </c>
    </row>
    <row r="20" spans="1:2" x14ac:dyDescent="0.2">
      <c r="A20" s="848"/>
    </row>
    <row r="21" spans="1:2" x14ac:dyDescent="0.2">
      <c r="A21" s="848"/>
    </row>
    <row r="22" spans="1:2" x14ac:dyDescent="0.2">
      <c r="A22" s="848"/>
    </row>
    <row r="23" spans="1:2" x14ac:dyDescent="0.2">
      <c r="A23" s="848"/>
    </row>
    <row r="24" spans="1:2" x14ac:dyDescent="0.2">
      <c r="A24" s="848"/>
    </row>
    <row r="25" spans="1:2" x14ac:dyDescent="0.2">
      <c r="A25" s="848"/>
    </row>
    <row r="26" spans="1:2" x14ac:dyDescent="0.2">
      <c r="A26" s="848"/>
    </row>
    <row r="27" spans="1:2" x14ac:dyDescent="0.2">
      <c r="A27" s="848"/>
    </row>
    <row r="28" spans="1:2" x14ac:dyDescent="0.2">
      <c r="A28" s="848"/>
    </row>
    <row r="29" spans="1:2" x14ac:dyDescent="0.2">
      <c r="A29" s="848"/>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row>
    <row r="69" spans="1:2" x14ac:dyDescent="0.2">
      <c r="A69" s="848"/>
    </row>
    <row r="70" spans="1:2" x14ac:dyDescent="0.2">
      <c r="A70" s="848"/>
    </row>
    <row r="71" spans="1:2" x14ac:dyDescent="0.2">
      <c r="A71" s="848"/>
    </row>
    <row r="72" spans="1:2" x14ac:dyDescent="0.2">
      <c r="A72" s="848"/>
    </row>
    <row r="73" spans="1:2" x14ac:dyDescent="0.2">
      <c r="A73" s="848"/>
    </row>
    <row r="74" spans="1:2" x14ac:dyDescent="0.2">
      <c r="A74" s="848"/>
      <c r="B74" s="253" t="str">
        <f>COVER!A17</f>
        <v xml:space="preserve">  Paxton-Buckley-Loda CUD 10</v>
      </c>
    </row>
    <row r="75" spans="1:2" x14ac:dyDescent="0.2">
      <c r="B75" s="849">
        <f>COVER!A13</f>
        <v>9027010026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68" t="s">
        <v>1665</v>
      </c>
      <c r="B18" s="2468"/>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9" t="s">
        <v>1669</v>
      </c>
      <c r="B1" s="2470"/>
      <c r="C1" s="2470"/>
      <c r="D1" s="2470"/>
      <c r="E1" s="2470"/>
      <c r="F1" s="2471"/>
    </row>
    <row r="2" spans="1:8" ht="45" customHeight="1" x14ac:dyDescent="0.2">
      <c r="A2" s="247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0"/>
      <c r="C2" s="2480"/>
      <c r="D2" s="2480"/>
      <c r="E2" s="2480"/>
      <c r="F2" s="2481"/>
      <c r="G2" s="853"/>
      <c r="H2" s="853"/>
    </row>
    <row r="3" spans="1:8" ht="57" customHeight="1" x14ac:dyDescent="0.2">
      <c r="A3" s="2482" t="s">
        <v>1969</v>
      </c>
      <c r="B3" s="2483"/>
      <c r="C3" s="2483"/>
      <c r="D3" s="2483"/>
      <c r="E3" s="2483"/>
      <c r="F3" s="2484"/>
      <c r="G3" s="853"/>
      <c r="H3" s="853"/>
    </row>
    <row r="4" spans="1:8" ht="14.25" customHeight="1" x14ac:dyDescent="0.2">
      <c r="A4" s="248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9"/>
      <c r="C4" s="2489"/>
      <c r="D4" s="2489"/>
      <c r="E4" s="2489"/>
      <c r="F4" s="2490"/>
      <c r="G4" s="853"/>
      <c r="H4" s="853"/>
    </row>
    <row r="5" spans="1:8" ht="14.25" customHeight="1" x14ac:dyDescent="0.2">
      <c r="A5" s="249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2"/>
      <c r="C5" s="2492"/>
      <c r="D5" s="2492"/>
      <c r="E5" s="2492"/>
      <c r="F5" s="2493"/>
      <c r="G5" s="853"/>
      <c r="H5" s="853"/>
    </row>
    <row r="6" spans="1:8" s="854" customFormat="1" ht="41.25" customHeight="1" x14ac:dyDescent="0.2">
      <c r="A6" s="2485" t="s">
        <v>1670</v>
      </c>
      <c r="B6" s="2486"/>
      <c r="C6" s="2486"/>
      <c r="D6" s="2486"/>
      <c r="E6" s="2486"/>
      <c r="F6" s="248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13052683</v>
      </c>
      <c r="C8" s="1813">
        <f>'Acct Summary 7-8'!D8</f>
        <v>954396</v>
      </c>
      <c r="D8" s="1813">
        <f>'Acct Summary 7-8'!F8</f>
        <v>800109</v>
      </c>
      <c r="E8" s="1813">
        <f>'Acct Summary 7-8'!I8</f>
        <v>87760</v>
      </c>
      <c r="F8" s="1813">
        <f>SUM(B8:E8)</f>
        <v>14894948</v>
      </c>
    </row>
    <row r="9" spans="1:8" s="858" customFormat="1" ht="14.25" customHeight="1" thickBot="1" x14ac:dyDescent="0.25">
      <c r="A9" s="857" t="s">
        <v>1353</v>
      </c>
      <c r="B9" s="1814">
        <f>'Acct Summary 7-8'!C17</f>
        <v>12184864</v>
      </c>
      <c r="C9" s="1814">
        <f>'Acct Summary 7-8'!D17</f>
        <v>906916</v>
      </c>
      <c r="D9" s="1814">
        <f>'Acct Summary 7-8'!F17</f>
        <v>821817</v>
      </c>
      <c r="E9" s="1813"/>
      <c r="F9" s="1813">
        <f>SUM(B9:E9)</f>
        <v>13913597</v>
      </c>
    </row>
    <row r="10" spans="1:8" s="858" customFormat="1" ht="14.25" thickTop="1" thickBot="1" x14ac:dyDescent="0.25">
      <c r="A10" s="859" t="s">
        <v>1354</v>
      </c>
      <c r="B10" s="1815">
        <f>(B8-B9)</f>
        <v>867819</v>
      </c>
      <c r="C10" s="1815">
        <f>(C8-C9)</f>
        <v>47480</v>
      </c>
      <c r="D10" s="1815">
        <f>(D8-D9)</f>
        <v>-21708</v>
      </c>
      <c r="E10" s="1814">
        <f>(E8-E9)</f>
        <v>87760</v>
      </c>
      <c r="F10" s="1816">
        <f>SUM(F8-F9)</f>
        <v>981351</v>
      </c>
    </row>
    <row r="11" spans="1:8" s="858" customFormat="1" ht="14.25" thickTop="1" thickBot="1" x14ac:dyDescent="0.25">
      <c r="A11" s="860" t="s">
        <v>1900</v>
      </c>
      <c r="B11" s="1817">
        <f>'Acct Summary 7-8'!C81</f>
        <v>6006469</v>
      </c>
      <c r="C11" s="1817">
        <f>'Acct Summary 7-8'!D81</f>
        <v>626497</v>
      </c>
      <c r="D11" s="1817">
        <f>'Acct Summary 7-8'!F81</f>
        <v>161050</v>
      </c>
      <c r="E11" s="1817">
        <f>'Acct Summary 7-8'!I81</f>
        <v>808742</v>
      </c>
      <c r="F11" s="1818">
        <f>SUM(B11:E11)</f>
        <v>7602758</v>
      </c>
    </row>
    <row r="12" spans="1:8" ht="16.5" customHeight="1" thickTop="1" x14ac:dyDescent="0.2">
      <c r="A12" s="861"/>
      <c r="B12" s="862"/>
      <c r="C12" s="2473" t="str">
        <f>IF(AND(F10&lt;0,F11&gt;=0,ABS(F10*3)&gt;ABS(F11)),A16,IF(AND(F10&lt;0,F11&gt;0,ABS(F10*3)&lt;=ABS(F11)),A17,IF(AND(F10&lt;0,F11&lt;0),A16,IF(F11=0,A19,A18))))</f>
        <v>Balanced - no deficit reduction plan is required.</v>
      </c>
      <c r="D12" s="2474"/>
      <c r="E12" s="2474"/>
      <c r="F12" s="2475"/>
    </row>
    <row r="13" spans="1:8" ht="19.5" customHeight="1" x14ac:dyDescent="0.2">
      <c r="A13" s="863"/>
      <c r="B13" s="864"/>
      <c r="C13" s="2473"/>
      <c r="D13" s="2474"/>
      <c r="E13" s="2474"/>
      <c r="F13" s="2475"/>
      <c r="H13" s="853"/>
    </row>
    <row r="14" spans="1:8" ht="19.5" customHeight="1" x14ac:dyDescent="0.2">
      <c r="A14" s="863"/>
      <c r="B14" s="864"/>
      <c r="C14" s="2473"/>
      <c r="D14" s="2474"/>
      <c r="E14" s="2474"/>
      <c r="F14" s="2475"/>
      <c r="H14" s="853"/>
    </row>
    <row r="15" spans="1:8" ht="17.25" customHeight="1" x14ac:dyDescent="0.2">
      <c r="A15" s="863"/>
      <c r="B15" s="864"/>
      <c r="C15" s="2476"/>
      <c r="D15" s="2477"/>
      <c r="E15" s="2477"/>
      <c r="F15" s="2478"/>
      <c r="H15" s="853"/>
    </row>
    <row r="16" spans="1:8" s="288" customFormat="1" ht="51.75" hidden="1" customHeight="1" x14ac:dyDescent="0.2">
      <c r="A16" s="2472" t="s">
        <v>1666</v>
      </c>
      <c r="B16" s="2472"/>
      <c r="C16" s="2472"/>
      <c r="D16" s="2472"/>
      <c r="E16" s="247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4" t="s">
        <v>660</v>
      </c>
      <c r="B3" s="2495"/>
      <c r="C3" s="2495"/>
      <c r="D3" s="2496"/>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5" t="s">
        <v>1487</v>
      </c>
      <c r="D7" s="2506"/>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7" t="s">
        <v>1001</v>
      </c>
      <c r="B15" s="2498"/>
      <c r="C15" s="2498"/>
      <c r="D15" s="2499"/>
    </row>
    <row r="16" spans="1:4" s="542" customFormat="1" ht="24" customHeight="1" x14ac:dyDescent="0.2">
      <c r="A16" s="2500" t="s">
        <v>658</v>
      </c>
      <c r="B16" s="2501"/>
      <c r="C16" s="2501"/>
      <c r="D16" s="2502"/>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9" t="s">
        <v>311</v>
      </c>
      <c r="D21" s="2510"/>
    </row>
    <row r="22" spans="1:10" ht="12.75" x14ac:dyDescent="0.2">
      <c r="A22" s="918"/>
      <c r="B22" s="919">
        <v>2</v>
      </c>
      <c r="C22" s="2507" t="s">
        <v>1507</v>
      </c>
      <c r="D22" s="250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1" t="s">
        <v>533</v>
      </c>
      <c r="D43" s="251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3" t="s">
        <v>779</v>
      </c>
      <c r="D56" s="250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3" t="s">
        <v>1674</v>
      </c>
      <c r="D70" s="250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900" t="s">
        <v>1975</v>
      </c>
    </row>
    <row r="2" spans="1:7" ht="15.75" x14ac:dyDescent="0.25">
      <c r="A2" t="s">
        <v>260</v>
      </c>
      <c r="B2" s="135">
        <f>COVER!A13</f>
        <v>9027010026</v>
      </c>
      <c r="E2" s="1542">
        <v>2020</v>
      </c>
      <c r="F2" s="1542">
        <v>1</v>
      </c>
      <c r="G2" s="1899">
        <v>101000300</v>
      </c>
    </row>
    <row r="3" spans="1:7" ht="15" x14ac:dyDescent="0.25">
      <c r="A3" t="s">
        <v>950</v>
      </c>
      <c r="B3" s="135" t="str">
        <f>COVER!A15</f>
        <v>FORD</v>
      </c>
      <c r="E3" s="1830" t="s">
        <v>1968</v>
      </c>
      <c r="F3" s="1830" t="s">
        <v>1967</v>
      </c>
      <c r="G3" s="1899">
        <v>101000400</v>
      </c>
    </row>
    <row r="4" spans="1:7" ht="15" x14ac:dyDescent="0.25">
      <c r="A4" t="s">
        <v>1000</v>
      </c>
      <c r="B4" s="135" t="str">
        <f>COVER!A17</f>
        <v xml:space="preserve">  Paxton-Buckley-Loda CUD 10</v>
      </c>
      <c r="E4" s="1828">
        <v>44119</v>
      </c>
      <c r="F4" s="1829">
        <v>44151</v>
      </c>
      <c r="G4" s="1899">
        <v>101000600</v>
      </c>
    </row>
    <row r="5" spans="1:7" ht="15" x14ac:dyDescent="0.25">
      <c r="A5" t="s">
        <v>699</v>
      </c>
      <c r="B5" s="135" t="str">
        <f>COVER!A38</f>
        <v>Cliff McClure</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f>COVER!T23</f>
        <v>65.018319000000005</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2290239</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6006469</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6006469</v>
      </c>
      <c r="D92" s="2" t="str">
        <f t="shared" si="0"/>
        <v>Error?</v>
      </c>
      <c r="G92" s="1899">
        <v>102640600</v>
      </c>
    </row>
    <row r="93" spans="1:7" ht="15" x14ac:dyDescent="0.25">
      <c r="A93" s="5">
        <v>32</v>
      </c>
      <c r="B93" s="1832">
        <f>'Assets-Liab 5-6'!C41</f>
        <v>6006469</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306665</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626497</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626497</v>
      </c>
      <c r="D123" s="2" t="str">
        <f t="shared" si="0"/>
        <v>Error?</v>
      </c>
      <c r="G123" s="1899">
        <v>203000400</v>
      </c>
    </row>
    <row r="124" spans="1:7" ht="15" x14ac:dyDescent="0.25">
      <c r="A124" s="5">
        <v>63</v>
      </c>
      <c r="B124" s="1832">
        <f>'Assets-Liab 5-6'!D41</f>
        <v>626497</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768459</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768459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675513</v>
      </c>
      <c r="C139" s="2" t="s">
        <v>569</v>
      </c>
      <c r="D139" s="2" t="str">
        <f t="shared" si="1"/>
        <v>Error?</v>
      </c>
    </row>
    <row r="140" spans="1:7" x14ac:dyDescent="0.2">
      <c r="A140" s="5">
        <v>79</v>
      </c>
      <c r="B140" s="1832">
        <f>'Assets-Liab 5-6'!E39</f>
        <v>92946</v>
      </c>
      <c r="D140" s="2" t="str">
        <f t="shared" si="1"/>
        <v>Error?</v>
      </c>
    </row>
    <row r="141" spans="1:7" x14ac:dyDescent="0.2">
      <c r="A141" s="5">
        <v>80</v>
      </c>
      <c r="B141" s="1832">
        <f>'Assets-Liab 5-6'!E41</f>
        <v>768459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122666</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161050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161050</v>
      </c>
      <c r="D170" s="2" t="str">
        <f t="shared" si="1"/>
        <v>Error?</v>
      </c>
    </row>
    <row r="171" spans="1:4" x14ac:dyDescent="0.2">
      <c r="A171" s="5">
        <v>110</v>
      </c>
      <c r="B171" s="1832">
        <f>'Assets-Liab 5-6'!F41</f>
        <v>161050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142331</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142331</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17849</v>
      </c>
      <c r="C188" s="2" t="s">
        <v>569</v>
      </c>
      <c r="D188" s="2" t="str">
        <f t="shared" si="1"/>
        <v>Error?</v>
      </c>
    </row>
    <row r="189" spans="1:4" x14ac:dyDescent="0.2">
      <c r="A189" s="5">
        <v>128</v>
      </c>
      <c r="B189" s="1832">
        <f>'Assets-Liab 5-6'!G39</f>
        <v>-8148</v>
      </c>
      <c r="D189" s="2" t="str">
        <f t="shared" si="1"/>
        <v>Error?</v>
      </c>
    </row>
    <row r="190" spans="1:4" x14ac:dyDescent="0.2">
      <c r="A190" s="5">
        <v>129</v>
      </c>
      <c r="B190" s="1832">
        <f>'Assets-Liab 5-6'!G41</f>
        <v>142331</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1918538</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1918538</v>
      </c>
      <c r="D212" s="2" t="str">
        <f t="shared" si="2"/>
        <v>Error?</v>
      </c>
    </row>
    <row r="213" spans="1:4" x14ac:dyDescent="0.2">
      <c r="A213" s="12">
        <v>152</v>
      </c>
      <c r="B213" s="1832">
        <f>'Assets-Liab 5-6'!H41</f>
        <v>1918538</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164660</v>
      </c>
      <c r="D273" s="2" t="str">
        <f t="shared" si="3"/>
        <v>Error?</v>
      </c>
    </row>
    <row r="274" spans="1:4" x14ac:dyDescent="0.2">
      <c r="A274" s="5">
        <v>213</v>
      </c>
      <c r="B274" s="1832">
        <f>'Assets-Liab 5-6'!M17</f>
        <v>42733546</v>
      </c>
      <c r="D274" s="2" t="str">
        <f t="shared" si="3"/>
        <v>Error?</v>
      </c>
    </row>
    <row r="275" spans="1:4" x14ac:dyDescent="0.2">
      <c r="A275" s="5">
        <v>214</v>
      </c>
      <c r="B275" s="1832">
        <f>'Assets-Liab 5-6'!M18</f>
        <v>4123032</v>
      </c>
      <c r="D275" s="2" t="str">
        <f t="shared" si="3"/>
        <v>Error?</v>
      </c>
    </row>
    <row r="276" spans="1:4" x14ac:dyDescent="0.2">
      <c r="A276" s="5">
        <v>215</v>
      </c>
      <c r="B276" s="1832">
        <f>'Assets-Liab 5-6'!M19</f>
        <v>4857424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51878662</v>
      </c>
      <c r="C279" s="2" t="s">
        <v>569</v>
      </c>
      <c r="D279" s="2" t="str">
        <f t="shared" si="3"/>
        <v>Error?</v>
      </c>
    </row>
    <row r="280" spans="1:4" x14ac:dyDescent="0.2">
      <c r="A280" s="5">
        <v>219</v>
      </c>
      <c r="B280" s="1832">
        <f>'Assets-Liab 5-6'!M40</f>
        <v>51878662</v>
      </c>
      <c r="D280" s="2" t="str">
        <f t="shared" si="3"/>
        <v>Error?</v>
      </c>
    </row>
    <row r="281" spans="1:4" x14ac:dyDescent="0.2">
      <c r="A281" s="5">
        <v>220</v>
      </c>
      <c r="B281" s="1832">
        <f>'Assets-Liab 5-6'!M41</f>
        <v>51878662</v>
      </c>
      <c r="C281" s="2" t="s">
        <v>569</v>
      </c>
      <c r="D281" s="2" t="str">
        <f t="shared" si="3"/>
        <v>Error?</v>
      </c>
    </row>
    <row r="282" spans="1:4" x14ac:dyDescent="0.2">
      <c r="A282" s="5">
        <v>221</v>
      </c>
      <c r="B282" s="1832">
        <f>'Assets-Liab 5-6'!N21</f>
        <v>92946</v>
      </c>
      <c r="D282" s="2" t="str">
        <f t="shared" si="3"/>
        <v>Error?</v>
      </c>
    </row>
    <row r="283" spans="1:4" x14ac:dyDescent="0.2">
      <c r="A283" s="5">
        <v>222</v>
      </c>
      <c r="B283" s="1832">
        <f>'Assets-Liab 5-6'!N22</f>
        <v>31137054</v>
      </c>
      <c r="D283" s="2" t="str">
        <f t="shared" si="3"/>
        <v>Error?</v>
      </c>
    </row>
    <row r="284" spans="1:4" x14ac:dyDescent="0.2">
      <c r="A284" s="5">
        <v>223</v>
      </c>
      <c r="B284" s="1832">
        <f>'Assets-Liab 5-6'!N23</f>
        <v>31230000</v>
      </c>
      <c r="C284" s="2" t="s">
        <v>569</v>
      </c>
      <c r="D284" s="2" t="str">
        <f t="shared" si="3"/>
        <v>Error?</v>
      </c>
    </row>
    <row r="285" spans="1:4" x14ac:dyDescent="0.2">
      <c r="A285" s="5">
        <v>224</v>
      </c>
      <c r="B285" s="1832">
        <f>'Assets-Liab 5-6'!N36</f>
        <v>31230000</v>
      </c>
      <c r="D285" s="2" t="str">
        <f t="shared" si="3"/>
        <v>Error?</v>
      </c>
    </row>
    <row r="286" spans="1:4" x14ac:dyDescent="0.2">
      <c r="A286" s="10">
        <v>225</v>
      </c>
      <c r="B286" s="1832"/>
      <c r="D286" s="2" t="str">
        <f t="shared" si="3"/>
        <v>OK</v>
      </c>
    </row>
    <row r="287" spans="1:4" x14ac:dyDescent="0.2">
      <c r="A287" s="5">
        <v>226</v>
      </c>
      <c r="B287" s="1832">
        <f>'Assets-Liab 5-6'!N37</f>
        <v>31230000</v>
      </c>
      <c r="C287" s="2" t="s">
        <v>569</v>
      </c>
      <c r="D287" s="2" t="str">
        <f t="shared" si="3"/>
        <v>Error?</v>
      </c>
    </row>
    <row r="288" spans="1:4" x14ac:dyDescent="0.2">
      <c r="A288" s="5">
        <v>227</v>
      </c>
      <c r="B288" s="1832">
        <f>'Assets-Liab 5-6'!N41</f>
        <v>31230000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3645933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238386</v>
      </c>
      <c r="D717" s="2" t="str">
        <f t="shared" si="10"/>
        <v>Error?</v>
      </c>
    </row>
    <row r="718" spans="1:4" x14ac:dyDescent="0.2">
      <c r="A718" s="5">
        <v>657</v>
      </c>
      <c r="B718" s="1832">
        <f>'Expenditures 15-22'!C14</f>
        <v>163128</v>
      </c>
      <c r="D718" s="2" t="str">
        <f t="shared" si="10"/>
        <v>Error?</v>
      </c>
    </row>
    <row r="719" spans="1:4" x14ac:dyDescent="0.2">
      <c r="A719" s="5">
        <v>658</v>
      </c>
      <c r="B719" s="1832">
        <f>'Expenditures 15-22'!C15</f>
        <v>18585</v>
      </c>
      <c r="D719" s="2" t="str">
        <f t="shared" si="10"/>
        <v>Error?</v>
      </c>
    </row>
    <row r="720" spans="1:4" x14ac:dyDescent="0.2">
      <c r="A720" s="5">
        <v>659</v>
      </c>
      <c r="B720" s="1832">
        <f>'Expenditures 15-22'!C33</f>
        <v>5766898</v>
      </c>
      <c r="C720" s="2" t="s">
        <v>569</v>
      </c>
      <c r="D720" s="2" t="str">
        <f t="shared" si="10"/>
        <v>Error?</v>
      </c>
    </row>
    <row r="721" spans="1:4" x14ac:dyDescent="0.2">
      <c r="A721" s="5">
        <v>660</v>
      </c>
      <c r="B721" s="1832">
        <f>'Expenditures 15-22'!C36</f>
        <v>60378</v>
      </c>
      <c r="D721" s="2" t="str">
        <f t="shared" si="10"/>
        <v>Error?</v>
      </c>
    </row>
    <row r="722" spans="1:4" x14ac:dyDescent="0.2">
      <c r="A722" s="5">
        <v>661</v>
      </c>
      <c r="B722" s="1832">
        <f>'Expenditures 15-22'!C37</f>
        <v>195163</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255541</v>
      </c>
      <c r="C727" s="2" t="s">
        <v>569</v>
      </c>
      <c r="D727" s="2" t="str">
        <f t="shared" si="10"/>
        <v>Error?</v>
      </c>
    </row>
    <row r="728" spans="1:4" x14ac:dyDescent="0.2">
      <c r="A728" s="5">
        <v>667</v>
      </c>
      <c r="B728" s="1832">
        <f>'Expenditures 15-22'!C44</f>
        <v>200485</v>
      </c>
      <c r="D728" s="2" t="str">
        <f t="shared" si="10"/>
        <v>Error?</v>
      </c>
    </row>
    <row r="729" spans="1:4" x14ac:dyDescent="0.2">
      <c r="A729" s="5">
        <v>668</v>
      </c>
      <c r="B729" s="1832">
        <f>'Expenditures 15-22'!C45</f>
        <v>87341</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287826</v>
      </c>
      <c r="C731" s="2" t="s">
        <v>569</v>
      </c>
      <c r="D731" s="2" t="str">
        <f t="shared" si="10"/>
        <v>Error?</v>
      </c>
    </row>
    <row r="732" spans="1:4" x14ac:dyDescent="0.2">
      <c r="A732" s="5">
        <v>671</v>
      </c>
      <c r="B732" s="1832">
        <f>'Expenditures 15-22'!C49</f>
        <v>3000</v>
      </c>
      <c r="D732" s="2" t="str">
        <f t="shared" si="10"/>
        <v>Error?</v>
      </c>
    </row>
    <row r="733" spans="1:4" x14ac:dyDescent="0.2">
      <c r="A733" s="5">
        <v>672</v>
      </c>
      <c r="B733" s="1832">
        <f>'Expenditures 15-22'!C50</f>
        <v>141644</v>
      </c>
      <c r="D733" s="2" t="str">
        <f t="shared" si="10"/>
        <v>Error?</v>
      </c>
    </row>
    <row r="734" spans="1:4" x14ac:dyDescent="0.2">
      <c r="A734" s="5">
        <v>673</v>
      </c>
      <c r="B734" s="1832">
        <f>'Expenditures 15-22'!C53</f>
        <v>144644</v>
      </c>
      <c r="C734" s="2" t="s">
        <v>569</v>
      </c>
      <c r="D734" s="2" t="str">
        <f t="shared" si="10"/>
        <v>Error?</v>
      </c>
    </row>
    <row r="735" spans="1:4" x14ac:dyDescent="0.2">
      <c r="A735" s="5">
        <v>674</v>
      </c>
      <c r="B735" s="1832">
        <f>'Expenditures 15-22'!C55</f>
        <v>545275</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545275</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157994</v>
      </c>
      <c r="D739" s="2" t="str">
        <f t="shared" si="10"/>
        <v>Error?</v>
      </c>
    </row>
    <row r="740" spans="1:4" x14ac:dyDescent="0.2">
      <c r="A740" s="5">
        <v>679</v>
      </c>
      <c r="B740" s="1832">
        <f>'Expenditures 15-22'!C61</f>
        <v>494749</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256552</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909295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1593</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1593</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2144174</v>
      </c>
      <c r="C755" s="2" t="s">
        <v>569</v>
      </c>
      <c r="D755" s="2" t="str">
        <f t="shared" si="10"/>
        <v>Error?</v>
      </c>
    </row>
    <row r="756" spans="1:4" x14ac:dyDescent="0.2">
      <c r="A756" s="5">
        <v>695</v>
      </c>
      <c r="B756" s="1832">
        <f>'Expenditures 15-22'!C75</f>
        <v>4375</v>
      </c>
      <c r="D756" s="2" t="str">
        <f t="shared" si="10"/>
        <v>Error?</v>
      </c>
    </row>
    <row r="757" spans="1:4" x14ac:dyDescent="0.2">
      <c r="A757" s="5">
        <v>696</v>
      </c>
      <c r="B757" s="1832">
        <f>'Expenditures 15-22'!C114</f>
        <v>7915447</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941549</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57522</v>
      </c>
      <c r="D775" s="2" t="str">
        <f t="shared" si="11"/>
        <v>Error?</v>
      </c>
    </row>
    <row r="776" spans="1:4" x14ac:dyDescent="0.2">
      <c r="A776" s="5">
        <v>715</v>
      </c>
      <c r="B776" s="1832">
        <f>'Expenditures 15-22'!D14</f>
        <v>14604</v>
      </c>
      <c r="D776" s="2" t="str">
        <f t="shared" si="11"/>
        <v>Error?</v>
      </c>
    </row>
    <row r="777" spans="1:4" x14ac:dyDescent="0.2">
      <c r="A777" s="5">
        <v>716</v>
      </c>
      <c r="B777" s="1832">
        <f>'Expenditures 15-22'!D15</f>
        <v>1737</v>
      </c>
      <c r="D777" s="2" t="str">
        <f t="shared" si="11"/>
        <v>Error?</v>
      </c>
    </row>
    <row r="778" spans="1:4" x14ac:dyDescent="0.2">
      <c r="A778" s="5">
        <v>717</v>
      </c>
      <c r="B778" s="1832">
        <f>'Expenditures 15-22'!D33</f>
        <v>1549355</v>
      </c>
      <c r="C778" s="2" t="s">
        <v>569</v>
      </c>
      <c r="D778" s="2" t="str">
        <f t="shared" si="11"/>
        <v>Error?</v>
      </c>
    </row>
    <row r="779" spans="1:4" x14ac:dyDescent="0.2">
      <c r="A779" s="5">
        <v>718</v>
      </c>
      <c r="B779" s="1832">
        <f>'Expenditures 15-22'!D36</f>
        <v>14715</v>
      </c>
      <c r="D779" s="2" t="str">
        <f t="shared" si="11"/>
        <v>Error?</v>
      </c>
    </row>
    <row r="780" spans="1:4" x14ac:dyDescent="0.2">
      <c r="A780" s="5">
        <v>719</v>
      </c>
      <c r="B780" s="1832">
        <f>'Expenditures 15-22'!D37</f>
        <v>48774</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63489</v>
      </c>
      <c r="C785" s="2" t="s">
        <v>569</v>
      </c>
      <c r="D785" s="2" t="str">
        <f t="shared" si="11"/>
        <v>Error?</v>
      </c>
    </row>
    <row r="786" spans="1:4" x14ac:dyDescent="0.2">
      <c r="A786" s="5">
        <v>725</v>
      </c>
      <c r="B786" s="1832">
        <f>'Expenditures 15-22'!D44</f>
        <v>43320</v>
      </c>
      <c r="D786" s="2" t="str">
        <f t="shared" si="11"/>
        <v>Error?</v>
      </c>
    </row>
    <row r="787" spans="1:4" x14ac:dyDescent="0.2">
      <c r="A787" s="5">
        <v>726</v>
      </c>
      <c r="B787" s="1832">
        <f>'Expenditures 15-22'!D45</f>
        <v>20345</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63665</v>
      </c>
      <c r="C789" s="2" t="s">
        <v>569</v>
      </c>
      <c r="D789" s="2" t="str">
        <f t="shared" si="11"/>
        <v>Error?</v>
      </c>
    </row>
    <row r="790" spans="1:4" x14ac:dyDescent="0.2">
      <c r="A790" s="5">
        <v>729</v>
      </c>
      <c r="B790" s="1832">
        <f>'Expenditures 15-22'!D49</f>
        <v>47288</v>
      </c>
      <c r="D790" s="2" t="str">
        <f t="shared" si="11"/>
        <v>Error?</v>
      </c>
    </row>
    <row r="791" spans="1:4" x14ac:dyDescent="0.2">
      <c r="A791" s="5">
        <v>730</v>
      </c>
      <c r="B791" s="1832">
        <f>'Expenditures 15-22'!D50</f>
        <v>23916</v>
      </c>
      <c r="D791" s="2" t="str">
        <f t="shared" si="11"/>
        <v>Error?</v>
      </c>
    </row>
    <row r="792" spans="1:4" x14ac:dyDescent="0.2">
      <c r="A792" s="5">
        <v>731</v>
      </c>
      <c r="B792" s="1832">
        <f>'Expenditures 15-22'!D53</f>
        <v>71204</v>
      </c>
      <c r="C792" s="2" t="s">
        <v>569</v>
      </c>
      <c r="D792" s="2" t="str">
        <f t="shared" si="11"/>
        <v>Error?</v>
      </c>
    </row>
    <row r="793" spans="1:4" x14ac:dyDescent="0.2">
      <c r="A793" s="5">
        <v>732</v>
      </c>
      <c r="B793" s="1832">
        <f>'Expenditures 15-22'!D55</f>
        <v>129855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129855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21583</v>
      </c>
      <c r="D797" s="2" t="str">
        <f t="shared" si="11"/>
        <v>Error?</v>
      </c>
    </row>
    <row r="798" spans="1:4" x14ac:dyDescent="0.2">
      <c r="A798" s="5">
        <v>737</v>
      </c>
      <c r="B798" s="1832">
        <f>'Expenditures 15-22'!D61</f>
        <v>87479</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91808</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200870</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360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360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529443</v>
      </c>
      <c r="C813" s="2" t="s">
        <v>569</v>
      </c>
      <c r="D813" s="2" t="str">
        <f t="shared" si="11"/>
        <v>Error?</v>
      </c>
    </row>
    <row r="814" spans="1:4" x14ac:dyDescent="0.2">
      <c r="A814" s="5">
        <v>753</v>
      </c>
      <c r="B814" s="1832">
        <f>'Expenditures 15-22'!D75</f>
        <v>1145</v>
      </c>
      <c r="D814" s="2" t="str">
        <f t="shared" si="11"/>
        <v>Error?</v>
      </c>
    </row>
    <row r="815" spans="1:4" x14ac:dyDescent="0.2">
      <c r="A815" s="5">
        <v>754</v>
      </c>
      <c r="B815" s="1832">
        <f>'Expenditures 15-22'!D114</f>
        <v>2079943</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25664</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23417</v>
      </c>
      <c r="D833" s="2" t="str">
        <f t="shared" si="12"/>
        <v>Error?</v>
      </c>
    </row>
    <row r="834" spans="1:4" x14ac:dyDescent="0.2">
      <c r="A834" s="5">
        <v>773</v>
      </c>
      <c r="B834" s="1832">
        <f>'Expenditures 15-22'!E14</f>
        <v>42483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98879</v>
      </c>
      <c r="C836" s="2" t="s">
        <v>569</v>
      </c>
      <c r="D836" s="2" t="str">
        <f t="shared" si="12"/>
        <v>Error?</v>
      </c>
    </row>
    <row r="837" spans="1:4" x14ac:dyDescent="0.2">
      <c r="A837" s="5">
        <v>776</v>
      </c>
      <c r="B837" s="1832">
        <f>'Expenditures 15-22'!E36</f>
        <v>25437</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35991</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61428</v>
      </c>
      <c r="C843" s="2" t="s">
        <v>569</v>
      </c>
      <c r="D843" s="2" t="str">
        <f t="shared" si="12"/>
        <v>Error?</v>
      </c>
    </row>
    <row r="844" spans="1:4" x14ac:dyDescent="0.2">
      <c r="A844" s="5">
        <v>783</v>
      </c>
      <c r="B844" s="1832">
        <f>'Expenditures 15-22'!E44</f>
        <v>128268</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128268</v>
      </c>
      <c r="C847" s="2" t="s">
        <v>569</v>
      </c>
      <c r="D847" s="2" t="str">
        <f t="shared" si="12"/>
        <v>Error?</v>
      </c>
    </row>
    <row r="848" spans="1:4" x14ac:dyDescent="0.2">
      <c r="A848" s="5">
        <v>787</v>
      </c>
      <c r="B848" s="1832">
        <f>'Expenditures 15-22'!E49</f>
        <v>48860</v>
      </c>
      <c r="D848" s="2" t="str">
        <f t="shared" si="12"/>
        <v>Error?</v>
      </c>
    </row>
    <row r="849" spans="1:4" x14ac:dyDescent="0.2">
      <c r="A849" s="5">
        <v>788</v>
      </c>
      <c r="B849" s="1832">
        <f>'Expenditures 15-22'!E50</f>
        <v>8473</v>
      </c>
      <c r="D849" s="2" t="str">
        <f t="shared" si="12"/>
        <v>Error?</v>
      </c>
    </row>
    <row r="850" spans="1:4" x14ac:dyDescent="0.2">
      <c r="A850" s="5">
        <v>789</v>
      </c>
      <c r="B850" s="1832">
        <f>'Expenditures 15-22'!E53</f>
        <v>57333</v>
      </c>
      <c r="C850" s="2" t="s">
        <v>569</v>
      </c>
      <c r="D850" s="2" t="str">
        <f t="shared" si="12"/>
        <v>Error?</v>
      </c>
    </row>
    <row r="851" spans="1:4" x14ac:dyDescent="0.2">
      <c r="A851" s="5">
        <v>790</v>
      </c>
      <c r="B851" s="1832">
        <f>'Expenditures 15-22'!E55</f>
        <v>54111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54111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13936</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225500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239436</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540576</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639455</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114058</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70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26480</v>
      </c>
      <c r="D891" s="2" t="str">
        <f t="shared" si="12"/>
        <v>Error?</v>
      </c>
    </row>
    <row r="892" spans="1:4" x14ac:dyDescent="0.2">
      <c r="A892" s="5">
        <v>831</v>
      </c>
      <c r="B892" s="1832">
        <f>'Expenditures 15-22'!F14</f>
        <v>51124</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330987</v>
      </c>
      <c r="C894" s="2" t="s">
        <v>569</v>
      </c>
      <c r="D894" s="2" t="str">
        <f t="shared" si="12"/>
        <v>Error?</v>
      </c>
    </row>
    <row r="895" spans="1:4" x14ac:dyDescent="0.2">
      <c r="A895" s="5">
        <v>834</v>
      </c>
      <c r="B895" s="1832">
        <f>'Expenditures 15-22'!F36</f>
        <v>52</v>
      </c>
      <c r="D895" s="2" t="str">
        <f t="shared" ref="D895:D958" si="13">IF(ISBLANK(B895),"OK",IF(A895-B895=0,"OK","Error?"))</f>
        <v>Error?</v>
      </c>
    </row>
    <row r="896" spans="1:4" x14ac:dyDescent="0.2">
      <c r="A896" s="5">
        <v>835</v>
      </c>
      <c r="B896" s="1832">
        <f>'Expenditures 15-22'!F37</f>
        <v>574</v>
      </c>
      <c r="D896" s="2" t="str">
        <f t="shared" si="13"/>
        <v>Error?</v>
      </c>
    </row>
    <row r="897" spans="1:4" x14ac:dyDescent="0.2">
      <c r="A897" s="5">
        <v>836</v>
      </c>
      <c r="B897" s="1832">
        <f>'Expenditures 15-22'!F38</f>
        <v>4952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5578</v>
      </c>
      <c r="C901" s="2" t="s">
        <v>569</v>
      </c>
      <c r="D901" s="2" t="str">
        <f t="shared" si="13"/>
        <v>Error?</v>
      </c>
    </row>
    <row r="902" spans="1:4" x14ac:dyDescent="0.2">
      <c r="A902" s="5">
        <v>841</v>
      </c>
      <c r="B902" s="1832">
        <f>'Expenditures 15-22'!F44</f>
        <v>52605</v>
      </c>
      <c r="D902" s="2" t="str">
        <f t="shared" si="13"/>
        <v>Error?</v>
      </c>
    </row>
    <row r="903" spans="1:4" x14ac:dyDescent="0.2">
      <c r="A903" s="5">
        <v>842</v>
      </c>
      <c r="B903" s="1832">
        <f>'Expenditures 15-22'!F45</f>
        <v>19411</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72016</v>
      </c>
      <c r="C905" s="2" t="s">
        <v>569</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21943</v>
      </c>
      <c r="D907" s="2" t="str">
        <f t="shared" si="13"/>
        <v>Error?</v>
      </c>
    </row>
    <row r="908" spans="1:4" x14ac:dyDescent="0.2">
      <c r="A908" s="5">
        <v>847</v>
      </c>
      <c r="B908" s="1832">
        <f>'Expenditures 15-22'!F53</f>
        <v>21943</v>
      </c>
      <c r="C908" s="2" t="s">
        <v>569</v>
      </c>
      <c r="D908" s="2" t="str">
        <f t="shared" si="13"/>
        <v>Error?</v>
      </c>
    </row>
    <row r="909" spans="1:4" x14ac:dyDescent="0.2">
      <c r="A909" s="5">
        <v>848</v>
      </c>
      <c r="B909" s="1832">
        <f>'Expenditures 15-22'!F55</f>
        <v>21559</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21559</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3213</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14086</v>
      </c>
      <c r="D916" s="2" t="str">
        <f t="shared" si="13"/>
        <v>Error?</v>
      </c>
    </row>
    <row r="917" spans="1:4" x14ac:dyDescent="0.2">
      <c r="A917" s="5">
        <v>856</v>
      </c>
      <c r="B917" s="1832">
        <f>'Expenditures 15-22'!F64</f>
        <v>3000</v>
      </c>
      <c r="D917" s="2" t="str">
        <f t="shared" si="13"/>
        <v>Error?</v>
      </c>
    </row>
    <row r="918" spans="1:4" x14ac:dyDescent="0.2">
      <c r="A918" s="10">
        <v>857</v>
      </c>
      <c r="B918" s="1832"/>
      <c r="D918" s="2" t="str">
        <f t="shared" si="13"/>
        <v>OK</v>
      </c>
    </row>
    <row r="919" spans="1:4" x14ac:dyDescent="0.2">
      <c r="A919" s="5">
        <v>858</v>
      </c>
      <c r="B919" s="1832">
        <f>'Expenditures 15-22'!F65</f>
        <v>20299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141395</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472382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1566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11692</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13258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100302</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100302</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3500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3500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7851</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7851</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111653</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124911</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547</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547</v>
      </c>
      <c r="C1021" s="2" t="s">
        <v>569</v>
      </c>
      <c r="D1021" s="2" t="str">
        <f t="shared" si="14"/>
        <v>Error?</v>
      </c>
    </row>
    <row r="1022" spans="1:4" x14ac:dyDescent="0.2">
      <c r="A1022" s="5">
        <v>961</v>
      </c>
      <c r="B1022" s="1832">
        <f>'Expenditures 15-22'!H49</f>
        <v>24428</v>
      </c>
      <c r="D1022" s="2" t="str">
        <f t="shared" si="14"/>
        <v>Error?</v>
      </c>
    </row>
    <row r="1023" spans="1:4" x14ac:dyDescent="0.2">
      <c r="A1023" s="5">
        <v>962</v>
      </c>
      <c r="B1023" s="1832">
        <f>'Expenditures 15-22'!H50</f>
        <v>2677</v>
      </c>
      <c r="D1023" s="2" t="str">
        <f t="shared" ref="D1023:D1086" si="15">IF(ISBLANK(B1023),"OK",IF(A1023-B1023=0,"OK","Error?"))</f>
        <v>Error?</v>
      </c>
    </row>
    <row r="1024" spans="1:4" x14ac:dyDescent="0.2">
      <c r="A1024" s="5">
        <v>963</v>
      </c>
      <c r="B1024" s="1832">
        <f>'Expenditures 15-22'!H53</f>
        <v>27105</v>
      </c>
      <c r="C1024" s="2" t="s">
        <v>569</v>
      </c>
      <c r="D1024" s="2" t="str">
        <f t="shared" si="15"/>
        <v>Error?</v>
      </c>
    </row>
    <row r="1025" spans="1:4" x14ac:dyDescent="0.2">
      <c r="A1025" s="5">
        <v>964</v>
      </c>
      <c r="B1025" s="1832">
        <f>'Expenditures 15-22'!H55</f>
        <v>1097</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1097</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28749</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923977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952726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4728770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70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345805</v>
      </c>
      <c r="C1105" s="2" t="s">
        <v>569</v>
      </c>
      <c r="D1105" s="2" t="str">
        <f t="shared" si="16"/>
        <v>Error?</v>
      </c>
    </row>
    <row r="1106" spans="1:4" x14ac:dyDescent="0.2">
      <c r="A1106" s="5">
        <v>1045</v>
      </c>
      <c r="B1106" s="1832">
        <f>'Expenditures 15-22'!K14</f>
        <v>283031</v>
      </c>
      <c r="C1106" s="2" t="s">
        <v>569</v>
      </c>
      <c r="D1106" s="2" t="str">
        <f t="shared" si="16"/>
        <v>Error?</v>
      </c>
    </row>
    <row r="1107" spans="1:4" x14ac:dyDescent="0.2">
      <c r="A1107" s="5">
        <v>1046</v>
      </c>
      <c r="B1107" s="1832">
        <f>'Expenditures 15-22'!K15</f>
        <v>20322</v>
      </c>
      <c r="C1107" s="2" t="s">
        <v>569</v>
      </c>
      <c r="D1107" s="2" t="str">
        <f t="shared" si="16"/>
        <v>Error?</v>
      </c>
    </row>
    <row r="1108" spans="1:4" x14ac:dyDescent="0.2">
      <c r="A1108" s="5">
        <v>1047</v>
      </c>
      <c r="B1108" s="1832">
        <f>'Expenditures 15-22'!K33</f>
        <v>7759377</v>
      </c>
      <c r="C1108" s="2" t="s">
        <v>569</v>
      </c>
      <c r="D1108" s="2" t="str">
        <f t="shared" si="16"/>
        <v>Error?</v>
      </c>
    </row>
    <row r="1109" spans="1:4" x14ac:dyDescent="0.2">
      <c r="A1109" s="5">
        <v>1048</v>
      </c>
      <c r="B1109" s="1832">
        <f>'Expenditures 15-22'!K36</f>
        <v>100582</v>
      </c>
      <c r="C1109" s="2" t="s">
        <v>569</v>
      </c>
      <c r="D1109" s="2" t="str">
        <f t="shared" si="16"/>
        <v>Error?</v>
      </c>
    </row>
    <row r="1110" spans="1:4" x14ac:dyDescent="0.2">
      <c r="A1110" s="5">
        <v>1049</v>
      </c>
      <c r="B1110" s="1832">
        <f>'Expenditures 15-22'!K37</f>
        <v>244511</v>
      </c>
      <c r="C1110" s="2" t="s">
        <v>569</v>
      </c>
      <c r="D1110" s="2" t="str">
        <f t="shared" si="16"/>
        <v>Error?</v>
      </c>
    </row>
    <row r="1111" spans="1:4" x14ac:dyDescent="0.2">
      <c r="A1111" s="5">
        <v>1050</v>
      </c>
      <c r="B1111" s="1832">
        <f>'Expenditures 15-22'!K38</f>
        <v>40943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386036</v>
      </c>
      <c r="C1115" s="2" t="s">
        <v>569</v>
      </c>
      <c r="D1115" s="2" t="str">
        <f t="shared" si="16"/>
        <v>Error?</v>
      </c>
    </row>
    <row r="1116" spans="1:4" x14ac:dyDescent="0.2">
      <c r="A1116" s="5">
        <v>1055</v>
      </c>
      <c r="B1116" s="1832">
        <f>'Expenditures 15-22'!K44</f>
        <v>525527</v>
      </c>
      <c r="C1116" s="2" t="s">
        <v>569</v>
      </c>
      <c r="D1116" s="2" t="str">
        <f t="shared" si="16"/>
        <v>Error?</v>
      </c>
    </row>
    <row r="1117" spans="1:4" x14ac:dyDescent="0.2">
      <c r="A1117" s="5">
        <v>1056</v>
      </c>
      <c r="B1117" s="1832">
        <f>'Expenditures 15-22'!K45</f>
        <v>127097</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652624</v>
      </c>
      <c r="C1119" s="2" t="s">
        <v>569</v>
      </c>
      <c r="D1119" s="2" t="str">
        <f t="shared" si="16"/>
        <v>Error?</v>
      </c>
    </row>
    <row r="1120" spans="1:4" x14ac:dyDescent="0.2">
      <c r="A1120" s="5">
        <v>1059</v>
      </c>
      <c r="B1120" s="1832">
        <f>'Expenditures 15-22'!K49</f>
        <v>123576</v>
      </c>
      <c r="C1120" s="2" t="s">
        <v>569</v>
      </c>
      <c r="D1120" s="2" t="str">
        <f t="shared" si="16"/>
        <v>Error?</v>
      </c>
    </row>
    <row r="1121" spans="1:4" x14ac:dyDescent="0.2">
      <c r="A1121" s="5">
        <v>1060</v>
      </c>
      <c r="B1121" s="1832">
        <f>'Expenditures 15-22'!K50</f>
        <v>198653</v>
      </c>
      <c r="C1121" s="2" t="s">
        <v>569</v>
      </c>
      <c r="D1121" s="2" t="str">
        <f t="shared" si="16"/>
        <v>Error?</v>
      </c>
    </row>
    <row r="1122" spans="1:4" x14ac:dyDescent="0.2">
      <c r="A1122" s="5">
        <v>1061</v>
      </c>
      <c r="B1122" s="1832">
        <f>'Expenditures 15-22'!K53</f>
        <v>322229</v>
      </c>
      <c r="C1122" s="2" t="s">
        <v>569</v>
      </c>
      <c r="D1122" s="2" t="str">
        <f t="shared" si="16"/>
        <v>Error?</v>
      </c>
    </row>
    <row r="1123" spans="1:4" x14ac:dyDescent="0.2">
      <c r="A1123" s="5">
        <v>1062</v>
      </c>
      <c r="B1123" s="1832">
        <f>'Expenditures 15-22'!K55</f>
        <v>755397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755397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182790</v>
      </c>
      <c r="C1127" s="2" t="s">
        <v>569</v>
      </c>
      <c r="D1127" s="2" t="str">
        <f t="shared" si="16"/>
        <v>Error?</v>
      </c>
    </row>
    <row r="1128" spans="1:4" x14ac:dyDescent="0.2">
      <c r="A1128" s="5">
        <v>1067</v>
      </c>
      <c r="B1128" s="1832">
        <f>'Expenditures 15-22'!K61</f>
        <v>596164</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595797</v>
      </c>
      <c r="C1130" s="2" t="s">
        <v>569</v>
      </c>
      <c r="D1130" s="2" t="str">
        <f t="shared" si="16"/>
        <v>Error?</v>
      </c>
    </row>
    <row r="1131" spans="1:4" x14ac:dyDescent="0.2">
      <c r="A1131" s="5">
        <v>1070</v>
      </c>
      <c r="B1131" s="1832">
        <f>'Expenditures 15-22'!K64</f>
        <v>3000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1377751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1953</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1953</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3495990</v>
      </c>
      <c r="C1143" s="2" t="s">
        <v>569</v>
      </c>
      <c r="D1143" s="2" t="str">
        <f t="shared" si="16"/>
        <v>Error?</v>
      </c>
    </row>
    <row r="1144" spans="1:4" x14ac:dyDescent="0.2">
      <c r="A1144" s="5">
        <v>1083</v>
      </c>
      <c r="B1144" s="1832">
        <f>'Expenditures 15-22'!K75</f>
        <v>5520</v>
      </c>
      <c r="C1144" s="2" t="s">
        <v>569</v>
      </c>
      <c r="D1144" s="2" t="str">
        <f t="shared" si="16"/>
        <v>Error?</v>
      </c>
    </row>
    <row r="1145" spans="1:4" x14ac:dyDescent="0.2">
      <c r="A1145" s="5">
        <v>1084</v>
      </c>
      <c r="B1145" s="1832">
        <f>'Expenditures 15-22'!K102</f>
        <v>923977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12184864</v>
      </c>
      <c r="C1152" s="2" t="s">
        <v>569</v>
      </c>
      <c r="D1152" s="2" t="str">
        <f t="shared" si="17"/>
        <v>Error?</v>
      </c>
    </row>
    <row r="1153" spans="1:4" x14ac:dyDescent="0.2">
      <c r="A1153" s="5">
        <v>1092</v>
      </c>
      <c r="B1153" s="1832">
        <f>'Expenditures 15-22'!K115</f>
        <v>867819</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70123</v>
      </c>
      <c r="D1221" s="2" t="str">
        <f t="shared" si="18"/>
        <v>Error?</v>
      </c>
    </row>
    <row r="1222" spans="1:4" x14ac:dyDescent="0.2">
      <c r="A1222" s="10">
        <v>1161</v>
      </c>
      <c r="B1222" s="1832"/>
      <c r="D1222" s="2" t="str">
        <f t="shared" si="18"/>
        <v>OK</v>
      </c>
    </row>
    <row r="1223" spans="1:4" x14ac:dyDescent="0.2">
      <c r="A1223" s="5">
        <v>1162</v>
      </c>
      <c r="B1223" s="1832">
        <f>'Expenditures 15-22'!C127</f>
        <v>70123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70123</v>
      </c>
      <c r="C1225" s="2" t="s">
        <v>569</v>
      </c>
      <c r="D1225" s="2" t="str">
        <f t="shared" si="18"/>
        <v>Error?</v>
      </c>
    </row>
    <row r="1226" spans="1:4" x14ac:dyDescent="0.2">
      <c r="A1226" s="5">
        <v>1165</v>
      </c>
      <c r="B1226" s="1832">
        <f>'Expenditures 15-22'!C151</f>
        <v>70123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6976</v>
      </c>
      <c r="D1229" s="2" t="str">
        <f t="shared" si="18"/>
        <v>Error?</v>
      </c>
    </row>
    <row r="1230" spans="1:4" x14ac:dyDescent="0.2">
      <c r="A1230" s="10">
        <v>1169</v>
      </c>
      <c r="B1230" s="1832"/>
      <c r="D1230" s="2" t="str">
        <f t="shared" si="18"/>
        <v>OK</v>
      </c>
    </row>
    <row r="1231" spans="1:4" x14ac:dyDescent="0.2">
      <c r="A1231" s="5">
        <v>1170</v>
      </c>
      <c r="B1231" s="1832">
        <f>'Expenditures 15-22'!D127</f>
        <v>6976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6976</v>
      </c>
      <c r="C1233" s="2" t="s">
        <v>569</v>
      </c>
      <c r="D1233" s="2" t="str">
        <f t="shared" si="18"/>
        <v>Error?</v>
      </c>
    </row>
    <row r="1234" spans="1:4" x14ac:dyDescent="0.2">
      <c r="A1234" s="5">
        <v>1173</v>
      </c>
      <c r="B1234" s="1832">
        <f>'Expenditures 15-22'!D151</f>
        <v>6976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281324</v>
      </c>
      <c r="D1237" s="2" t="str">
        <f t="shared" si="18"/>
        <v>Error?</v>
      </c>
    </row>
    <row r="1238" spans="1:4" x14ac:dyDescent="0.2">
      <c r="A1238" s="10">
        <v>1177</v>
      </c>
      <c r="B1238" s="1832"/>
      <c r="D1238" s="2" t="str">
        <f t="shared" si="18"/>
        <v>OK</v>
      </c>
    </row>
    <row r="1239" spans="1:4" x14ac:dyDescent="0.2">
      <c r="A1239" s="5">
        <v>1178</v>
      </c>
      <c r="B1239" s="1832">
        <f>'Expenditures 15-22'!E127</f>
        <v>281324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281324</v>
      </c>
      <c r="C1241" s="2" t="s">
        <v>569</v>
      </c>
      <c r="D1241" s="2" t="str">
        <f t="shared" si="18"/>
        <v>Error?</v>
      </c>
    </row>
    <row r="1242" spans="1:4" x14ac:dyDescent="0.2">
      <c r="A1242" s="5">
        <v>1181</v>
      </c>
      <c r="B1242" s="1832">
        <f>'Expenditures 15-22'!E151</f>
        <v>281324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449638</v>
      </c>
      <c r="D1245" s="2" t="str">
        <f t="shared" si="18"/>
        <v>Error?</v>
      </c>
    </row>
    <row r="1246" spans="1:4" x14ac:dyDescent="0.2">
      <c r="A1246" s="10">
        <v>1185</v>
      </c>
      <c r="B1246" s="1832"/>
      <c r="D1246" s="2" t="str">
        <f t="shared" si="18"/>
        <v>OK</v>
      </c>
    </row>
    <row r="1247" spans="1:4" x14ac:dyDescent="0.2">
      <c r="A1247" s="5">
        <v>1186</v>
      </c>
      <c r="B1247" s="1832">
        <f>'Expenditures 15-22'!F127</f>
        <v>449638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449638</v>
      </c>
      <c r="C1249" s="2" t="s">
        <v>569</v>
      </c>
      <c r="D1249" s="2" t="str">
        <f t="shared" si="18"/>
        <v>Error?</v>
      </c>
    </row>
    <row r="1250" spans="1:4" x14ac:dyDescent="0.2">
      <c r="A1250" s="5">
        <v>1189</v>
      </c>
      <c r="B1250" s="1832">
        <f>'Expenditures 15-22'!F151</f>
        <v>449638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98855</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98855</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98855</v>
      </c>
      <c r="C1258" s="2" t="s">
        <v>569</v>
      </c>
      <c r="D1258" s="2" t="str">
        <f t="shared" si="18"/>
        <v>Error?</v>
      </c>
    </row>
    <row r="1259" spans="1:4" x14ac:dyDescent="0.2">
      <c r="A1259" s="5">
        <v>1198</v>
      </c>
      <c r="B1259" s="1832">
        <f>'Expenditures 15-22'!G151</f>
        <v>98855</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906916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906916</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906916</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906916</v>
      </c>
      <c r="C1288" s="2" t="s">
        <v>569</v>
      </c>
      <c r="D1288" s="2" t="str">
        <f t="shared" si="19"/>
        <v>Error?</v>
      </c>
    </row>
    <row r="1289" spans="1:4" x14ac:dyDescent="0.2">
      <c r="A1289" s="5">
        <v>1228</v>
      </c>
      <c r="B1289" s="1832">
        <f>'Expenditures 15-22'!K152</f>
        <v>47480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1342689</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835000</v>
      </c>
      <c r="D1315" s="2" t="str">
        <f t="shared" si="19"/>
        <v>Error?</v>
      </c>
    </row>
    <row r="1316" spans="1:4" x14ac:dyDescent="0.2">
      <c r="A1316" s="5">
        <v>1255</v>
      </c>
      <c r="B1316" s="1832">
        <f>'Expenditures 15-22'!H171</f>
        <v>1300</v>
      </c>
      <c r="D1316" s="2" t="str">
        <f t="shared" si="19"/>
        <v>Error?</v>
      </c>
    </row>
    <row r="1317" spans="1:4" x14ac:dyDescent="0.2">
      <c r="A1317" s="5">
        <v>1256</v>
      </c>
      <c r="B1317" s="1832">
        <f>'Expenditures 15-22'!H172</f>
        <v>2178989</v>
      </c>
      <c r="C1317" s="2" t="s">
        <v>569</v>
      </c>
      <c r="D1317" s="2" t="str">
        <f t="shared" si="19"/>
        <v>Error?</v>
      </c>
    </row>
    <row r="1318" spans="1:4" x14ac:dyDescent="0.2">
      <c r="A1318" s="5">
        <v>1257</v>
      </c>
      <c r="B1318" s="1832">
        <f>'Expenditures 15-22'!H174</f>
        <v>2178989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1342689</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835000</v>
      </c>
      <c r="C1329" s="2" t="s">
        <v>569</v>
      </c>
      <c r="D1329" s="2" t="str">
        <f t="shared" si="19"/>
        <v>Error?</v>
      </c>
    </row>
    <row r="1330" spans="1:4" x14ac:dyDescent="0.2">
      <c r="A1330" s="5">
        <v>1269</v>
      </c>
      <c r="B1330" s="1832">
        <f>'Expenditures 15-22'!K171</f>
        <v>1300</v>
      </c>
      <c r="C1330" s="2" t="s">
        <v>569</v>
      </c>
      <c r="D1330" s="2" t="str">
        <f t="shared" si="19"/>
        <v>Error?</v>
      </c>
    </row>
    <row r="1331" spans="1:4" x14ac:dyDescent="0.2">
      <c r="A1331" s="5">
        <v>1270</v>
      </c>
      <c r="B1331" s="1832">
        <f>'Expenditures 15-22'!K172</f>
        <v>2178989</v>
      </c>
      <c r="C1331" s="2" t="s">
        <v>569</v>
      </c>
      <c r="D1331" s="2" t="str">
        <f t="shared" si="19"/>
        <v>Error?</v>
      </c>
    </row>
    <row r="1332" spans="1:4" x14ac:dyDescent="0.2">
      <c r="A1332" s="5">
        <v>1271</v>
      </c>
      <c r="B1332" s="1832">
        <f>'Expenditures 15-22'!K174</f>
        <v>2178989</v>
      </c>
      <c r="C1332" s="2" t="s">
        <v>569</v>
      </c>
      <c r="D1332" s="2" t="str">
        <f t="shared" si="19"/>
        <v>Error?</v>
      </c>
    </row>
    <row r="1333" spans="1:4" x14ac:dyDescent="0.2">
      <c r="A1333" s="5">
        <v>1272</v>
      </c>
      <c r="B1333" s="1832">
        <f>'Expenditures 15-22'!K175</f>
        <v>3930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60426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60426</v>
      </c>
      <c r="C1339" s="2" t="s">
        <v>569</v>
      </c>
      <c r="D1339" s="2" t="str">
        <f t="shared" si="19"/>
        <v>Error?</v>
      </c>
    </row>
    <row r="1340" spans="1:4" x14ac:dyDescent="0.2">
      <c r="A1340" s="5">
        <v>1279</v>
      </c>
      <c r="B1340" s="1832">
        <f>'Expenditures 15-22'!C210</f>
        <v>60426</v>
      </c>
      <c r="C1340" s="2" t="s">
        <v>569</v>
      </c>
      <c r="D1340" s="2" t="str">
        <f t="shared" si="19"/>
        <v>Error?</v>
      </c>
    </row>
    <row r="1341" spans="1:4" x14ac:dyDescent="0.2">
      <c r="A1341" s="5">
        <v>1280</v>
      </c>
      <c r="B1341" s="1832">
        <f>'Expenditures 15-22'!D182</f>
        <v>1901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1901</v>
      </c>
      <c r="C1345" s="2" t="s">
        <v>569</v>
      </c>
      <c r="D1345" s="2" t="str">
        <f t="shared" si="20"/>
        <v>Error?</v>
      </c>
    </row>
    <row r="1346" spans="1:4" x14ac:dyDescent="0.2">
      <c r="A1346" s="5">
        <v>1285</v>
      </c>
      <c r="B1346" s="1832">
        <f>'Expenditures 15-22'!D210</f>
        <v>1901</v>
      </c>
      <c r="C1346" s="2" t="s">
        <v>569</v>
      </c>
      <c r="D1346" s="2" t="str">
        <f t="shared" si="20"/>
        <v>Error?</v>
      </c>
    </row>
    <row r="1347" spans="1:4" x14ac:dyDescent="0.2">
      <c r="A1347" s="5">
        <v>1286</v>
      </c>
      <c r="B1347" s="1832">
        <f>'Expenditures 15-22'!E182</f>
        <v>669058</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669058</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669058</v>
      </c>
      <c r="C1353" s="2" t="s">
        <v>569</v>
      </c>
      <c r="D1353" s="2" t="str">
        <f t="shared" si="20"/>
        <v>Error?</v>
      </c>
    </row>
    <row r="1354" spans="1:4" x14ac:dyDescent="0.2">
      <c r="A1354" s="5">
        <v>1293</v>
      </c>
      <c r="B1354" s="1832">
        <f>'Expenditures 15-22'!F182</f>
        <v>67094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67094</v>
      </c>
      <c r="C1358" s="2" t="s">
        <v>569</v>
      </c>
      <c r="D1358" s="2" t="str">
        <f t="shared" si="20"/>
        <v>Error?</v>
      </c>
    </row>
    <row r="1359" spans="1:4" x14ac:dyDescent="0.2">
      <c r="A1359" s="5">
        <v>1298</v>
      </c>
      <c r="B1359" s="1832">
        <f>'Expenditures 15-22'!F210</f>
        <v>67094</v>
      </c>
      <c r="C1359" s="2" t="s">
        <v>569</v>
      </c>
      <c r="D1359" s="2" t="str">
        <f t="shared" si="20"/>
        <v>Error?</v>
      </c>
    </row>
    <row r="1360" spans="1:4" x14ac:dyDescent="0.2">
      <c r="A1360" s="5">
        <v>1299</v>
      </c>
      <c r="B1360" s="1832">
        <f>'Expenditures 15-22'!G182</f>
        <v>23338</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23338</v>
      </c>
      <c r="C1364" s="2" t="s">
        <v>569</v>
      </c>
      <c r="D1364" s="2" t="str">
        <f t="shared" si="20"/>
        <v>Error?</v>
      </c>
    </row>
    <row r="1365" spans="1:4" x14ac:dyDescent="0.2">
      <c r="A1365" s="5">
        <v>1304</v>
      </c>
      <c r="B1365" s="1832">
        <f>'Expenditures 15-22'!G210</f>
        <v>23338</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821817</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821817</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821817</v>
      </c>
      <c r="C1388" s="2" t="s">
        <v>569</v>
      </c>
      <c r="D1388" s="2" t="str">
        <f t="shared" si="20"/>
        <v>Error?</v>
      </c>
    </row>
    <row r="1389" spans="1:4" x14ac:dyDescent="0.2">
      <c r="A1389" s="5">
        <v>1328</v>
      </c>
      <c r="B1389" s="1832">
        <f>'Expenditures 15-22'!K211</f>
        <v>-21708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3294</v>
      </c>
      <c r="D1407" s="2" t="str">
        <f t="shared" ref="D1407:D1470" si="21">IF(ISBLANK(B1407),"OK",IF(A1407-B1407=0,"OK","Error?"))</f>
        <v>Error?</v>
      </c>
    </row>
    <row r="1408" spans="1:4" x14ac:dyDescent="0.2">
      <c r="A1408" s="5">
        <v>1347</v>
      </c>
      <c r="B1408" s="1832">
        <f>'Expenditures 15-22'!D223</f>
        <v>5562</v>
      </c>
      <c r="D1408" s="2" t="str">
        <f t="shared" si="21"/>
        <v>Error?</v>
      </c>
    </row>
    <row r="1409" spans="1:4" x14ac:dyDescent="0.2">
      <c r="A1409" s="5">
        <v>1348</v>
      </c>
      <c r="B1409" s="1832">
        <f>'Expenditures 15-22'!D224</f>
        <v>983</v>
      </c>
      <c r="D1409" s="2" t="str">
        <f t="shared" si="21"/>
        <v>Error?</v>
      </c>
    </row>
    <row r="1410" spans="1:4" x14ac:dyDescent="0.2">
      <c r="A1410" s="5">
        <v>1349</v>
      </c>
      <c r="B1410" s="1832">
        <f>'Expenditures 15-22'!D229</f>
        <v>177908</v>
      </c>
      <c r="C1410" s="2" t="s">
        <v>569</v>
      </c>
      <c r="D1410" s="2" t="str">
        <f t="shared" si="21"/>
        <v>Error?</v>
      </c>
    </row>
    <row r="1411" spans="1:4" x14ac:dyDescent="0.2">
      <c r="A1411" s="5">
        <v>1350</v>
      </c>
      <c r="B1411" s="1832">
        <f>'Expenditures 15-22'!D232</f>
        <v>866</v>
      </c>
      <c r="D1411" s="2" t="str">
        <f t="shared" si="21"/>
        <v>Error?</v>
      </c>
    </row>
    <row r="1412" spans="1:4" x14ac:dyDescent="0.2">
      <c r="A1412" s="5">
        <v>1351</v>
      </c>
      <c r="B1412" s="1832">
        <f>'Expenditures 15-22'!D233</f>
        <v>6622</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7488</v>
      </c>
      <c r="C1417" s="2" t="s">
        <v>569</v>
      </c>
      <c r="D1417" s="2" t="str">
        <f t="shared" si="21"/>
        <v>Error?</v>
      </c>
    </row>
    <row r="1418" spans="1:4" x14ac:dyDescent="0.2">
      <c r="A1418" s="5">
        <v>1357</v>
      </c>
      <c r="B1418" s="1832">
        <f>'Expenditures 15-22'!D240</f>
        <v>11002</v>
      </c>
      <c r="D1418" s="2" t="str">
        <f t="shared" si="21"/>
        <v>Error?</v>
      </c>
    </row>
    <row r="1419" spans="1:4" x14ac:dyDescent="0.2">
      <c r="A1419" s="5">
        <v>1358</v>
      </c>
      <c r="B1419" s="1832">
        <f>'Expenditures 15-22'!D241</f>
        <v>4983</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15985</v>
      </c>
      <c r="C1421" s="2" t="s">
        <v>569</v>
      </c>
      <c r="D1421" s="2" t="str">
        <f t="shared" si="21"/>
        <v>Error?</v>
      </c>
    </row>
    <row r="1422" spans="1:4" x14ac:dyDescent="0.2">
      <c r="A1422" s="5">
        <v>1361</v>
      </c>
      <c r="B1422" s="1832">
        <f>'Expenditures 15-22'!D245</f>
        <v>43</v>
      </c>
      <c r="D1422" s="2" t="str">
        <f t="shared" si="21"/>
        <v>Error?</v>
      </c>
    </row>
    <row r="1423" spans="1:4" x14ac:dyDescent="0.2">
      <c r="A1423" s="5">
        <v>1362</v>
      </c>
      <c r="B1423" s="1832">
        <f>'Expenditures 15-22'!D246</f>
        <v>1926</v>
      </c>
      <c r="D1423" s="2" t="str">
        <f t="shared" si="21"/>
        <v>Error?</v>
      </c>
    </row>
    <row r="1424" spans="1:4" x14ac:dyDescent="0.2">
      <c r="A1424" s="5">
        <v>1363</v>
      </c>
      <c r="B1424" s="1832">
        <f>'Expenditures 15-22'!D257</f>
        <v>1969</v>
      </c>
      <c r="C1424" s="2" t="s">
        <v>569</v>
      </c>
      <c r="D1424" s="2" t="str">
        <f t="shared" si="21"/>
        <v>Error?</v>
      </c>
    </row>
    <row r="1425" spans="1:4" x14ac:dyDescent="0.2">
      <c r="A1425" s="5">
        <v>1364</v>
      </c>
      <c r="B1425" s="1832">
        <f>'Expenditures 15-22'!D259</f>
        <v>21668</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21668</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27281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94736</v>
      </c>
      <c r="D1431" s="2" t="str">
        <f t="shared" si="21"/>
        <v>Error?</v>
      </c>
    </row>
    <row r="1432" spans="1:4" x14ac:dyDescent="0.2">
      <c r="A1432" s="5">
        <v>1371</v>
      </c>
      <c r="B1432" s="1832">
        <f>'Expenditures 15-22'!D267</f>
        <v>7955</v>
      </c>
      <c r="D1432" s="2" t="str">
        <f t="shared" si="21"/>
        <v>Error?</v>
      </c>
    </row>
    <row r="1433" spans="1:4" x14ac:dyDescent="0.2">
      <c r="A1433" s="5">
        <v>1372</v>
      </c>
      <c r="B1433" s="1832">
        <f>'Expenditures 15-22'!D268</f>
        <v>42467</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172439</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22</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22</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219571</v>
      </c>
      <c r="C1446" s="2" t="s">
        <v>569</v>
      </c>
      <c r="D1446" s="2" t="str">
        <f t="shared" si="21"/>
        <v>Error?</v>
      </c>
    </row>
    <row r="1447" spans="1:4" x14ac:dyDescent="0.2">
      <c r="A1447" s="5">
        <v>1386</v>
      </c>
      <c r="B1447" s="1832">
        <f>'Expenditures 15-22'!D280</f>
        <v>63</v>
      </c>
      <c r="D1447" s="2" t="str">
        <f t="shared" si="21"/>
        <v>Error?</v>
      </c>
    </row>
    <row r="1448" spans="1:4" x14ac:dyDescent="0.2">
      <c r="A1448" s="5">
        <v>1387</v>
      </c>
      <c r="B1448" s="1832">
        <f>'Expenditures 15-22'!D295</f>
        <v>397542</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3294</v>
      </c>
      <c r="C1471" s="2" t="s">
        <v>569</v>
      </c>
      <c r="D1471" s="2" t="str">
        <f t="shared" ref="D1471:D1534" si="22">IF(ISBLANK(B1471),"OK",IF(A1471-B1471=0,"OK","Error?"))</f>
        <v>Error?</v>
      </c>
    </row>
    <row r="1472" spans="1:4" x14ac:dyDescent="0.2">
      <c r="A1472" s="5">
        <v>1411</v>
      </c>
      <c r="B1472" s="1832">
        <f>'Expenditures 15-22'!K223</f>
        <v>5562</v>
      </c>
      <c r="C1472" s="2" t="s">
        <v>569</v>
      </c>
      <c r="D1472" s="2" t="str">
        <f t="shared" si="22"/>
        <v>Error?</v>
      </c>
    </row>
    <row r="1473" spans="1:4" x14ac:dyDescent="0.2">
      <c r="A1473" s="5">
        <v>1412</v>
      </c>
      <c r="B1473" s="1832">
        <f>'Expenditures 15-22'!K224</f>
        <v>983</v>
      </c>
      <c r="C1473" s="2" t="s">
        <v>569</v>
      </c>
      <c r="D1473" s="2" t="str">
        <f t="shared" si="22"/>
        <v>Error?</v>
      </c>
    </row>
    <row r="1474" spans="1:4" x14ac:dyDescent="0.2">
      <c r="A1474" s="5">
        <v>1413</v>
      </c>
      <c r="B1474" s="1832">
        <f>'Expenditures 15-22'!K229</f>
        <v>177908</v>
      </c>
      <c r="C1474" s="2" t="s">
        <v>569</v>
      </c>
      <c r="D1474" s="2" t="str">
        <f t="shared" si="22"/>
        <v>Error?</v>
      </c>
    </row>
    <row r="1475" spans="1:4" x14ac:dyDescent="0.2">
      <c r="A1475" s="5">
        <v>1414</v>
      </c>
      <c r="B1475" s="1832">
        <f>'Expenditures 15-22'!K232</f>
        <v>866</v>
      </c>
      <c r="C1475" s="2" t="s">
        <v>569</v>
      </c>
      <c r="D1475" s="2" t="str">
        <f t="shared" si="22"/>
        <v>Error?</v>
      </c>
    </row>
    <row r="1476" spans="1:4" x14ac:dyDescent="0.2">
      <c r="A1476" s="5">
        <v>1415</v>
      </c>
      <c r="B1476" s="1832">
        <f>'Expenditures 15-22'!K233</f>
        <v>6622</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7488</v>
      </c>
      <c r="C1481" s="2" t="s">
        <v>569</v>
      </c>
      <c r="D1481" s="2" t="str">
        <f t="shared" si="22"/>
        <v>Error?</v>
      </c>
    </row>
    <row r="1482" spans="1:4" x14ac:dyDescent="0.2">
      <c r="A1482" s="5">
        <v>1421</v>
      </c>
      <c r="B1482" s="1832">
        <f>'Expenditures 15-22'!K240</f>
        <v>11002</v>
      </c>
      <c r="C1482" s="2" t="s">
        <v>569</v>
      </c>
      <c r="D1482" s="2" t="str">
        <f t="shared" si="22"/>
        <v>Error?</v>
      </c>
    </row>
    <row r="1483" spans="1:4" x14ac:dyDescent="0.2">
      <c r="A1483" s="5">
        <v>1422</v>
      </c>
      <c r="B1483" s="1832">
        <f>'Expenditures 15-22'!K241</f>
        <v>4983</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15985</v>
      </c>
      <c r="C1485" s="2" t="s">
        <v>569</v>
      </c>
      <c r="D1485" s="2" t="str">
        <f t="shared" si="22"/>
        <v>Error?</v>
      </c>
    </row>
    <row r="1486" spans="1:4" x14ac:dyDescent="0.2">
      <c r="A1486" s="5">
        <v>1425</v>
      </c>
      <c r="B1486" s="1832">
        <f>'Expenditures 15-22'!K245</f>
        <v>43</v>
      </c>
      <c r="C1486" s="2" t="s">
        <v>569</v>
      </c>
      <c r="D1486" s="2" t="str">
        <f t="shared" si="22"/>
        <v>Error?</v>
      </c>
    </row>
    <row r="1487" spans="1:4" x14ac:dyDescent="0.2">
      <c r="A1487" s="5">
        <v>1426</v>
      </c>
      <c r="B1487" s="1832">
        <f>'Expenditures 15-22'!K246</f>
        <v>1926</v>
      </c>
      <c r="C1487" s="2" t="s">
        <v>569</v>
      </c>
      <c r="D1487" s="2" t="str">
        <f t="shared" si="22"/>
        <v>Error?</v>
      </c>
    </row>
    <row r="1488" spans="1:4" x14ac:dyDescent="0.2">
      <c r="A1488" s="5">
        <v>1427</v>
      </c>
      <c r="B1488" s="1832">
        <f>'Expenditures 15-22'!K257</f>
        <v>1969</v>
      </c>
      <c r="C1488" s="2" t="s">
        <v>569</v>
      </c>
      <c r="D1488" s="2" t="str">
        <f t="shared" si="22"/>
        <v>Error?</v>
      </c>
    </row>
    <row r="1489" spans="1:4" x14ac:dyDescent="0.2">
      <c r="A1489" s="5">
        <v>1428</v>
      </c>
      <c r="B1489" s="1832">
        <f>'Expenditures 15-22'!K259</f>
        <v>21668</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21668</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27281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94736</v>
      </c>
      <c r="C1495" s="2" t="s">
        <v>569</v>
      </c>
      <c r="D1495" s="2" t="str">
        <f t="shared" si="22"/>
        <v>Error?</v>
      </c>
    </row>
    <row r="1496" spans="1:4" x14ac:dyDescent="0.2">
      <c r="A1496" s="5">
        <v>1435</v>
      </c>
      <c r="B1496" s="1832">
        <f>'Expenditures 15-22'!K267</f>
        <v>7955</v>
      </c>
      <c r="C1496" s="2" t="s">
        <v>569</v>
      </c>
      <c r="D1496" s="2" t="str">
        <f t="shared" si="22"/>
        <v>Error?</v>
      </c>
    </row>
    <row r="1497" spans="1:4" x14ac:dyDescent="0.2">
      <c r="A1497" s="5">
        <v>1436</v>
      </c>
      <c r="B1497" s="1832">
        <f>'Expenditures 15-22'!K268</f>
        <v>42467</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172439</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22</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22</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219571</v>
      </c>
      <c r="C1510" s="2" t="s">
        <v>569</v>
      </c>
      <c r="D1510" s="2" t="str">
        <f t="shared" si="22"/>
        <v>Error?</v>
      </c>
    </row>
    <row r="1511" spans="1:4" x14ac:dyDescent="0.2">
      <c r="A1511" s="5">
        <v>1450</v>
      </c>
      <c r="B1511" s="1832">
        <f>'Expenditures 15-22'!K280</f>
        <v>63</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397542</v>
      </c>
      <c r="C1517" s="2" t="s">
        <v>569</v>
      </c>
      <c r="D1517" s="2" t="str">
        <f t="shared" si="22"/>
        <v>Error?</v>
      </c>
    </row>
    <row r="1518" spans="1:4" x14ac:dyDescent="0.2">
      <c r="A1518" s="5">
        <v>1457</v>
      </c>
      <c r="B1518" s="1832">
        <f>'Expenditures 15-22'!K296</f>
        <v>19000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775883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775883</v>
      </c>
      <c r="C1535" s="2" t="s">
        <v>569</v>
      </c>
      <c r="D1535" s="2" t="str">
        <f t="shared" ref="D1535:D1598" si="23">IF(ISBLANK(B1535),"OK",IF(A1535-B1535=0,"OK","Error?"))</f>
        <v>Error?</v>
      </c>
    </row>
    <row r="1536" spans="1:4" x14ac:dyDescent="0.2">
      <c r="A1536" s="5">
        <v>1475</v>
      </c>
      <c r="B1536" s="1832">
        <f>'Expenditures 15-22'!E312</f>
        <v>775883</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10407245</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10407245</v>
      </c>
      <c r="C1547" s="2" t="s">
        <v>569</v>
      </c>
      <c r="D1547" s="2" t="str">
        <f t="shared" si="23"/>
        <v>Error?</v>
      </c>
    </row>
    <row r="1548" spans="1:4" x14ac:dyDescent="0.2">
      <c r="A1548" s="5">
        <v>1487</v>
      </c>
      <c r="B1548" s="1832">
        <f>'Expenditures 15-22'!G312</f>
        <v>10407245</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11183128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11183128</v>
      </c>
      <c r="C1559" s="2" t="s">
        <v>569</v>
      </c>
      <c r="D1559" s="2" t="str">
        <f t="shared" si="23"/>
        <v>Error?</v>
      </c>
    </row>
    <row r="1560" spans="1:4" x14ac:dyDescent="0.2">
      <c r="A1560" s="5">
        <v>1499</v>
      </c>
      <c r="B1560" s="1832">
        <f>'Expenditures 15-22'!K312</f>
        <v>11183128</v>
      </c>
      <c r="C1560" s="2" t="s">
        <v>569</v>
      </c>
      <c r="D1560" s="2" t="str">
        <f t="shared" si="23"/>
        <v>Error?</v>
      </c>
    </row>
    <row r="1561" spans="1:4" x14ac:dyDescent="0.2">
      <c r="A1561" s="5">
        <v>1500</v>
      </c>
      <c r="B1561" s="1832">
        <f>'Expenditures 15-22'!K313</f>
        <v>-10974644</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5138650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6006469</v>
      </c>
      <c r="C1630" s="2" t="s">
        <v>569</v>
      </c>
      <c r="D1630" s="2" t="str">
        <f t="shared" si="24"/>
        <v>Error?</v>
      </c>
    </row>
    <row r="1631" spans="1:4" x14ac:dyDescent="0.2">
      <c r="A1631" s="5">
        <v>1570</v>
      </c>
      <c r="B1631" s="1832">
        <f>'Acct Summary 7-8'!D79</f>
        <v>579017</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626497</v>
      </c>
      <c r="C1644" s="2" t="s">
        <v>569</v>
      </c>
      <c r="D1644" s="2" t="str">
        <f t="shared" si="24"/>
        <v>Error?</v>
      </c>
    </row>
    <row r="1645" spans="1:4" x14ac:dyDescent="0.2">
      <c r="A1645" s="5">
        <v>1584</v>
      </c>
      <c r="B1645" s="1832">
        <f>'Acct Summary 7-8'!E79</f>
        <v>89016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92946</v>
      </c>
      <c r="C1658" s="2" t="s">
        <v>569</v>
      </c>
      <c r="D1658" s="2" t="str">
        <f t="shared" si="24"/>
        <v>Error?</v>
      </c>
    </row>
    <row r="1659" spans="1:4" x14ac:dyDescent="0.2">
      <c r="A1659" s="5">
        <v>1598</v>
      </c>
      <c r="B1659" s="1832">
        <f>'Acct Summary 7-8'!F79</f>
        <v>182758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161050</v>
      </c>
      <c r="C1672" s="2" t="s">
        <v>569</v>
      </c>
      <c r="D1672" s="2" t="str">
        <f t="shared" si="25"/>
        <v>Error?</v>
      </c>
    </row>
    <row r="1673" spans="1:4" x14ac:dyDescent="0.2">
      <c r="A1673" s="5">
        <v>1612</v>
      </c>
      <c r="B1673" s="1832">
        <f>'Acct Summary 7-8'!G79</f>
        <v>105482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124482</v>
      </c>
      <c r="C1686" s="2" t="s">
        <v>569</v>
      </c>
      <c r="D1686" s="2" t="str">
        <f t="shared" si="25"/>
        <v>Error?</v>
      </c>
    </row>
    <row r="1687" spans="1:4" x14ac:dyDescent="0.2">
      <c r="A1687" s="5">
        <v>1626</v>
      </c>
      <c r="B1687" s="1832">
        <f>'Acct Summary 7-8'!H79</f>
        <v>12893182</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1918538</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6339939</v>
      </c>
      <c r="C1744" s="2" t="s">
        <v>569</v>
      </c>
      <c r="D1744" s="2" t="str">
        <f t="shared" si="26"/>
        <v>Error?</v>
      </c>
    </row>
    <row r="1745" spans="1:5" x14ac:dyDescent="0.2">
      <c r="A1745" s="5">
        <v>1684</v>
      </c>
      <c r="B1745" s="1832">
        <f>'Tax Sched 23'!B5</f>
        <v>868485</v>
      </c>
      <c r="C1745" s="2" t="s">
        <v>569</v>
      </c>
      <c r="D1745" s="2" t="str">
        <f t="shared" si="26"/>
        <v>Error?</v>
      </c>
    </row>
    <row r="1746" spans="1:5" x14ac:dyDescent="0.2">
      <c r="A1746" s="5">
        <v>1685</v>
      </c>
      <c r="B1746" s="1832">
        <f>'Tax Sched 23'!B6</f>
        <v>2160335</v>
      </c>
      <c r="C1746" s="2" t="s">
        <v>569</v>
      </c>
      <c r="D1746" s="2" t="str">
        <f t="shared" si="26"/>
        <v>Error?</v>
      </c>
    </row>
    <row r="1747" spans="1:5" x14ac:dyDescent="0.2">
      <c r="A1747" s="5">
        <v>1686</v>
      </c>
      <c r="B1747" s="1832">
        <f>'Tax Sched 23'!B7</f>
        <v>347394</v>
      </c>
      <c r="C1747" s="2" t="s">
        <v>569</v>
      </c>
      <c r="D1747" s="2" t="str">
        <f t="shared" si="26"/>
        <v>Error?</v>
      </c>
    </row>
    <row r="1748" spans="1:5" x14ac:dyDescent="0.2">
      <c r="A1748" s="5">
        <v>1687</v>
      </c>
      <c r="B1748" s="1832">
        <f>'Tax Sched 23'!B8</f>
        <v>182352</v>
      </c>
      <c r="C1748" s="2" t="s">
        <v>569</v>
      </c>
      <c r="D1748" s="2" t="str">
        <f t="shared" si="26"/>
        <v>Error?</v>
      </c>
    </row>
    <row r="1749" spans="1:5" x14ac:dyDescent="0.2">
      <c r="A1749" s="5">
        <v>1688</v>
      </c>
      <c r="B1749" s="1832">
        <f>'Tax Sched 23'!B10</f>
        <v>86850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245666</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65486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10594872</v>
      </c>
      <c r="C1759" s="2" t="s">
        <v>569</v>
      </c>
      <c r="D1759" s="2" t="str">
        <f t="shared" si="26"/>
        <v>Error?</v>
      </c>
    </row>
    <row r="1760" spans="1:5" x14ac:dyDescent="0.2">
      <c r="A1760" s="5">
        <v>1699</v>
      </c>
      <c r="B1760" s="1832">
        <f>'Tax Sched 23'!D4</f>
        <v>6335155</v>
      </c>
      <c r="C1760" s="2" t="s">
        <v>569</v>
      </c>
      <c r="D1760" s="2" t="str">
        <f t="shared" si="26"/>
        <v>Error?</v>
      </c>
    </row>
    <row r="1761" spans="1:7" x14ac:dyDescent="0.2">
      <c r="A1761" s="5">
        <v>1700</v>
      </c>
      <c r="B1761" s="1832">
        <f>'Tax Sched 23'!D5</f>
        <v>867830</v>
      </c>
      <c r="C1761" s="2" t="s">
        <v>569</v>
      </c>
      <c r="D1761" s="2" t="str">
        <f t="shared" si="26"/>
        <v>Error?</v>
      </c>
    </row>
    <row r="1762" spans="1:7" s="8" customFormat="1" x14ac:dyDescent="0.2">
      <c r="A1762" s="5">
        <v>1701</v>
      </c>
      <c r="B1762" s="1832">
        <f>'Tax Sched 23'!D6</f>
        <v>2158731</v>
      </c>
      <c r="C1762" s="2" t="s">
        <v>569</v>
      </c>
      <c r="D1762" s="2" t="str">
        <f t="shared" si="26"/>
        <v>Error?</v>
      </c>
      <c r="E1762" s="9"/>
      <c r="G1762"/>
    </row>
    <row r="1763" spans="1:7" x14ac:dyDescent="0.2">
      <c r="A1763" s="5">
        <v>1702</v>
      </c>
      <c r="B1763" s="1832">
        <f>'Tax Sched 23'!D7</f>
        <v>347132</v>
      </c>
      <c r="C1763" s="2" t="s">
        <v>569</v>
      </c>
      <c r="D1763" s="2" t="str">
        <f t="shared" si="26"/>
        <v>Error?</v>
      </c>
    </row>
    <row r="1764" spans="1:7" x14ac:dyDescent="0.2">
      <c r="A1764" s="5">
        <v>1703</v>
      </c>
      <c r="B1764" s="1832">
        <f>'Tax Sched 23'!D8</f>
        <v>182243</v>
      </c>
      <c r="C1764" s="2" t="s">
        <v>569</v>
      </c>
      <c r="D1764" s="2" t="str">
        <f t="shared" si="26"/>
        <v>Error?</v>
      </c>
    </row>
    <row r="1765" spans="1:7" x14ac:dyDescent="0.2">
      <c r="A1765" s="5">
        <v>1704</v>
      </c>
      <c r="B1765" s="1832">
        <f>'Tax Sched 23'!D10</f>
        <v>86784</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245509</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65428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10586929</v>
      </c>
      <c r="C1775" s="2" t="s">
        <v>569</v>
      </c>
      <c r="D1775" s="2" t="str">
        <f t="shared" si="26"/>
        <v>Error?</v>
      </c>
    </row>
    <row r="1776" spans="1:7" x14ac:dyDescent="0.2">
      <c r="A1776" s="5">
        <v>1715</v>
      </c>
      <c r="B1776" s="1832">
        <f>'Tax Sched 23'!C4</f>
        <v>4784</v>
      </c>
      <c r="D1776" s="2" t="str">
        <f t="shared" si="26"/>
        <v>Error?</v>
      </c>
    </row>
    <row r="1777" spans="1:4" x14ac:dyDescent="0.2">
      <c r="A1777" s="5">
        <v>1716</v>
      </c>
      <c r="B1777" s="1832">
        <f>'Tax Sched 23'!C5</f>
        <v>655</v>
      </c>
      <c r="D1777" s="2" t="str">
        <f t="shared" si="26"/>
        <v>Error?</v>
      </c>
    </row>
    <row r="1778" spans="1:4" x14ac:dyDescent="0.2">
      <c r="A1778" s="5">
        <v>1717</v>
      </c>
      <c r="B1778" s="1832">
        <f>'Tax Sched 23'!C6</f>
        <v>1604</v>
      </c>
      <c r="D1778" s="2" t="str">
        <f t="shared" si="26"/>
        <v>Error?</v>
      </c>
    </row>
    <row r="1779" spans="1:4" x14ac:dyDescent="0.2">
      <c r="A1779" s="5">
        <v>1718</v>
      </c>
      <c r="B1779" s="1832">
        <f>'Tax Sched 23'!C7</f>
        <v>262</v>
      </c>
      <c r="D1779" s="2" t="str">
        <f t="shared" si="26"/>
        <v>Error?</v>
      </c>
    </row>
    <row r="1780" spans="1:4" x14ac:dyDescent="0.2">
      <c r="A1780" s="5">
        <v>1719</v>
      </c>
      <c r="B1780" s="1832">
        <f>'Tax Sched 23'!C8</f>
        <v>109</v>
      </c>
      <c r="D1780" s="2" t="str">
        <f t="shared" si="26"/>
        <v>Error?</v>
      </c>
    </row>
    <row r="1781" spans="1:4" x14ac:dyDescent="0.2">
      <c r="A1781" s="5">
        <v>1720</v>
      </c>
      <c r="B1781" s="1832">
        <f>'Tax Sched 23'!C10</f>
        <v>66</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157</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58</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7943</v>
      </c>
      <c r="C1791" s="2" t="s">
        <v>569</v>
      </c>
      <c r="D1791" s="2" t="str">
        <f t="shared" ref="D1791:D1854" si="27">IF(ISBLANK(B1791),"OK",IF(A1791-B1791=0,"OK","Error?"))</f>
        <v>Error?</v>
      </c>
    </row>
    <row r="1792" spans="1:4" x14ac:dyDescent="0.2">
      <c r="A1792" s="5">
        <v>1731</v>
      </c>
      <c r="B1792" s="1832">
        <f>'Tax Sched 23'!F4</f>
        <v>6565056</v>
      </c>
      <c r="C1792" s="2" t="s">
        <v>569</v>
      </c>
      <c r="D1792" s="2" t="str">
        <f t="shared" si="27"/>
        <v>Error?</v>
      </c>
    </row>
    <row r="1793" spans="1:4" x14ac:dyDescent="0.2">
      <c r="A1793" s="5">
        <v>1732</v>
      </c>
      <c r="B1793" s="1832">
        <f>'Tax Sched 23'!F5</f>
        <v>899319</v>
      </c>
      <c r="C1793" s="2" t="s">
        <v>569</v>
      </c>
      <c r="D1793" s="2" t="str">
        <f t="shared" si="27"/>
        <v>Error?</v>
      </c>
    </row>
    <row r="1794" spans="1:4" x14ac:dyDescent="0.2">
      <c r="A1794" s="5">
        <v>1733</v>
      </c>
      <c r="B1794" s="1832">
        <f>'Tax Sched 23'!F6</f>
        <v>2178644</v>
      </c>
      <c r="C1794" s="2" t="s">
        <v>569</v>
      </c>
      <c r="D1794" s="2" t="str">
        <f t="shared" si="27"/>
        <v>Error?</v>
      </c>
    </row>
    <row r="1795" spans="1:4" x14ac:dyDescent="0.2">
      <c r="A1795" s="5">
        <v>1734</v>
      </c>
      <c r="B1795" s="1832">
        <f>'Tax Sched 23'!F7</f>
        <v>359728</v>
      </c>
      <c r="C1795" s="2" t="s">
        <v>569</v>
      </c>
      <c r="D1795" s="2" t="str">
        <f t="shared" si="27"/>
        <v>Error?</v>
      </c>
    </row>
    <row r="1796" spans="1:4" x14ac:dyDescent="0.2">
      <c r="A1796" s="5">
        <v>1735</v>
      </c>
      <c r="B1796" s="1832">
        <f>'Tax Sched 23'!F8</f>
        <v>149295</v>
      </c>
      <c r="C1796" s="2" t="s">
        <v>569</v>
      </c>
      <c r="D1796" s="2" t="str">
        <f t="shared" si="27"/>
        <v>Error?</v>
      </c>
    </row>
    <row r="1797" spans="1:4" x14ac:dyDescent="0.2">
      <c r="A1797" s="5">
        <v>1736</v>
      </c>
      <c r="B1797" s="1832">
        <f>'Tax Sched 23'!F10</f>
        <v>89922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215830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70143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10877434</v>
      </c>
      <c r="C1807" s="2" t="s">
        <v>569</v>
      </c>
      <c r="D1807" s="2" t="str">
        <f t="shared" si="27"/>
        <v>Error?</v>
      </c>
    </row>
    <row r="1808" spans="1:4" x14ac:dyDescent="0.2">
      <c r="A1808" s="5">
        <v>1747</v>
      </c>
      <c r="B1808" s="1832">
        <f>'Tax Sched 23'!E4</f>
        <v>6569840</v>
      </c>
      <c r="D1808" s="2" t="str">
        <f t="shared" si="27"/>
        <v>Error?</v>
      </c>
    </row>
    <row r="1809" spans="1:4" x14ac:dyDescent="0.2">
      <c r="A1809" s="5">
        <v>1748</v>
      </c>
      <c r="B1809" s="1832">
        <f>'Tax Sched 23'!E5</f>
        <v>899974</v>
      </c>
      <c r="D1809" s="2" t="str">
        <f t="shared" si="27"/>
        <v>Error?</v>
      </c>
    </row>
    <row r="1810" spans="1:4" x14ac:dyDescent="0.2">
      <c r="A1810" s="5">
        <v>1749</v>
      </c>
      <c r="B1810" s="1832">
        <f>'Tax Sched 23'!E6</f>
        <v>2180248</v>
      </c>
      <c r="D1810" s="2" t="str">
        <f t="shared" si="27"/>
        <v>Error?</v>
      </c>
    </row>
    <row r="1811" spans="1:4" x14ac:dyDescent="0.2">
      <c r="A1811" s="5">
        <v>1750</v>
      </c>
      <c r="B1811" s="1832">
        <f>'Tax Sched 23'!E7</f>
        <v>359990</v>
      </c>
      <c r="D1811" s="2" t="str">
        <f t="shared" si="27"/>
        <v>Error?</v>
      </c>
    </row>
    <row r="1812" spans="1:4" x14ac:dyDescent="0.2">
      <c r="A1812" s="5">
        <v>1751</v>
      </c>
      <c r="B1812" s="1832">
        <f>'Tax Sched 23'!E8</f>
        <v>149404</v>
      </c>
      <c r="D1812" s="2" t="str">
        <f t="shared" si="27"/>
        <v>Error?</v>
      </c>
    </row>
    <row r="1813" spans="1:4" x14ac:dyDescent="0.2">
      <c r="A1813" s="5">
        <v>1752</v>
      </c>
      <c r="B1813" s="1832">
        <f>'Tax Sched 23'!E10</f>
        <v>89988</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215987</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70201</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10885377</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32065000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65486</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65486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65486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164660</v>
      </c>
      <c r="D2008" s="2" t="str">
        <f t="shared" si="30"/>
        <v>Error?</v>
      </c>
    </row>
    <row r="2009" spans="1:4" x14ac:dyDescent="0.2">
      <c r="A2009" s="5">
        <v>1948</v>
      </c>
      <c r="B2009" s="1832">
        <f>'Cap Outlay Deprec 26'!C8</f>
        <v>32326301</v>
      </c>
      <c r="D2009" s="2" t="str">
        <f t="shared" si="30"/>
        <v>Error?</v>
      </c>
    </row>
    <row r="2010" spans="1:4" x14ac:dyDescent="0.2">
      <c r="A2010" s="5">
        <v>1949</v>
      </c>
      <c r="B2010" s="1832">
        <f>'Cap Outlay Deprec 26'!C10</f>
        <v>4024177</v>
      </c>
      <c r="D2010" s="2" t="str">
        <f t="shared" si="30"/>
        <v>Error?</v>
      </c>
    </row>
    <row r="2011" spans="1:4" x14ac:dyDescent="0.2">
      <c r="A2011" s="5">
        <v>1950</v>
      </c>
      <c r="B2011" s="1832">
        <f>'Cap Outlay Deprec 26'!C12</f>
        <v>4413635</v>
      </c>
      <c r="D2011" s="2" t="str">
        <f t="shared" si="30"/>
        <v>Error?</v>
      </c>
    </row>
    <row r="2012" spans="1:4" x14ac:dyDescent="0.2">
      <c r="A2012" s="5">
        <v>1951</v>
      </c>
      <c r="B2012" s="1832">
        <f>'Cap Outlay Deprec 26'!C13</f>
        <v>295540</v>
      </c>
      <c r="D2012" s="2" t="str">
        <f t="shared" si="30"/>
        <v>Error?</v>
      </c>
    </row>
    <row r="2013" spans="1:4" x14ac:dyDescent="0.2">
      <c r="A2013" s="5">
        <v>1952</v>
      </c>
      <c r="B2013" s="1832">
        <f>'Cap Outlay Deprec 26'!C16</f>
        <v>41224313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10407245</v>
      </c>
      <c r="D2015" s="2" t="str">
        <f t="shared" si="30"/>
        <v>Error?</v>
      </c>
    </row>
    <row r="2016" spans="1:4" x14ac:dyDescent="0.2">
      <c r="A2016" s="5">
        <v>1955</v>
      </c>
      <c r="B2016" s="1832">
        <f>'Cap Outlay Deprec 26'!D10</f>
        <v>98855</v>
      </c>
      <c r="D2016" s="2" t="str">
        <f t="shared" si="30"/>
        <v>Error?</v>
      </c>
    </row>
    <row r="2017" spans="1:4" x14ac:dyDescent="0.2">
      <c r="A2017" s="5">
        <v>1956</v>
      </c>
      <c r="B2017" s="1832">
        <f>'Cap Outlay Deprec 26'!D12</f>
        <v>124911</v>
      </c>
      <c r="D2017" s="2" t="str">
        <f t="shared" si="30"/>
        <v>Error?</v>
      </c>
    </row>
    <row r="2018" spans="1:4" x14ac:dyDescent="0.2">
      <c r="A2018" s="5">
        <v>1957</v>
      </c>
      <c r="B2018" s="1832">
        <f>'Cap Outlay Deprec 26'!D13</f>
        <v>23338</v>
      </c>
      <c r="D2018" s="2" t="str">
        <f t="shared" si="30"/>
        <v>Error?</v>
      </c>
    </row>
    <row r="2019" spans="1:4" x14ac:dyDescent="0.2">
      <c r="A2019" s="5">
        <v>1958</v>
      </c>
      <c r="B2019" s="1832">
        <f>'Cap Outlay Deprec 26'!D16</f>
        <v>10654349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164660</v>
      </c>
      <c r="C2026" s="2" t="s">
        <v>569</v>
      </c>
      <c r="D2026" s="2" t="str">
        <f t="shared" si="30"/>
        <v>Error?</v>
      </c>
    </row>
    <row r="2027" spans="1:4" x14ac:dyDescent="0.2">
      <c r="A2027" s="5">
        <v>1966</v>
      </c>
      <c r="B2027" s="1832">
        <f>'Cap Outlay Deprec 26'!F8</f>
        <v>42733546</v>
      </c>
      <c r="C2027" s="2" t="s">
        <v>569</v>
      </c>
      <c r="D2027" s="2" t="str">
        <f t="shared" si="30"/>
        <v>Error?</v>
      </c>
    </row>
    <row r="2028" spans="1:4" x14ac:dyDescent="0.2">
      <c r="A2028" s="5">
        <v>1967</v>
      </c>
      <c r="B2028" s="1832">
        <f>'Cap Outlay Deprec 26'!F10</f>
        <v>4123032</v>
      </c>
      <c r="C2028" s="2" t="s">
        <v>569</v>
      </c>
      <c r="D2028" s="2" t="str">
        <f t="shared" si="30"/>
        <v>Error?</v>
      </c>
    </row>
    <row r="2029" spans="1:4" x14ac:dyDescent="0.2">
      <c r="A2029" s="5">
        <v>1968</v>
      </c>
      <c r="B2029" s="1832">
        <f>'Cap Outlay Deprec 26'!F12</f>
        <v>4538546</v>
      </c>
      <c r="C2029" s="2" t="s">
        <v>569</v>
      </c>
      <c r="D2029" s="2" t="str">
        <f t="shared" si="30"/>
        <v>Error?</v>
      </c>
    </row>
    <row r="2030" spans="1:4" x14ac:dyDescent="0.2">
      <c r="A2030" s="5">
        <v>1969</v>
      </c>
      <c r="B2030" s="1832">
        <f>'Cap Outlay Deprec 26'!F13</f>
        <v>318878</v>
      </c>
      <c r="C2030" s="2" t="s">
        <v>569</v>
      </c>
      <c r="D2030" s="2" t="str">
        <f t="shared" si="30"/>
        <v>Error?</v>
      </c>
    </row>
    <row r="2031" spans="1:4" x14ac:dyDescent="0.2">
      <c r="A2031" s="5">
        <v>1970</v>
      </c>
      <c r="B2031" s="1832">
        <f>'Cap Outlay Deprec 26'!F16</f>
        <v>51878662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6693531</v>
      </c>
      <c r="D2033" s="2" t="str">
        <f t="shared" si="30"/>
        <v>Error?</v>
      </c>
    </row>
    <row r="2034" spans="1:4" x14ac:dyDescent="0.2">
      <c r="A2034" s="5">
        <v>1973</v>
      </c>
      <c r="B2034" s="1832">
        <f>'Cap Outlay Deprec 26'!H10</f>
        <v>2703265</v>
      </c>
      <c r="D2034" s="2" t="str">
        <f t="shared" si="30"/>
        <v>Error?</v>
      </c>
    </row>
    <row r="2035" spans="1:4" x14ac:dyDescent="0.2">
      <c r="A2035" s="5">
        <v>1974</v>
      </c>
      <c r="B2035" s="1832">
        <f>'Cap Outlay Deprec 26'!H12</f>
        <v>3656713</v>
      </c>
      <c r="D2035" s="2" t="str">
        <f t="shared" si="30"/>
        <v>Error?</v>
      </c>
    </row>
    <row r="2036" spans="1:4" x14ac:dyDescent="0.2">
      <c r="A2036" s="5">
        <v>1975</v>
      </c>
      <c r="B2036" s="1832">
        <f>'Cap Outlay Deprec 26'!H13</f>
        <v>273029</v>
      </c>
      <c r="D2036" s="2" t="str">
        <f t="shared" si="30"/>
        <v>Error?</v>
      </c>
    </row>
    <row r="2037" spans="1:4" x14ac:dyDescent="0.2">
      <c r="A2037" s="5">
        <v>1976</v>
      </c>
      <c r="B2037" s="1832">
        <f>'Cap Outlay Deprec 26'!H16</f>
        <v>13326538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791461</v>
      </c>
      <c r="D2039" s="2" t="str">
        <f t="shared" si="30"/>
        <v>Error?</v>
      </c>
    </row>
    <row r="2040" spans="1:4" x14ac:dyDescent="0.2">
      <c r="A2040" s="5">
        <v>1979</v>
      </c>
      <c r="B2040" s="1832">
        <f>'Cap Outlay Deprec 26'!I10</f>
        <v>140807</v>
      </c>
      <c r="D2040" s="2" t="str">
        <f t="shared" si="30"/>
        <v>Error?</v>
      </c>
    </row>
    <row r="2041" spans="1:4" x14ac:dyDescent="0.2">
      <c r="A2041" s="5">
        <v>1980</v>
      </c>
      <c r="B2041" s="1832">
        <f>'Cap Outlay Deprec 26'!I12</f>
        <v>155320</v>
      </c>
      <c r="D2041" s="2" t="str">
        <f t="shared" si="30"/>
        <v>Error?</v>
      </c>
    </row>
    <row r="2042" spans="1:4" x14ac:dyDescent="0.2">
      <c r="A2042" s="5">
        <v>1981</v>
      </c>
      <c r="B2042" s="1832">
        <f>'Cap Outlay Deprec 26'!I13</f>
        <v>6945</v>
      </c>
      <c r="D2042" s="2" t="str">
        <f t="shared" si="30"/>
        <v>Error?</v>
      </c>
    </row>
    <row r="2043" spans="1:4" x14ac:dyDescent="0.2">
      <c r="A2043" s="5">
        <v>1982</v>
      </c>
      <c r="B2043" s="1832">
        <f>'Cap Outlay Deprec 26'!I16</f>
        <v>1094533</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7484992</v>
      </c>
      <c r="C2051" s="2" t="s">
        <v>569</v>
      </c>
      <c r="D2051" s="2" t="str">
        <f t="shared" si="31"/>
        <v>Error?</v>
      </c>
    </row>
    <row r="2052" spans="1:4" x14ac:dyDescent="0.2">
      <c r="A2052" s="5">
        <v>1991</v>
      </c>
      <c r="B2052" s="1832">
        <f>'Cap Outlay Deprec 26'!K10</f>
        <v>2844072</v>
      </c>
      <c r="C2052" s="2" t="s">
        <v>569</v>
      </c>
      <c r="D2052" s="2" t="str">
        <f t="shared" si="31"/>
        <v>Error?</v>
      </c>
    </row>
    <row r="2053" spans="1:4" x14ac:dyDescent="0.2">
      <c r="A2053" s="5">
        <v>1992</v>
      </c>
      <c r="B2053" s="1832">
        <f>'Cap Outlay Deprec 26'!K12</f>
        <v>3812033</v>
      </c>
      <c r="C2053" s="2" t="s">
        <v>569</v>
      </c>
      <c r="D2053" s="2" t="str">
        <f t="shared" si="31"/>
        <v>Error?</v>
      </c>
    </row>
    <row r="2054" spans="1:4" x14ac:dyDescent="0.2">
      <c r="A2054" s="5">
        <v>1993</v>
      </c>
      <c r="B2054" s="1832">
        <f>'Cap Outlay Deprec 26'!K13</f>
        <v>279974</v>
      </c>
      <c r="C2054" s="2" t="s">
        <v>569</v>
      </c>
      <c r="D2054" s="2" t="str">
        <f t="shared" si="31"/>
        <v>Error?</v>
      </c>
    </row>
    <row r="2055" spans="1:4" x14ac:dyDescent="0.2">
      <c r="A2055" s="5">
        <v>1994</v>
      </c>
      <c r="B2055" s="1832">
        <f>'Cap Outlay Deprec 26'!K16</f>
        <v>14421071</v>
      </c>
      <c r="C2055" s="2" t="s">
        <v>569</v>
      </c>
      <c r="D2055" s="2" t="str">
        <f t="shared" si="31"/>
        <v>Error?</v>
      </c>
    </row>
    <row r="2056" spans="1:4" x14ac:dyDescent="0.2">
      <c r="A2056" s="5">
        <v>1995</v>
      </c>
      <c r="B2056" s="1832">
        <f>'Cap Outlay Deprec 26'!L5</f>
        <v>164660</v>
      </c>
      <c r="C2056" s="2" t="s">
        <v>569</v>
      </c>
      <c r="D2056" s="2" t="str">
        <f t="shared" si="31"/>
        <v>Error?</v>
      </c>
    </row>
    <row r="2057" spans="1:4" x14ac:dyDescent="0.2">
      <c r="A2057" s="5">
        <v>1996</v>
      </c>
      <c r="B2057" s="1832">
        <f>'Cap Outlay Deprec 26'!L8</f>
        <v>35248554</v>
      </c>
      <c r="C2057" s="2" t="s">
        <v>569</v>
      </c>
      <c r="D2057" s="2" t="str">
        <f t="shared" si="31"/>
        <v>Error?</v>
      </c>
    </row>
    <row r="2058" spans="1:4" x14ac:dyDescent="0.2">
      <c r="A2058" s="5">
        <v>1997</v>
      </c>
      <c r="B2058" s="1832">
        <f>'Cap Outlay Deprec 26'!L10</f>
        <v>1278960</v>
      </c>
      <c r="C2058" s="2" t="s">
        <v>569</v>
      </c>
      <c r="D2058" s="2" t="str">
        <f t="shared" si="31"/>
        <v>Error?</v>
      </c>
    </row>
    <row r="2059" spans="1:4" x14ac:dyDescent="0.2">
      <c r="A2059" s="5">
        <v>1998</v>
      </c>
      <c r="B2059" s="1832">
        <f>'Cap Outlay Deprec 26'!L12</f>
        <v>726513</v>
      </c>
      <c r="C2059" s="2" t="s">
        <v>569</v>
      </c>
      <c r="D2059" s="2" t="str">
        <f t="shared" si="31"/>
        <v>Error?</v>
      </c>
    </row>
    <row r="2060" spans="1:4" x14ac:dyDescent="0.2">
      <c r="A2060" s="5">
        <v>1999</v>
      </c>
      <c r="B2060" s="1832">
        <f>'Cap Outlay Deprec 26'!L13</f>
        <v>38904</v>
      </c>
      <c r="C2060" s="2" t="s">
        <v>569</v>
      </c>
      <c r="D2060" s="2" t="str">
        <f t="shared" si="31"/>
        <v>Error?</v>
      </c>
    </row>
    <row r="2061" spans="1:4" x14ac:dyDescent="0.2">
      <c r="A2061" s="5">
        <v>2000</v>
      </c>
      <c r="B2061" s="1832">
        <f>'Cap Outlay Deprec 26'!L16</f>
        <v>37457591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923977</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132630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7473013</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4537047</v>
      </c>
      <c r="C2553" s="2" t="s">
        <v>569</v>
      </c>
      <c r="D2553" s="2" t="str">
        <f t="shared" si="38"/>
        <v>Error?</v>
      </c>
    </row>
    <row r="2554" spans="1:4" x14ac:dyDescent="0.2">
      <c r="A2554" s="5">
        <v>2493</v>
      </c>
      <c r="B2554" s="1832">
        <f>'Acct Summary 7-8'!C7</f>
        <v>1042623</v>
      </c>
      <c r="C2554" s="2" t="s">
        <v>569</v>
      </c>
      <c r="D2554" s="2" t="str">
        <f t="shared" si="38"/>
        <v>Error?</v>
      </c>
    </row>
    <row r="2555" spans="1:4" x14ac:dyDescent="0.2">
      <c r="A2555" s="5">
        <v>2494</v>
      </c>
      <c r="B2555" s="1832">
        <f>'Acct Summary 7-8'!C8</f>
        <v>13052683</v>
      </c>
      <c r="C2555" s="2" t="s">
        <v>569</v>
      </c>
      <c r="D2555" s="2" t="str">
        <f t="shared" si="38"/>
        <v>Error?</v>
      </c>
    </row>
    <row r="2556" spans="1:4" x14ac:dyDescent="0.2">
      <c r="A2556" s="5">
        <v>2495</v>
      </c>
      <c r="B2556" s="1832">
        <f>'Acct Summary 7-8'!C12</f>
        <v>7759377</v>
      </c>
      <c r="C2556" s="2" t="s">
        <v>569</v>
      </c>
      <c r="D2556" s="2" t="str">
        <f t="shared" si="38"/>
        <v>Error?</v>
      </c>
    </row>
    <row r="2557" spans="1:4" x14ac:dyDescent="0.2">
      <c r="A2557" s="5">
        <v>2496</v>
      </c>
      <c r="B2557" s="1832">
        <f>'Acct Summary 7-8'!C13</f>
        <v>3495990</v>
      </c>
      <c r="C2557" s="2" t="s">
        <v>569</v>
      </c>
      <c r="D2557" s="2" t="str">
        <f t="shared" si="38"/>
        <v>Error?</v>
      </c>
    </row>
    <row r="2558" spans="1:4" x14ac:dyDescent="0.2">
      <c r="A2558" s="5">
        <v>2497</v>
      </c>
      <c r="B2558" s="1832">
        <f>'Acct Summary 7-8'!C14</f>
        <v>5520</v>
      </c>
      <c r="C2558" s="2" t="s">
        <v>569</v>
      </c>
      <c r="D2558" s="2" t="str">
        <f t="shared" si="38"/>
        <v>Error?</v>
      </c>
    </row>
    <row r="2559" spans="1:4" x14ac:dyDescent="0.2">
      <c r="A2559" s="5">
        <v>2498</v>
      </c>
      <c r="B2559" s="1832">
        <f>'Acct Summary 7-8'!C15</f>
        <v>923977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12184864</v>
      </c>
      <c r="C2561" s="2" t="s">
        <v>569</v>
      </c>
      <c r="D2561" s="2" t="str">
        <f t="shared" si="39"/>
        <v>Error?</v>
      </c>
    </row>
    <row r="2562" spans="1:4" x14ac:dyDescent="0.2">
      <c r="A2562" s="5">
        <v>2501</v>
      </c>
      <c r="B2562" s="1832">
        <f>'Acct Summary 7-8'!C20</f>
        <v>867819</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904396</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954396</v>
      </c>
      <c r="C2568" s="2" t="s">
        <v>569</v>
      </c>
      <c r="D2568" s="2" t="str">
        <f t="shared" si="39"/>
        <v>Error?</v>
      </c>
    </row>
    <row r="2569" spans="1:4" x14ac:dyDescent="0.2">
      <c r="A2569" s="5">
        <v>2508</v>
      </c>
      <c r="B2569" s="1832">
        <f>'Acct Summary 7-8'!D13</f>
        <v>906916</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906916</v>
      </c>
      <c r="C2573" s="2" t="s">
        <v>569</v>
      </c>
      <c r="D2573" s="2" t="str">
        <f t="shared" si="39"/>
        <v>Error?</v>
      </c>
    </row>
    <row r="2574" spans="1:4" x14ac:dyDescent="0.2">
      <c r="A2574" s="5">
        <v>2513</v>
      </c>
      <c r="B2574" s="1832">
        <f>'Acct Summary 7-8'!D20</f>
        <v>47480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353383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446726</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800109</v>
      </c>
      <c r="C2595" s="2" t="s">
        <v>569</v>
      </c>
      <c r="D2595" s="2" t="str">
        <f t="shared" si="39"/>
        <v>Error?</v>
      </c>
    </row>
    <row r="2596" spans="1:4" x14ac:dyDescent="0.2">
      <c r="A2596" s="5">
        <v>2535</v>
      </c>
      <c r="B2596" s="1832">
        <f>'Acct Summary 7-8'!F13</f>
        <v>821817</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821817</v>
      </c>
      <c r="C2600" s="2" t="s">
        <v>569</v>
      </c>
      <c r="D2600" s="2" t="str">
        <f t="shared" si="39"/>
        <v>Error?</v>
      </c>
    </row>
    <row r="2601" spans="1:4" x14ac:dyDescent="0.2">
      <c r="A2601" s="5">
        <v>2540</v>
      </c>
      <c r="B2601" s="1832">
        <f>'Acct Summary 7-8'!F20</f>
        <v>-21708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416542</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416542</v>
      </c>
      <c r="C2606" s="2" t="s">
        <v>569</v>
      </c>
      <c r="D2606" s="2" t="str">
        <f t="shared" si="39"/>
        <v>Error?</v>
      </c>
    </row>
    <row r="2607" spans="1:4" x14ac:dyDescent="0.2">
      <c r="A2607" s="5">
        <v>2546</v>
      </c>
      <c r="B2607" s="1832">
        <f>'Acct Summary 7-8'!G12</f>
        <v>177908</v>
      </c>
      <c r="C2607" s="2" t="s">
        <v>569</v>
      </c>
      <c r="D2607" s="2" t="str">
        <f t="shared" si="39"/>
        <v>Error?</v>
      </c>
    </row>
    <row r="2608" spans="1:4" x14ac:dyDescent="0.2">
      <c r="A2608" s="5">
        <v>2547</v>
      </c>
      <c r="B2608" s="1832">
        <f>'Acct Summary 7-8'!G13</f>
        <v>219571</v>
      </c>
      <c r="C2608" s="2" t="s">
        <v>569</v>
      </c>
      <c r="D2608" s="2" t="str">
        <f t="shared" si="39"/>
        <v>Error?</v>
      </c>
    </row>
    <row r="2609" spans="1:4" x14ac:dyDescent="0.2">
      <c r="A2609" s="5">
        <v>2548</v>
      </c>
      <c r="B2609" s="1832">
        <f>'Acct Summary 7-8'!G14</f>
        <v>63</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397542</v>
      </c>
      <c r="C2612" s="2" t="s">
        <v>569</v>
      </c>
      <c r="D2612" s="2" t="str">
        <f t="shared" si="39"/>
        <v>Error?</v>
      </c>
    </row>
    <row r="2613" spans="1:4" x14ac:dyDescent="0.2">
      <c r="A2613" s="5">
        <v>2552</v>
      </c>
      <c r="B2613" s="1832">
        <f>'Acct Summary 7-8'!G20</f>
        <v>19000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2182919</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2182919</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2178989</v>
      </c>
      <c r="C2634" s="2" t="s">
        <v>569</v>
      </c>
      <c r="D2634" s="2" t="str">
        <f t="shared" si="40"/>
        <v>Error?</v>
      </c>
    </row>
    <row r="2635" spans="1:4" x14ac:dyDescent="0.2">
      <c r="A2635" s="5">
        <v>2574</v>
      </c>
      <c r="B2635" s="1832">
        <f>'Acct Summary 7-8'!E17</f>
        <v>2178989</v>
      </c>
      <c r="C2635" s="2" t="s">
        <v>569</v>
      </c>
      <c r="D2635" s="2" t="str">
        <f t="shared" si="40"/>
        <v>Error?</v>
      </c>
    </row>
    <row r="2636" spans="1:4" x14ac:dyDescent="0.2">
      <c r="A2636" s="5">
        <v>2575</v>
      </c>
      <c r="B2636" s="1832">
        <f>'Acct Summary 7-8'!E20</f>
        <v>3930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208484</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208484</v>
      </c>
      <c r="C2658" s="2" t="s">
        <v>569</v>
      </c>
      <c r="D2658" s="2" t="str">
        <f t="shared" si="40"/>
        <v>Error?</v>
      </c>
    </row>
    <row r="2659" spans="1:4" x14ac:dyDescent="0.2">
      <c r="A2659" s="5">
        <v>2598</v>
      </c>
      <c r="B2659" s="1832">
        <f>'Acct Summary 7-8'!H13</f>
        <v>11183128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11183128</v>
      </c>
      <c r="C2661" s="2" t="s">
        <v>569</v>
      </c>
      <c r="D2661" s="2" t="str">
        <f t="shared" si="40"/>
        <v>Error?</v>
      </c>
    </row>
    <row r="2662" spans="1:4" x14ac:dyDescent="0.2">
      <c r="A2662" s="5">
        <v>2601</v>
      </c>
      <c r="B2662" s="1832">
        <f>'Acct Summary 7-8'!H20</f>
        <v>-10974644</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30667</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808742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132503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808742</v>
      </c>
      <c r="D2912" s="2" t="str">
        <f t="shared" si="44"/>
        <v>Error?</v>
      </c>
    </row>
    <row r="2913" spans="1:4" x14ac:dyDescent="0.2">
      <c r="A2913" s="5">
        <v>2852</v>
      </c>
      <c r="B2913" s="1832">
        <f>'Assets-Liab 5-6'!I41</f>
        <v>808742</v>
      </c>
      <c r="C2913" s="2" t="s">
        <v>569</v>
      </c>
      <c r="D2913" s="2" t="str">
        <f t="shared" si="44"/>
        <v>Error?</v>
      </c>
    </row>
    <row r="2914" spans="1:4" x14ac:dyDescent="0.2">
      <c r="A2914" s="5">
        <v>2853</v>
      </c>
      <c r="B2914" s="1832">
        <f>'Assets-Liab 5-6'!L33</f>
        <v>132503</v>
      </c>
      <c r="D2914" s="2" t="str">
        <f t="shared" si="44"/>
        <v>Error?</v>
      </c>
    </row>
    <row r="2915" spans="1:4" x14ac:dyDescent="0.2">
      <c r="A2915" s="10">
        <v>2854</v>
      </c>
      <c r="B2915" s="1832"/>
      <c r="D2915" s="2" t="str">
        <f t="shared" si="44"/>
        <v>OK</v>
      </c>
    </row>
    <row r="2916" spans="1:4" x14ac:dyDescent="0.2">
      <c r="A2916" s="5">
        <v>2855</v>
      </c>
      <c r="B2916" s="1832">
        <f>'Assets-Liab 5-6'!L34</f>
        <v>132503</v>
      </c>
      <c r="C2916" s="2" t="s">
        <v>569</v>
      </c>
      <c r="D2916" s="2" t="str">
        <f t="shared" si="44"/>
        <v>Error?</v>
      </c>
    </row>
    <row r="2917" spans="1:4" x14ac:dyDescent="0.2">
      <c r="A2917" s="5">
        <v>2856</v>
      </c>
      <c r="B2917" s="1832">
        <f>'Assets-Liab 5-6'!L41</f>
        <v>132503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41467</v>
      </c>
      <c r="D3055" s="2" t="str">
        <f t="shared" si="46"/>
        <v>Error?</v>
      </c>
    </row>
    <row r="3056" spans="1:4" x14ac:dyDescent="0.2">
      <c r="A3056" s="5">
        <v>2995</v>
      </c>
      <c r="B3056" s="1832">
        <f>'Expenditures 15-22'!D10</f>
        <v>10899</v>
      </c>
      <c r="D3056" s="2" t="str">
        <f t="shared" si="46"/>
        <v>Error?</v>
      </c>
    </row>
    <row r="3057" spans="1:4" x14ac:dyDescent="0.2">
      <c r="A3057" s="5">
        <v>2996</v>
      </c>
      <c r="B3057" s="1832">
        <f>'Expenditures 15-22'!E10</f>
        <v>2778</v>
      </c>
      <c r="D3057" s="2" t="str">
        <f t="shared" si="46"/>
        <v>Error?</v>
      </c>
    </row>
    <row r="3058" spans="1:4" x14ac:dyDescent="0.2">
      <c r="A3058" s="5">
        <v>2997</v>
      </c>
      <c r="B3058" s="1832">
        <f>'Expenditures 15-22'!F10</f>
        <v>117351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172495</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976</v>
      </c>
      <c r="D3064" s="2" t="str">
        <f t="shared" si="46"/>
        <v>Error?</v>
      </c>
    </row>
    <row r="3065" spans="1:4" x14ac:dyDescent="0.2">
      <c r="A3065" s="5">
        <v>3004</v>
      </c>
      <c r="B3065" s="1832">
        <f>'Expenditures 15-22'!K219</f>
        <v>976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87760</v>
      </c>
      <c r="C3225" s="2" t="s">
        <v>569</v>
      </c>
      <c r="D3225" s="2" t="str">
        <f t="shared" si="49"/>
        <v>Error?</v>
      </c>
    </row>
    <row r="3226" spans="1:4" x14ac:dyDescent="0.2">
      <c r="A3226" s="5">
        <v>3165</v>
      </c>
      <c r="B3226" s="1832">
        <f>'Acct Summary 7-8'!I8</f>
        <v>87760</v>
      </c>
      <c r="C3226" s="2" t="s">
        <v>569</v>
      </c>
      <c r="D3226" s="2" t="str">
        <f t="shared" si="49"/>
        <v>Error?</v>
      </c>
    </row>
    <row r="3227" spans="1:4" x14ac:dyDescent="0.2">
      <c r="A3227" s="5">
        <v>3166</v>
      </c>
      <c r="B3227" s="1832">
        <f>'Acct Summary 7-8'!I20</f>
        <v>87760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867819</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47480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-21708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19000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3930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-10974644</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87760</v>
      </c>
      <c r="C3320" s="2" t="s">
        <v>569</v>
      </c>
      <c r="D3320" s="2" t="str">
        <f t="shared" si="50"/>
        <v>Error?</v>
      </c>
    </row>
    <row r="3321" spans="1:4" x14ac:dyDescent="0.2">
      <c r="A3321" s="5">
        <v>3260</v>
      </c>
      <c r="B3321" s="1832">
        <f>'Acct Summary 7-8'!I79</f>
        <v>720982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808742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1590067</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502292</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431</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17565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2110355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51888</v>
      </c>
      <c r="D3387" s="2" t="str">
        <f t="shared" si="51"/>
        <v>Error?</v>
      </c>
    </row>
    <row r="3388" spans="1:4" x14ac:dyDescent="0.2">
      <c r="A3388" s="5">
        <v>3327</v>
      </c>
      <c r="B3388" s="1832">
        <f>'Expenditures 15-22'!D217</f>
        <v>114206</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51888</v>
      </c>
      <c r="C3390" s="2" t="s">
        <v>569</v>
      </c>
      <c r="D3390" s="2" t="str">
        <f t="shared" si="51"/>
        <v>Error?</v>
      </c>
    </row>
    <row r="3391" spans="1:4" x14ac:dyDescent="0.2">
      <c r="A3391" s="5">
        <v>3330</v>
      </c>
      <c r="B3391" s="1832">
        <f>'Expenditures 15-22'!K217</f>
        <v>114206</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3716230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319832</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38384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1918538</v>
      </c>
      <c r="D3425" s="2" t="str">
        <f t="shared" si="52"/>
        <v>Error?</v>
      </c>
    </row>
    <row r="3426" spans="1:4" x14ac:dyDescent="0.2">
      <c r="A3426" s="10">
        <v>3365</v>
      </c>
      <c r="B3426" s="1832"/>
      <c r="D3426" s="2" t="str">
        <f t="shared" si="52"/>
        <v>OK</v>
      </c>
    </row>
    <row r="3427" spans="1:4" x14ac:dyDescent="0.2">
      <c r="A3427" s="5">
        <v>3366</v>
      </c>
      <c r="B3427" s="1832">
        <f>'Assets-Liab 5-6'!I4</f>
        <v>778075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132503</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218890</v>
      </c>
      <c r="C3446" s="2" t="s">
        <v>569</v>
      </c>
      <c r="D3446" s="2" t="str">
        <f t="shared" si="52"/>
        <v>Error?</v>
      </c>
    </row>
    <row r="3447" spans="1:4" x14ac:dyDescent="0.2">
      <c r="A3447" s="5">
        <v>3386</v>
      </c>
      <c r="B3447" s="1832">
        <f>'Tax Sched 23'!D16</f>
        <v>218693</v>
      </c>
      <c r="C3447" s="2" t="s">
        <v>569</v>
      </c>
      <c r="D3447" s="2" t="str">
        <f t="shared" si="52"/>
        <v>Error?</v>
      </c>
    </row>
    <row r="3448" spans="1:4" x14ac:dyDescent="0.2">
      <c r="A3448" s="5">
        <v>3387</v>
      </c>
      <c r="B3448" s="1832">
        <f>'Tax Sched 23'!C16</f>
        <v>197</v>
      </c>
      <c r="D3448" s="2" t="str">
        <f t="shared" si="52"/>
        <v>Error?</v>
      </c>
    </row>
    <row r="3449" spans="1:4" x14ac:dyDescent="0.2">
      <c r="A3449" s="5">
        <v>3388</v>
      </c>
      <c r="B3449" s="1832">
        <f>'Tax Sched 23'!F16</f>
        <v>269984</v>
      </c>
      <c r="C3449" s="2" t="s">
        <v>569</v>
      </c>
      <c r="D3449" s="2" t="str">
        <f t="shared" si="52"/>
        <v>Error?</v>
      </c>
    </row>
    <row r="3450" spans="1:4" x14ac:dyDescent="0.2">
      <c r="A3450" s="5">
        <v>3389</v>
      </c>
      <c r="B3450" s="1832">
        <f>'Tax Sched 23'!E16</f>
        <v>270181</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297</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297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96</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201</v>
      </c>
      <c r="D3567" s="2" t="str">
        <f t="shared" si="54"/>
        <v>Error?</v>
      </c>
    </row>
    <row r="3568" spans="1:4" x14ac:dyDescent="0.2">
      <c r="A3568" s="5">
        <v>3507</v>
      </c>
      <c r="B3568" s="1832">
        <f>'Assets-Liab 5-6'!K41</f>
        <v>297</v>
      </c>
      <c r="C3568" s="2" t="s">
        <v>569</v>
      </c>
      <c r="D3568" s="2" t="str">
        <f t="shared" si="54"/>
        <v>Error?</v>
      </c>
    </row>
    <row r="3569" spans="1:4" x14ac:dyDescent="0.2">
      <c r="A3569" s="5">
        <v>3508</v>
      </c>
      <c r="B3569" s="1832">
        <f>'Acct Summary 7-8'!K4</f>
        <v>14</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14</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14</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14</v>
      </c>
      <c r="C3588" s="2" t="s">
        <v>569</v>
      </c>
      <c r="D3588" s="2" t="str">
        <f t="shared" si="55"/>
        <v>Error?</v>
      </c>
    </row>
    <row r="3589" spans="1:4" x14ac:dyDescent="0.2">
      <c r="A3589" s="5">
        <v>3528</v>
      </c>
      <c r="B3589" s="1832">
        <f>'Acct Summary 7-8'!K79</f>
        <v>187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201</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14</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79475</v>
      </c>
      <c r="C3725" s="2" t="s">
        <v>569</v>
      </c>
      <c r="D3725" s="2" t="str">
        <f t="shared" si="57"/>
        <v>Error?</v>
      </c>
    </row>
    <row r="3726" spans="1:4" x14ac:dyDescent="0.2">
      <c r="A3726" s="5">
        <v>3665</v>
      </c>
      <c r="B3726" s="1832">
        <f>'Tax Sched 23'!D13</f>
        <v>79424</v>
      </c>
      <c r="C3726" s="2" t="s">
        <v>569</v>
      </c>
      <c r="D3726" s="2" t="str">
        <f t="shared" si="57"/>
        <v>Error?</v>
      </c>
    </row>
    <row r="3727" spans="1:4" x14ac:dyDescent="0.2">
      <c r="A3727" s="5">
        <v>3666</v>
      </c>
      <c r="B3727" s="1832">
        <f>'Tax Sched 23'!C13</f>
        <v>51</v>
      </c>
      <c r="D3727" s="2" t="str">
        <f t="shared" si="57"/>
        <v>Error?</v>
      </c>
    </row>
    <row r="3728" spans="1:4" x14ac:dyDescent="0.2">
      <c r="A3728" s="5">
        <v>3667</v>
      </c>
      <c r="B3728" s="1832">
        <f>'Tax Sched 23'!F13</f>
        <v>79513</v>
      </c>
      <c r="C3728" s="2" t="s">
        <v>569</v>
      </c>
      <c r="D3728" s="2" t="str">
        <f t="shared" si="57"/>
        <v>Error?</v>
      </c>
    </row>
    <row r="3729" spans="1:4" x14ac:dyDescent="0.2">
      <c r="A3729" s="5">
        <v>3668</v>
      </c>
      <c r="B3729" s="1832">
        <f>'Tax Sched 23'!E13</f>
        <v>79564</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5397482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18450165</v>
      </c>
      <c r="C4122" s="2" t="s">
        <v>569</v>
      </c>
      <c r="D4122" s="2" t="str">
        <f t="shared" si="63"/>
        <v>Error?</v>
      </c>
    </row>
    <row r="4123" spans="1:4" x14ac:dyDescent="0.2">
      <c r="A4123" s="5">
        <v>4062</v>
      </c>
      <c r="B4123" s="1832">
        <f>'Acct Summary 7-8'!D10</f>
        <v>954396</v>
      </c>
      <c r="C4123" s="2" t="s">
        <v>569</v>
      </c>
      <c r="D4123" s="2" t="str">
        <f t="shared" si="63"/>
        <v>Error?</v>
      </c>
    </row>
    <row r="4124" spans="1:4" x14ac:dyDescent="0.2">
      <c r="A4124" s="5">
        <v>4063</v>
      </c>
      <c r="B4124" s="1832">
        <f>'Acct Summary 7-8'!E10</f>
        <v>2182919</v>
      </c>
      <c r="C4124" s="2" t="s">
        <v>569</v>
      </c>
      <c r="D4124" s="2" t="str">
        <f t="shared" si="63"/>
        <v>Error?</v>
      </c>
    </row>
    <row r="4125" spans="1:4" x14ac:dyDescent="0.2">
      <c r="A4125" s="5">
        <v>4064</v>
      </c>
      <c r="B4125" s="1832">
        <f>'Acct Summary 7-8'!F10</f>
        <v>800109</v>
      </c>
      <c r="C4125" s="2" t="s">
        <v>569</v>
      </c>
      <c r="D4125" s="2" t="str">
        <f t="shared" si="63"/>
        <v>Error?</v>
      </c>
    </row>
    <row r="4126" spans="1:4" x14ac:dyDescent="0.2">
      <c r="A4126" s="5">
        <v>4065</v>
      </c>
      <c r="B4126" s="1832">
        <f>'Acct Summary 7-8'!G10</f>
        <v>416542</v>
      </c>
      <c r="C4126" s="2" t="s">
        <v>569</v>
      </c>
      <c r="D4126" s="2" t="str">
        <f t="shared" si="63"/>
        <v>Error?</v>
      </c>
    </row>
    <row r="4127" spans="1:4" x14ac:dyDescent="0.2">
      <c r="A4127" s="5">
        <v>4066</v>
      </c>
      <c r="B4127" s="1832">
        <f>'Acct Summary 7-8'!H10</f>
        <v>208484</v>
      </c>
      <c r="C4127" s="2" t="s">
        <v>569</v>
      </c>
      <c r="D4127" s="2" t="str">
        <f t="shared" si="63"/>
        <v>Error?</v>
      </c>
    </row>
    <row r="4128" spans="1:4" x14ac:dyDescent="0.2">
      <c r="A4128" s="5">
        <v>4067</v>
      </c>
      <c r="B4128" s="1832">
        <f>'Acct Summary 7-8'!I10</f>
        <v>87760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14</v>
      </c>
      <c r="C4130" s="2" t="s">
        <v>569</v>
      </c>
      <c r="D4130" s="2" t="str">
        <f t="shared" si="63"/>
        <v>Error?</v>
      </c>
    </row>
    <row r="4131" spans="1:4" x14ac:dyDescent="0.2">
      <c r="A4131" s="5">
        <v>4070</v>
      </c>
      <c r="B4131" s="1832">
        <f>'Acct Summary 7-8'!C18</f>
        <v>5397482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17582346</v>
      </c>
      <c r="C4136" s="2" t="s">
        <v>569</v>
      </c>
      <c r="D4136" s="2" t="str">
        <f t="shared" si="63"/>
        <v>Error?</v>
      </c>
    </row>
    <row r="4137" spans="1:4" x14ac:dyDescent="0.2">
      <c r="A4137" s="5">
        <v>4076</v>
      </c>
      <c r="B4137" s="1832">
        <f>'Acct Summary 7-8'!D19</f>
        <v>906916</v>
      </c>
      <c r="C4137" s="2" t="s">
        <v>569</v>
      </c>
      <c r="D4137" s="2" t="str">
        <f t="shared" si="63"/>
        <v>Error?</v>
      </c>
    </row>
    <row r="4138" spans="1:4" x14ac:dyDescent="0.2">
      <c r="A4138" s="5">
        <v>4077</v>
      </c>
      <c r="B4138" s="1832">
        <f>'Acct Summary 7-8'!E19</f>
        <v>2178989</v>
      </c>
      <c r="C4138" s="2" t="s">
        <v>569</v>
      </c>
      <c r="D4138" s="2" t="str">
        <f t="shared" si="63"/>
        <v>Error?</v>
      </c>
    </row>
    <row r="4139" spans="1:4" x14ac:dyDescent="0.2">
      <c r="A4139" s="5">
        <v>4078</v>
      </c>
      <c r="B4139" s="1832">
        <f>'Acct Summary 7-8'!F19</f>
        <v>821817</v>
      </c>
      <c r="C4139" s="2" t="s">
        <v>569</v>
      </c>
      <c r="D4139" s="2" t="str">
        <f t="shared" si="63"/>
        <v>Error?</v>
      </c>
    </row>
    <row r="4140" spans="1:4" x14ac:dyDescent="0.2">
      <c r="A4140" s="5">
        <v>4079</v>
      </c>
      <c r="B4140" s="1832">
        <f>'Acct Summary 7-8'!G19</f>
        <v>397542</v>
      </c>
      <c r="C4140" s="2" t="s">
        <v>569</v>
      </c>
      <c r="D4140" s="2" t="str">
        <f t="shared" si="63"/>
        <v>Error?</v>
      </c>
    </row>
    <row r="4141" spans="1:4" x14ac:dyDescent="0.2">
      <c r="A4141" s="5">
        <v>4080</v>
      </c>
      <c r="B4141" s="1832">
        <f>'Acct Summary 7-8'!H19</f>
        <v>11183128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31230000</v>
      </c>
      <c r="C4171" s="2" t="s">
        <v>569</v>
      </c>
      <c r="D4171" s="2" t="str">
        <f t="shared" si="64"/>
        <v>Error?</v>
      </c>
    </row>
    <row r="4172" spans="1:4" x14ac:dyDescent="0.2">
      <c r="A4172" s="5">
        <v>4111</v>
      </c>
      <c r="B4172" s="1832">
        <f>'Short-Term Long-Term Debt 24'!J49</f>
        <v>31137054</v>
      </c>
      <c r="C4172" s="2" t="s">
        <v>569</v>
      </c>
      <c r="D4172" s="2" t="str">
        <f t="shared" si="64"/>
        <v>Error?</v>
      </c>
    </row>
    <row r="4173" spans="1:4" x14ac:dyDescent="0.2">
      <c r="A4173" s="5">
        <v>4112</v>
      </c>
      <c r="B4173" s="1832">
        <f>'Short-Term Long-Term Debt 24'!H49</f>
        <v>835000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3648.9</v>
      </c>
      <c r="C4265" s="2" t="s">
        <v>569</v>
      </c>
      <c r="D4265" s="2" t="str">
        <f t="shared" si="65"/>
        <v>Error?</v>
      </c>
      <c r="E4265" s="125"/>
    </row>
    <row r="4266" spans="1:5" x14ac:dyDescent="0.2">
      <c r="A4266" s="12">
        <v>4205</v>
      </c>
      <c r="B4266" s="1832">
        <f>('FP Info 3'!F10)*100000</f>
        <v>499.9</v>
      </c>
      <c r="C4266" s="2" t="s">
        <v>569</v>
      </c>
      <c r="D4266" s="2" t="str">
        <f t="shared" si="65"/>
        <v>Error?</v>
      </c>
      <c r="E4266" s="125"/>
    </row>
    <row r="4267" spans="1:5" x14ac:dyDescent="0.2">
      <c r="A4267" s="12">
        <v>4206</v>
      </c>
      <c r="B4267" s="1832">
        <f>('FP Info 3'!H10)*100000</f>
        <v>199.89999999999998</v>
      </c>
      <c r="C4267" s="2" t="s">
        <v>569</v>
      </c>
      <c r="D4267" s="2" t="str">
        <f t="shared" si="65"/>
        <v>Error?</v>
      </c>
      <c r="E4267" s="125"/>
    </row>
    <row r="4268" spans="1:5" x14ac:dyDescent="0.2">
      <c r="A4268" s="12">
        <v>4207</v>
      </c>
      <c r="B4268" s="1832">
        <f>('FP Info 3'!J10)*100000</f>
        <v>4349</v>
      </c>
      <c r="C4268" s="2" t="s">
        <v>569</v>
      </c>
      <c r="D4268" s="2" t="str">
        <f t="shared" si="65"/>
        <v>Error?</v>
      </c>
    </row>
    <row r="4269" spans="1:5" x14ac:dyDescent="0.2">
      <c r="A4269" s="12">
        <v>4208</v>
      </c>
      <c r="B4269" s="1832">
        <f>'FP Info 3'!J16</f>
        <v>7602758</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4680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17542</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7240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60769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180048881</v>
      </c>
      <c r="D4995" s="2" t="str">
        <f t="shared" si="77"/>
        <v>Error?</v>
      </c>
    </row>
    <row r="4996" spans="1:4" x14ac:dyDescent="0.2">
      <c r="A4996" s="12">
        <v>4935</v>
      </c>
      <c r="B4996" s="1832">
        <f>'FP Info 3'!H31</f>
        <v>24846745.578000002</v>
      </c>
      <c r="D4996" s="2" t="str">
        <f t="shared" si="77"/>
        <v>Error?</v>
      </c>
    </row>
    <row r="4997" spans="1:4" x14ac:dyDescent="0.2">
      <c r="A4997" s="12">
        <v>4936</v>
      </c>
      <c r="B4997" s="1832">
        <f>'FP Info 3'!H37</f>
        <v>31230000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79475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6339939</v>
      </c>
      <c r="D5061" s="2" t="str">
        <f t="shared" si="78"/>
        <v>Error?</v>
      </c>
    </row>
    <row r="5062" spans="1:4" x14ac:dyDescent="0.2">
      <c r="A5062" s="10">
        <v>5001</v>
      </c>
      <c r="B5062" s="1832"/>
      <c r="D5062" s="2" t="str">
        <f t="shared" si="78"/>
        <v>OK</v>
      </c>
    </row>
    <row r="5063" spans="1:4" x14ac:dyDescent="0.2">
      <c r="A5063" s="5">
        <v>5002</v>
      </c>
      <c r="B5063" s="1832">
        <f>'Revenues 9-14'!C7</f>
        <v>65486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6484900</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306114</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306114</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72220</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72220</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1525</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51</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151581</v>
      </c>
      <c r="C5096" s="2" t="s">
        <v>569</v>
      </c>
      <c r="D5096" s="2" t="str">
        <f t="shared" si="78"/>
        <v>Error?</v>
      </c>
    </row>
    <row r="5097" spans="1:4" x14ac:dyDescent="0.2">
      <c r="A5097" s="5">
        <v>5036</v>
      </c>
      <c r="B5097" s="1832">
        <f>'Revenues 9-14'!C77</f>
        <v>54284</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4913</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59197</v>
      </c>
      <c r="C5102" s="2" t="s">
        <v>569</v>
      </c>
      <c r="D5102" s="2" t="str">
        <f t="shared" si="78"/>
        <v>Error?</v>
      </c>
    </row>
    <row r="5103" spans="1:4" x14ac:dyDescent="0.2">
      <c r="A5103" s="5">
        <v>5042</v>
      </c>
      <c r="B5103" s="1832">
        <f>'Revenues 9-14'!C84</f>
        <v>100751</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100751</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31756</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165271</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96617</v>
      </c>
      <c r="D5119" s="2" t="str">
        <f t="shared" ref="D5119:D5182" si="79">IF(ISBLANK(B5119),"OK",IF(A5119-B5119=0,"OK","Error?"))</f>
        <v>Error?</v>
      </c>
    </row>
    <row r="5120" spans="1:4" x14ac:dyDescent="0.2">
      <c r="A5120" s="5">
        <v>5059</v>
      </c>
      <c r="B5120" s="1832">
        <f>'Revenues 9-14'!C108</f>
        <v>298250</v>
      </c>
      <c r="C5120" s="2" t="s">
        <v>569</v>
      </c>
      <c r="D5120" s="2" t="str">
        <f t="shared" si="79"/>
        <v>Error?</v>
      </c>
    </row>
    <row r="5121" spans="1:4" x14ac:dyDescent="0.2">
      <c r="A5121" s="5">
        <v>5060</v>
      </c>
      <c r="B5121" s="1832">
        <f>'Revenues 9-14'!C109</f>
        <v>7473013</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4276247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4276247</v>
      </c>
      <c r="C5132" s="2" t="s">
        <v>569</v>
      </c>
      <c r="D5132" s="2" t="str">
        <f t="shared" si="79"/>
        <v>Error?</v>
      </c>
    </row>
    <row r="5133" spans="1:4" x14ac:dyDescent="0.2">
      <c r="A5133" s="5">
        <v>5072</v>
      </c>
      <c r="B5133" s="1832">
        <f>'Revenues 9-14'!C125</f>
        <v>189264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22321</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211585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25684</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30940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3845</v>
      </c>
      <c r="D5167" s="2" t="str">
        <f t="shared" si="79"/>
        <v>Error?</v>
      </c>
    </row>
    <row r="5168" spans="1:4" x14ac:dyDescent="0.2">
      <c r="A5168" s="5">
        <v>5107</v>
      </c>
      <c r="B5168" s="1832">
        <f>'Revenues 9-14'!C148</f>
        <v>14430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260800</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4537047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215139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67212</v>
      </c>
      <c r="D5241" s="2" t="str">
        <f t="shared" si="80"/>
        <v>Error?</v>
      </c>
    </row>
    <row r="5242" spans="1:4" x14ac:dyDescent="0.2">
      <c r="A5242" s="5">
        <v>5181</v>
      </c>
      <c r="B5242" s="1832">
        <f>'Revenues 9-14'!C194</f>
        <v>90654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373005</v>
      </c>
      <c r="C5246" s="2" t="s">
        <v>569</v>
      </c>
      <c r="D5246" s="2" t="str">
        <f t="shared" si="80"/>
        <v>Error?</v>
      </c>
    </row>
    <row r="5247" spans="1:4" x14ac:dyDescent="0.2">
      <c r="A5247" s="5">
        <v>5186</v>
      </c>
      <c r="B5247" s="1832">
        <f>'Revenues 9-14'!C200</f>
        <v>273129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7240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273129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306258</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306258</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1042623</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1042623</v>
      </c>
      <c r="C5326" s="2" t="s">
        <v>569</v>
      </c>
      <c r="D5326" s="2" t="str">
        <f t="shared" si="82"/>
        <v>Error?</v>
      </c>
    </row>
    <row r="5327" spans="1:5" x14ac:dyDescent="0.2">
      <c r="A5327" s="5">
        <v>5266</v>
      </c>
      <c r="B5327" s="1832">
        <f>'Revenues 9-14'!C268</f>
        <v>13052683</v>
      </c>
      <c r="C5327" s="2" t="s">
        <v>569</v>
      </c>
      <c r="D5327" s="2" t="str">
        <f t="shared" si="82"/>
        <v>Error?</v>
      </c>
    </row>
    <row r="5328" spans="1:5" x14ac:dyDescent="0.2">
      <c r="A5328" s="5">
        <v>5267</v>
      </c>
      <c r="B5328" s="1832">
        <f>'Revenues 9-14'!D5</f>
        <v>868485</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868485</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9100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9100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7200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19611</v>
      </c>
      <c r="D5354" s="2" t="str">
        <f t="shared" si="82"/>
        <v>Error?</v>
      </c>
    </row>
    <row r="5355" spans="1:4" x14ac:dyDescent="0.2">
      <c r="A5355" s="5">
        <v>5294</v>
      </c>
      <c r="B5355" s="1832">
        <f>'Revenues 9-14'!D108</f>
        <v>26811</v>
      </c>
      <c r="C5355" s="2" t="s">
        <v>569</v>
      </c>
      <c r="D5355" s="2" t="str">
        <f t="shared" si="82"/>
        <v>Error?</v>
      </c>
    </row>
    <row r="5356" spans="1:4" x14ac:dyDescent="0.2">
      <c r="A5356" s="5">
        <v>5295</v>
      </c>
      <c r="B5356" s="1832">
        <f>'Revenues 9-14'!D109</f>
        <v>904396</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954396</v>
      </c>
      <c r="C5508" s="2" t="s">
        <v>569</v>
      </c>
      <c r="D5508" s="2" t="str">
        <f t="shared" si="85"/>
        <v>Error?</v>
      </c>
    </row>
    <row r="5509" spans="1:4" x14ac:dyDescent="0.2">
      <c r="A5509" s="5">
        <v>5448</v>
      </c>
      <c r="B5509" s="1832">
        <f>'Revenues 9-14'!E5</f>
        <v>2160335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2160335</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22584</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22584</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2182919</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2182919</v>
      </c>
      <c r="C5552" s="2" t="s">
        <v>569</v>
      </c>
      <c r="D5552" s="2" t="str">
        <f t="shared" si="85"/>
        <v>Error?</v>
      </c>
    </row>
    <row r="5553" spans="1:4" x14ac:dyDescent="0.2">
      <c r="A5553" s="5">
        <v>5492</v>
      </c>
      <c r="B5553" s="1832">
        <f>'Revenues 9-14'!F5</f>
        <v>347394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347394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3640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3640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2349</v>
      </c>
      <c r="D5586" s="2" t="str">
        <f t="shared" si="86"/>
        <v>Error?</v>
      </c>
    </row>
    <row r="5587" spans="1:4" x14ac:dyDescent="0.2">
      <c r="A5587" s="5">
        <v>5526</v>
      </c>
      <c r="B5587" s="1832">
        <f>'Revenues 9-14'!F108</f>
        <v>2349</v>
      </c>
      <c r="C5587" s="2" t="s">
        <v>569</v>
      </c>
      <c r="D5587" s="2" t="str">
        <f t="shared" si="86"/>
        <v>Error?</v>
      </c>
    </row>
    <row r="5588" spans="1:4" x14ac:dyDescent="0.2">
      <c r="A5588" s="5">
        <v>5527</v>
      </c>
      <c r="B5588" s="1832">
        <f>'Revenues 9-14'!F109</f>
        <v>353383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259724</v>
      </c>
      <c r="D5615" s="2" t="str">
        <f t="shared" si="86"/>
        <v>Error?</v>
      </c>
    </row>
    <row r="5616" spans="1:4" x14ac:dyDescent="0.2">
      <c r="A5616" s="10">
        <v>5555</v>
      </c>
      <c r="B5616" s="1832"/>
      <c r="D5616" s="2" t="str">
        <f t="shared" si="86"/>
        <v>OK</v>
      </c>
    </row>
    <row r="5617" spans="1:5" x14ac:dyDescent="0.2">
      <c r="A5617" s="5">
        <v>5556</v>
      </c>
      <c r="B5617" s="1832">
        <f>'Revenues 9-14'!F153</f>
        <v>187002</v>
      </c>
      <c r="D5617" s="2" t="str">
        <f t="shared" si="86"/>
        <v>Error?</v>
      </c>
    </row>
    <row r="5618" spans="1:5" x14ac:dyDescent="0.2">
      <c r="A5618" s="5">
        <v>5557</v>
      </c>
      <c r="B5618" s="1832">
        <f>'Revenues 9-14'!F155</f>
        <v>446726</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446726</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446726</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800109</v>
      </c>
      <c r="C5720" s="2" t="s">
        <v>569</v>
      </c>
      <c r="D5720" s="2" t="str">
        <f t="shared" si="88"/>
        <v>Error?</v>
      </c>
    </row>
    <row r="5721" spans="1:4" x14ac:dyDescent="0.2">
      <c r="A5721" s="5">
        <v>5660</v>
      </c>
      <c r="B5721" s="1832">
        <f>'Revenues 9-14'!G5</f>
        <v>182352</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218890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401242</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11103</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11103</v>
      </c>
      <c r="C5730" s="2" t="s">
        <v>569</v>
      </c>
      <c r="D5730" s="2" t="str">
        <f t="shared" si="88"/>
        <v>Error?</v>
      </c>
    </row>
    <row r="5731" spans="1:4" x14ac:dyDescent="0.2">
      <c r="A5731" s="5">
        <v>5670</v>
      </c>
      <c r="B5731" s="1832">
        <f>'Revenues 9-14'!G65</f>
        <v>4197</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4197</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416542</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200187</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200187</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8297</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208484</v>
      </c>
      <c r="C5915" s="2" t="s">
        <v>569</v>
      </c>
      <c r="D5915" s="2" t="str">
        <f t="shared" si="91"/>
        <v>Error?</v>
      </c>
    </row>
    <row r="5916" spans="1:4" x14ac:dyDescent="0.2">
      <c r="A5916" s="5">
        <v>5855</v>
      </c>
      <c r="B5916" s="1832">
        <f>'Revenues 9-14'!I5</f>
        <v>86850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86850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910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910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87760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14</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14</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14</v>
      </c>
      <c r="C6023" s="2" t="s">
        <v>569</v>
      </c>
      <c r="D6023" s="2" t="str">
        <f t="shared" si="93"/>
        <v>Error?</v>
      </c>
    </row>
    <row r="6024" spans="1:5" x14ac:dyDescent="0.2">
      <c r="A6024" s="5">
        <v>5963</v>
      </c>
      <c r="B6024" s="1832">
        <f>'Revenues 9-14'!G109</f>
        <v>416542</v>
      </c>
      <c r="C6024" s="2" t="s">
        <v>569</v>
      </c>
      <c r="D6024" s="2" t="str">
        <f t="shared" si="93"/>
        <v>Error?</v>
      </c>
    </row>
    <row r="6025" spans="1:5" x14ac:dyDescent="0.2">
      <c r="A6025" s="5">
        <v>5964</v>
      </c>
      <c r="B6025" s="1832">
        <f>'Revenues 9-14'!H109</f>
        <v>208484</v>
      </c>
      <c r="C6025" s="2" t="s">
        <v>569</v>
      </c>
      <c r="D6025" s="2" t="str">
        <f t="shared" si="93"/>
        <v>Error?</v>
      </c>
    </row>
    <row r="6026" spans="1:5" x14ac:dyDescent="0.2">
      <c r="A6026" s="5">
        <v>5965</v>
      </c>
      <c r="B6026" s="1832">
        <f>'Revenues 9-14'!I109</f>
        <v>87760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14</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150005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38526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1307.0999999999999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511596</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675513</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17849</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96</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511596</v>
      </c>
      <c r="D6215" s="2" t="str">
        <f t="shared" si="96"/>
        <v>Error?</v>
      </c>
      <c r="E6215" s="2" t="s">
        <v>189</v>
      </c>
    </row>
    <row r="6216" spans="1:5" x14ac:dyDescent="0.2">
      <c r="A6216">
        <v>6155</v>
      </c>
      <c r="B6216" s="1832">
        <f>'Assets-Liab 5-6'!J41</f>
        <v>511596</v>
      </c>
      <c r="D6216" s="2" t="str">
        <f t="shared" si="96"/>
        <v>Error?</v>
      </c>
      <c r="E6216" s="2" t="s">
        <v>189</v>
      </c>
    </row>
    <row r="6217" spans="1:5" x14ac:dyDescent="0.2">
      <c r="A6217">
        <v>6156</v>
      </c>
      <c r="B6217" s="1832">
        <f>'Assets-Liab 5-6'!J4</f>
        <v>422623</v>
      </c>
      <c r="D6217" s="2" t="str">
        <f t="shared" si="96"/>
        <v>Error?</v>
      </c>
      <c r="E6217" s="2" t="s">
        <v>189</v>
      </c>
    </row>
    <row r="6218" spans="1:5" x14ac:dyDescent="0.2">
      <c r="A6218">
        <v>6157</v>
      </c>
      <c r="B6218" s="1832">
        <f>'Assets-Liab 5-6'!J5</f>
        <v>88973</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248272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248272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248272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266325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266325</v>
      </c>
      <c r="D6229" s="2" t="str">
        <f t="shared" si="96"/>
        <v>Error?</v>
      </c>
      <c r="E6229" s="2" t="s">
        <v>189</v>
      </c>
    </row>
    <row r="6230" spans="1:5" x14ac:dyDescent="0.2">
      <c r="A6230">
        <v>6169</v>
      </c>
      <c r="B6230" s="1832">
        <f>'Acct Summary 7-8'!J20</f>
        <v>-18053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-18053</v>
      </c>
      <c r="D6263" s="2" t="str">
        <f t="shared" si="96"/>
        <v>Error?</v>
      </c>
      <c r="E6263" s="2" t="s">
        <v>189</v>
      </c>
    </row>
    <row r="6264" spans="1:5" x14ac:dyDescent="0.2">
      <c r="A6264">
        <v>6203</v>
      </c>
      <c r="B6264" s="1832">
        <f>'Acct Summary 7-8'!J79</f>
        <v>529649</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511596</v>
      </c>
      <c r="D6266" s="2" t="str">
        <f t="shared" si="96"/>
        <v>Error?</v>
      </c>
      <c r="E6266" s="2" t="s">
        <v>189</v>
      </c>
    </row>
    <row r="6267" spans="1:5" x14ac:dyDescent="0.2">
      <c r="A6267">
        <v>6206</v>
      </c>
      <c r="B6267" s="1832">
        <f>'Acct Summary 7-8'!C82</f>
        <v>867819</v>
      </c>
      <c r="D6267" s="2" t="str">
        <f t="shared" si="96"/>
        <v>Error?</v>
      </c>
      <c r="E6267" s="2" t="s">
        <v>189</v>
      </c>
    </row>
    <row r="6268" spans="1:5" x14ac:dyDescent="0.2">
      <c r="A6268">
        <v>6207</v>
      </c>
      <c r="B6268" s="1832">
        <f>'Acct Summary 7-8'!D82</f>
        <v>47480</v>
      </c>
      <c r="D6268" s="2" t="str">
        <f t="shared" si="96"/>
        <v>Error?</v>
      </c>
      <c r="E6268" s="2" t="s">
        <v>189</v>
      </c>
    </row>
    <row r="6269" spans="1:5" x14ac:dyDescent="0.2">
      <c r="A6269">
        <v>6208</v>
      </c>
      <c r="B6269" s="1832">
        <f>'Acct Summary 7-8'!E82</f>
        <v>3930</v>
      </c>
      <c r="D6269" s="2" t="str">
        <f t="shared" si="96"/>
        <v>Error?</v>
      </c>
      <c r="E6269" s="2" t="s">
        <v>189</v>
      </c>
    </row>
    <row r="6270" spans="1:5" x14ac:dyDescent="0.2">
      <c r="A6270">
        <v>6209</v>
      </c>
      <c r="B6270" s="1832">
        <f>'Acct Summary 7-8'!F82</f>
        <v>-21708</v>
      </c>
      <c r="D6270" s="2" t="str">
        <f t="shared" si="96"/>
        <v>Error?</v>
      </c>
      <c r="E6270" s="2" t="s">
        <v>189</v>
      </c>
    </row>
    <row r="6271" spans="1:5" x14ac:dyDescent="0.2">
      <c r="A6271">
        <v>6210</v>
      </c>
      <c r="B6271" s="1832">
        <f>'Acct Summary 7-8'!G82</f>
        <v>19000</v>
      </c>
      <c r="D6271" s="2" t="str">
        <f t="shared" ref="D6271:D6334" si="97">IF(ISBLANK(B6271),"OK",IF(A6271-B6271=0,"OK","Error?"))</f>
        <v>Error?</v>
      </c>
      <c r="E6271" s="2" t="s">
        <v>189</v>
      </c>
    </row>
    <row r="6272" spans="1:5" x14ac:dyDescent="0.2">
      <c r="A6272">
        <v>6211</v>
      </c>
      <c r="B6272" s="1832">
        <f>'Acct Summary 7-8'!H82</f>
        <v>-10974644</v>
      </c>
      <c r="D6272" s="2" t="str">
        <f t="shared" si="97"/>
        <v>Error?</v>
      </c>
      <c r="E6272" s="2" t="s">
        <v>189</v>
      </c>
    </row>
    <row r="6273" spans="1:5" x14ac:dyDescent="0.2">
      <c r="A6273">
        <v>6212</v>
      </c>
      <c r="B6273" s="1832">
        <f>'Acct Summary 7-8'!I82</f>
        <v>87760</v>
      </c>
      <c r="D6273" s="2" t="str">
        <f t="shared" si="97"/>
        <v>Error?</v>
      </c>
      <c r="E6273" s="2" t="s">
        <v>189</v>
      </c>
    </row>
    <row r="6274" spans="1:5" x14ac:dyDescent="0.2">
      <c r="A6274">
        <v>6213</v>
      </c>
      <c r="B6274" s="1832">
        <f>'Acct Summary 7-8'!J82</f>
        <v>-18053</v>
      </c>
      <c r="D6274" s="2" t="str">
        <f t="shared" si="97"/>
        <v>Error?</v>
      </c>
      <c r="E6274" s="2" t="s">
        <v>189</v>
      </c>
    </row>
    <row r="6275" spans="1:5" x14ac:dyDescent="0.2">
      <c r="A6275">
        <v>6214</v>
      </c>
      <c r="B6275" s="1832">
        <f>'Acct Summary 7-8'!K82</f>
        <v>14</v>
      </c>
      <c r="D6275" s="2" t="str">
        <f t="shared" si="97"/>
        <v>Error?</v>
      </c>
      <c r="E6275" s="2" t="s">
        <v>189</v>
      </c>
    </row>
    <row r="6276" spans="1:5" x14ac:dyDescent="0.2">
      <c r="A6276">
        <v>6215</v>
      </c>
      <c r="B6276" s="1832">
        <f>'Acct Summary 7-8'!C83</f>
        <v>0.14448072569757706</v>
      </c>
      <c r="D6276" s="2" t="str">
        <f t="shared" si="97"/>
        <v>Error?</v>
      </c>
      <c r="E6276" s="2" t="s">
        <v>189</v>
      </c>
    </row>
    <row r="6277" spans="1:5" x14ac:dyDescent="0.2">
      <c r="A6277">
        <v>6216</v>
      </c>
      <c r="B6277" s="1832">
        <f>'Acct Summary 7-8'!D83</f>
        <v>7.5786476232128808E-2</v>
      </c>
      <c r="D6277" s="2" t="str">
        <f t="shared" si="97"/>
        <v>Error?</v>
      </c>
      <c r="E6277" s="2" t="s">
        <v>189</v>
      </c>
    </row>
    <row r="6278" spans="1:5" x14ac:dyDescent="0.2">
      <c r="A6278">
        <v>6217</v>
      </c>
      <c r="B6278" s="1832">
        <f>'Acct Summary 7-8'!E83</f>
        <v>4.2282615712349106E-2</v>
      </c>
      <c r="D6278" s="2" t="str">
        <f t="shared" si="97"/>
        <v>Error?</v>
      </c>
      <c r="E6278" s="2" t="s">
        <v>189</v>
      </c>
    </row>
    <row r="6279" spans="1:5" x14ac:dyDescent="0.2">
      <c r="A6279">
        <v>6218</v>
      </c>
      <c r="B6279" s="1832">
        <f>'Acct Summary 7-8'!F83</f>
        <v>-0.13479043775225086</v>
      </c>
      <c r="D6279" s="2" t="str">
        <f t="shared" si="97"/>
        <v>Error?</v>
      </c>
      <c r="E6279" s="2" t="s">
        <v>189</v>
      </c>
    </row>
    <row r="6280" spans="1:5" x14ac:dyDescent="0.2">
      <c r="A6280">
        <v>6219</v>
      </c>
      <c r="B6280" s="1832">
        <f>'Acct Summary 7-8'!G83</f>
        <v>0.15263250911778409</v>
      </c>
      <c r="D6280" s="2" t="str">
        <f t="shared" si="97"/>
        <v>Error?</v>
      </c>
      <c r="E6280" s="2" t="s">
        <v>189</v>
      </c>
    </row>
    <row r="6281" spans="1:5" x14ac:dyDescent="0.2">
      <c r="A6281">
        <v>6220</v>
      </c>
      <c r="B6281" s="1832">
        <f>'Acct Summary 7-8'!H83</f>
        <v>-5.7203161991057776</v>
      </c>
      <c r="D6281" s="2" t="str">
        <f t="shared" si="97"/>
        <v>Error?</v>
      </c>
      <c r="E6281" s="2" t="s">
        <v>189</v>
      </c>
    </row>
    <row r="6282" spans="1:5" x14ac:dyDescent="0.2">
      <c r="A6282">
        <v>6221</v>
      </c>
      <c r="B6282" s="1832">
        <f>'Acct Summary 7-8'!I83</f>
        <v>0.10851421095973747</v>
      </c>
      <c r="D6282" s="2" t="str">
        <f t="shared" si="97"/>
        <v>Error?</v>
      </c>
      <c r="E6282" s="2" t="s">
        <v>189</v>
      </c>
    </row>
    <row r="6283" spans="1:5" x14ac:dyDescent="0.2">
      <c r="A6283">
        <v>6222</v>
      </c>
      <c r="B6283" s="1832">
        <f>'Acct Summary 7-8'!J83</f>
        <v>-3.5287609754571965E-2</v>
      </c>
      <c r="D6283" s="2" t="str">
        <f t="shared" si="97"/>
        <v>Error?</v>
      </c>
      <c r="E6283" s="2" t="s">
        <v>189</v>
      </c>
    </row>
    <row r="6284" spans="1:5" x14ac:dyDescent="0.2">
      <c r="A6284">
        <v>6223</v>
      </c>
      <c r="B6284" s="1832">
        <f>'Acct Summary 7-8'!K83</f>
        <v>6.965174129353234E-2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245666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245666</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2606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2606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4606</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248272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5256</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98529</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923977</v>
      </c>
      <c r="D6983" s="2" t="str">
        <f t="shared" si="108"/>
        <v>Error?</v>
      </c>
    </row>
    <row r="6984" spans="1:4" x14ac:dyDescent="0.2">
      <c r="A6984">
        <v>6923</v>
      </c>
      <c r="B6984" s="1832">
        <f>'Expenditures 15-22'!K86</f>
        <v>923977</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923977</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266325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248272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999</v>
      </c>
      <c r="D7079" s="2" t="str">
        <f t="shared" si="109"/>
        <v>Error?</v>
      </c>
    </row>
    <row r="7080" spans="1:4" x14ac:dyDescent="0.2">
      <c r="A7080">
        <v>7019</v>
      </c>
      <c r="B7080" s="1832">
        <f>'Expenditures 15-22'!K226</f>
        <v>999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76446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76446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443</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443</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121542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121542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16459</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16459</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51435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51435</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266325</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266325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266325</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266325</v>
      </c>
      <c r="D7224" s="2" t="str">
        <f t="shared" si="111"/>
        <v>Error?</v>
      </c>
    </row>
    <row r="7225" spans="1:4" x14ac:dyDescent="0.2">
      <c r="A7225">
        <v>7164</v>
      </c>
      <c r="B7225" s="1832">
        <f>'Expenditures 15-22'!K343</f>
        <v>-18053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69332</v>
      </c>
      <c r="D7263" s="2" t="str">
        <f t="shared" si="112"/>
        <v>Error?</v>
      </c>
    </row>
    <row r="7264" spans="1:4" x14ac:dyDescent="0.2">
      <c r="A7264">
        <f t="shared" si="113"/>
        <v>7203</v>
      </c>
      <c r="B7264" s="1832">
        <f>'Expenditures 15-22'!D17</f>
        <v>20752</v>
      </c>
      <c r="D7264" s="2" t="str">
        <f t="shared" si="112"/>
        <v>Error?</v>
      </c>
    </row>
    <row r="7265" spans="1:5" x14ac:dyDescent="0.2">
      <c r="A7265">
        <f t="shared" si="113"/>
        <v>7204</v>
      </c>
      <c r="B7265" s="1832">
        <f>'Expenditures 15-22'!E17</f>
        <v>4106</v>
      </c>
      <c r="D7265" s="2" t="str">
        <f t="shared" si="112"/>
        <v>Error?</v>
      </c>
    </row>
    <row r="7266" spans="1:5" x14ac:dyDescent="0.2">
      <c r="A7266">
        <f t="shared" si="113"/>
        <v>7205</v>
      </c>
      <c r="B7266" s="1832">
        <f>'Expenditures 15-22'!F17</f>
        <v>4339</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1094533</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4606</v>
      </c>
      <c r="D7712" s="2" t="str">
        <f t="shared" si="126"/>
        <v>Error?</v>
      </c>
      <c r="E7712" s="2" t="s">
        <v>822</v>
      </c>
    </row>
    <row r="7713" spans="1:6" x14ac:dyDescent="0.2">
      <c r="A7713">
        <v>7652</v>
      </c>
      <c r="B7713" s="1832">
        <f>'Rest Tax Levies-Tort Im 25'!J8</f>
        <v>8297</v>
      </c>
      <c r="D7713" s="2" t="str">
        <f t="shared" si="126"/>
        <v>Error?</v>
      </c>
      <c r="E7713" s="2" t="s">
        <v>822</v>
      </c>
    </row>
    <row r="7714" spans="1:6" x14ac:dyDescent="0.2">
      <c r="A7714">
        <v>7653</v>
      </c>
      <c r="B7714" s="1832">
        <f>'Rest Tax Levies-Tort Im 25'!K9</f>
        <v>14430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8297</v>
      </c>
      <c r="D7718" s="2" t="str">
        <f t="shared" si="126"/>
        <v>Error?</v>
      </c>
      <c r="E7718" s="2" t="s">
        <v>822</v>
      </c>
    </row>
    <row r="7719" spans="1:6" x14ac:dyDescent="0.2">
      <c r="A7719">
        <v>7658</v>
      </c>
      <c r="B7719" s="1832">
        <f>'Rest Tax Levies-Tort Im 25'!K12</f>
        <v>19036</v>
      </c>
      <c r="D7719" s="2" t="str">
        <f t="shared" si="126"/>
        <v>Error?</v>
      </c>
      <c r="E7719" s="2" t="s">
        <v>822</v>
      </c>
    </row>
    <row r="7720" spans="1:6" x14ac:dyDescent="0.2">
      <c r="A7720">
        <v>7659</v>
      </c>
      <c r="B7720" s="1832">
        <f>'Rest Tax Levies-Tort Im 25'!H14</f>
        <v>65486</v>
      </c>
      <c r="D7720" s="2" t="str">
        <f t="shared" si="126"/>
        <v>Error?</v>
      </c>
      <c r="E7720" s="2" t="s">
        <v>822</v>
      </c>
    </row>
    <row r="7721" spans="1:6" x14ac:dyDescent="0.2">
      <c r="A7721">
        <v>7660</v>
      </c>
      <c r="B7721" s="1832">
        <f>'Rest Tax Levies-Tort Im 25'!K14</f>
        <v>19036</v>
      </c>
      <c r="D7721" s="2" t="str">
        <f t="shared" si="126"/>
        <v>Error?</v>
      </c>
      <c r="E7721" s="2" t="s">
        <v>822</v>
      </c>
    </row>
    <row r="7722" spans="1:6" x14ac:dyDescent="0.2">
      <c r="A7722">
        <v>7661</v>
      </c>
      <c r="B7722" s="1832">
        <f>'Rest Tax Levies-Tort Im 25'!J15</f>
        <v>8297</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8297</v>
      </c>
      <c r="D7730" s="2" t="str">
        <f t="shared" si="126"/>
        <v>Error?</v>
      </c>
      <c r="E7730" s="2" t="s">
        <v>822</v>
      </c>
    </row>
    <row r="7731" spans="1:6" x14ac:dyDescent="0.2">
      <c r="A7731">
        <v>7670</v>
      </c>
      <c r="B7731" s="1832">
        <f>'Revenues 9-14'!H103</f>
        <v>8297</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19036</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38480000</v>
      </c>
      <c r="D7817" s="2" t="str">
        <f t="shared" si="128"/>
        <v>Error?</v>
      </c>
      <c r="E7817" s="4" t="s">
        <v>1963</v>
      </c>
    </row>
    <row r="7818" spans="1:5" x14ac:dyDescent="0.2">
      <c r="A7818">
        <v>7757</v>
      </c>
      <c r="B7818" s="1832">
        <f>'PCTC-OEPP 27-28'!F172</f>
        <v>493404</v>
      </c>
      <c r="D7818" s="2" t="str">
        <f t="shared" si="128"/>
        <v>Error?</v>
      </c>
      <c r="E7818" s="4" t="s">
        <v>1977</v>
      </c>
    </row>
    <row r="7819" spans="1:5" x14ac:dyDescent="0.2">
      <c r="A7819">
        <v>7758</v>
      </c>
      <c r="B7819" s="1832">
        <f>'PCTC-OEPP 27-28'!F173</f>
        <v>1291</v>
      </c>
      <c r="D7819" s="2" t="str">
        <f t="shared" si="128"/>
        <v>Error?</v>
      </c>
      <c r="E7819" s="4" t="s">
        <v>1977</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16756453</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0</v>
      </c>
      <c r="D7826" s="2" t="str">
        <f t="shared" si="129"/>
        <v>Error?</v>
      </c>
      <c r="E7826" s="4" t="s">
        <v>1995</v>
      </c>
    </row>
    <row r="7827" spans="1:5" x14ac:dyDescent="0.2">
      <c r="A7827">
        <v>7766</v>
      </c>
      <c r="B7827" s="1832">
        <f>'PCTC-OEPP 27-28'!F35</f>
        <v>0</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20322</v>
      </c>
      <c r="D7830" s="2" t="str">
        <f t="shared" si="129"/>
        <v>Error?</v>
      </c>
      <c r="E7830" s="4" t="s">
        <v>1995</v>
      </c>
    </row>
    <row r="7831" spans="1:5" x14ac:dyDescent="0.2">
      <c r="A7831">
        <v>7770</v>
      </c>
      <c r="B7831" s="1832">
        <f>'PCTC-OEPP 27-28'!F52</f>
        <v>5520</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2032969</v>
      </c>
      <c r="D7834" s="2" t="str">
        <f t="shared" si="129"/>
        <v>Error?</v>
      </c>
      <c r="E7834" s="4" t="s">
        <v>1995</v>
      </c>
    </row>
    <row r="7835" spans="1:5" x14ac:dyDescent="0.2">
      <c r="A7835">
        <v>7774</v>
      </c>
      <c r="B7835" s="1832">
        <f>'PCTC-OEPP 27-28'!F78</f>
        <v>14723484</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f>'PCTC-OEPP 27-28'!F80</f>
        <v>11264.236860224926</v>
      </c>
      <c r="D7837" s="2" t="str">
        <f t="shared" si="129"/>
        <v>Error?</v>
      </c>
      <c r="E7837" s="4" t="s">
        <v>1995</v>
      </c>
    </row>
    <row r="7838" spans="1:5" x14ac:dyDescent="0.2">
      <c r="A7838">
        <v>7777</v>
      </c>
      <c r="B7838" s="1832">
        <f>'PCTC-OEPP 27-28'!F96</f>
        <v>59197</v>
      </c>
      <c r="D7838" s="2" t="str">
        <f t="shared" si="129"/>
        <v>Error?</v>
      </c>
      <c r="E7838" s="4" t="s">
        <v>1995</v>
      </c>
    </row>
    <row r="7839" spans="1:5" x14ac:dyDescent="0.2">
      <c r="A7839">
        <v>7778</v>
      </c>
      <c r="B7839" s="1832">
        <f>'PCTC-OEPP 27-28'!F102</f>
        <v>7200</v>
      </c>
      <c r="D7839" s="2" t="str">
        <f t="shared" si="129"/>
        <v>Error?</v>
      </c>
      <c r="E7839" s="4" t="s">
        <v>1995</v>
      </c>
    </row>
    <row r="7840" spans="1:5" x14ac:dyDescent="0.2">
      <c r="A7840">
        <v>7779</v>
      </c>
      <c r="B7840" s="1832">
        <f>'PCTC-OEPP 27-28'!F103</f>
        <v>0</v>
      </c>
      <c r="D7840" s="2" t="str">
        <f t="shared" si="129"/>
        <v>Error?</v>
      </c>
      <c r="E7840" s="4" t="s">
        <v>1995</v>
      </c>
    </row>
    <row r="7841" spans="1:5" x14ac:dyDescent="0.2">
      <c r="A7841">
        <v>7780</v>
      </c>
      <c r="B7841" s="1832">
        <f>'PCTC-OEPP 27-28'!F104</f>
        <v>0</v>
      </c>
      <c r="D7841" s="2" t="str">
        <f t="shared" si="129"/>
        <v>Error?</v>
      </c>
      <c r="E7841" s="4" t="s">
        <v>1995</v>
      </c>
    </row>
    <row r="7842" spans="1:5" x14ac:dyDescent="0.2">
      <c r="A7842">
        <v>7781</v>
      </c>
      <c r="B7842" s="1832">
        <f>'PCTC-OEPP 27-28'!F106</f>
        <v>211585</v>
      </c>
      <c r="D7842" s="2" t="str">
        <f t="shared" si="129"/>
        <v>Error?</v>
      </c>
      <c r="E7842" s="4" t="s">
        <v>1995</v>
      </c>
    </row>
    <row r="7843" spans="1:5" x14ac:dyDescent="0.2">
      <c r="A7843">
        <v>7782</v>
      </c>
      <c r="B7843" s="1832">
        <f>'PCTC-OEPP 27-28'!F107</f>
        <v>30940</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14430</v>
      </c>
      <c r="D7846" s="2" t="str">
        <f t="shared" si="129"/>
        <v>Error?</v>
      </c>
      <c r="E7846" s="4" t="s">
        <v>1995</v>
      </c>
    </row>
    <row r="7847" spans="1:5" x14ac:dyDescent="0.2">
      <c r="A7847">
        <v>7786</v>
      </c>
      <c r="B7847" s="1832">
        <f>'PCTC-OEPP 27-28'!F112</f>
        <v>446726</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0</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373005</v>
      </c>
      <c r="D7858" s="2" t="str">
        <f t="shared" si="129"/>
        <v>Error?</v>
      </c>
      <c r="E7858" s="4" t="s">
        <v>1995</v>
      </c>
    </row>
    <row r="7859" spans="1:5" x14ac:dyDescent="0.2">
      <c r="A7859">
        <v>7798</v>
      </c>
      <c r="B7859" s="1832">
        <f>'PCTC-OEPP 27-28'!F127</f>
        <v>273129</v>
      </c>
      <c r="D7859" s="2" t="str">
        <f t="shared" si="129"/>
        <v>Error?</v>
      </c>
      <c r="E7859" s="4" t="s">
        <v>1995</v>
      </c>
    </row>
    <row r="7860" spans="1:5" x14ac:dyDescent="0.2">
      <c r="A7860">
        <v>7799</v>
      </c>
      <c r="B7860" s="1832">
        <f>'PCTC-OEPP 27-28'!F128</f>
        <v>7240</v>
      </c>
      <c r="D7860" s="2" t="str">
        <f t="shared" si="129"/>
        <v>Error?</v>
      </c>
      <c r="E7860" s="4" t="s">
        <v>1995</v>
      </c>
    </row>
    <row r="7861" spans="1:5" x14ac:dyDescent="0.2">
      <c r="A7861">
        <v>7800</v>
      </c>
      <c r="B7861" s="1832">
        <f>'PCTC-OEPP 27-28'!F129</f>
        <v>306258</v>
      </c>
      <c r="D7861" s="2" t="str">
        <f t="shared" si="129"/>
        <v>Error?</v>
      </c>
      <c r="E7861" s="4" t="s">
        <v>1995</v>
      </c>
    </row>
    <row r="7862" spans="1:5" x14ac:dyDescent="0.2">
      <c r="A7862">
        <v>7801</v>
      </c>
      <c r="B7862" s="1832">
        <f>'PCTC-OEPP 27-28'!F130</f>
        <v>0</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0</v>
      </c>
      <c r="D7865" s="2" t="str">
        <f t="shared" si="129"/>
        <v>Error?</v>
      </c>
      <c r="E7865" s="4" t="s">
        <v>1995</v>
      </c>
    </row>
    <row r="7866" spans="1:5" x14ac:dyDescent="0.2">
      <c r="A7866">
        <v>7805</v>
      </c>
      <c r="B7866" s="1832">
        <f>'PCTC-OEPP 27-28'!F158</f>
        <v>0</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0</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0</v>
      </c>
      <c r="D7871" s="2" t="str">
        <f t="shared" si="129"/>
        <v>Error?</v>
      </c>
      <c r="E7871" s="4" t="s">
        <v>1995</v>
      </c>
    </row>
    <row r="7872" spans="1:5" x14ac:dyDescent="0.2">
      <c r="A7872">
        <v>7811</v>
      </c>
      <c r="B7872" s="1832">
        <f>'PCTC-OEPP 27-28'!F165</f>
        <v>60769</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4680</v>
      </c>
      <c r="D7874" s="2" t="str">
        <f t="shared" si="129"/>
        <v>Error?</v>
      </c>
      <c r="E7874" s="4" t="s">
        <v>1995</v>
      </c>
    </row>
    <row r="7875" spans="1:5" x14ac:dyDescent="0.2">
      <c r="A7875">
        <v>7814</v>
      </c>
      <c r="B7875" s="1832">
        <f>'PCTC-OEPP 27-28'!F170</f>
        <v>17542</v>
      </c>
      <c r="D7875" s="2" t="str">
        <f t="shared" si="129"/>
        <v>Error?</v>
      </c>
      <c r="E7875" s="4" t="s">
        <v>1995</v>
      </c>
    </row>
    <row r="7876" spans="1:5" x14ac:dyDescent="0.2">
      <c r="A7876">
        <v>7815</v>
      </c>
      <c r="B7876" s="1832">
        <f>'PCTC-OEPP 27-28'!F171</f>
        <v>0</v>
      </c>
      <c r="D7876" s="2" t="str">
        <f t="shared" si="129"/>
        <v>Error?</v>
      </c>
      <c r="E7876" s="4" t="s">
        <v>1995</v>
      </c>
    </row>
    <row r="7877" spans="1:5" x14ac:dyDescent="0.2">
      <c r="A7877">
        <v>7816</v>
      </c>
      <c r="B7877" s="1832">
        <f>'PCTC-OEPP 27-28'!F175</f>
        <v>2613573</v>
      </c>
      <c r="D7877" s="2" t="str">
        <f t="shared" si="129"/>
        <v>Error?</v>
      </c>
      <c r="E7877" s="4" t="s">
        <v>1995</v>
      </c>
    </row>
    <row r="7878" spans="1:5" x14ac:dyDescent="0.2">
      <c r="A7878">
        <v>7817</v>
      </c>
      <c r="B7878" s="1832">
        <f>'PCTC-OEPP 27-28'!F176</f>
        <v>12109911</v>
      </c>
      <c r="D7878" s="2" t="str">
        <f t="shared" si="129"/>
        <v>Error?</v>
      </c>
      <c r="E7878" s="4" t="s">
        <v>1995</v>
      </c>
    </row>
    <row r="7879" spans="1:5" x14ac:dyDescent="0.2">
      <c r="A7879">
        <v>7818</v>
      </c>
      <c r="B7879" s="1832">
        <f>'PCTC-OEPP 27-28'!F178</f>
        <v>13204444</v>
      </c>
      <c r="D7879" s="2" t="str">
        <f t="shared" si="129"/>
        <v>Error?</v>
      </c>
      <c r="E7879" s="4" t="s">
        <v>1995</v>
      </c>
    </row>
    <row r="7880" spans="1:5" x14ac:dyDescent="0.2">
      <c r="A7880">
        <v>7819</v>
      </c>
      <c r="B7880" s="1832">
        <f>'PCTC-OEPP 27-28'!F180</f>
        <v>10102.09165327825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6" t="s">
        <v>1181</v>
      </c>
      <c r="B2" s="2536"/>
      <c r="C2" s="2536"/>
      <c r="D2" s="2536"/>
      <c r="E2" s="2536"/>
      <c r="F2" s="2536"/>
      <c r="G2" s="2536"/>
      <c r="H2" s="2536"/>
      <c r="I2" s="2536"/>
      <c r="J2" s="2536"/>
      <c r="K2" s="2536"/>
      <c r="L2" s="2536"/>
    </row>
    <row r="3" spans="1:29" ht="13.5" customHeight="1" x14ac:dyDescent="0.2">
      <c r="A3" s="2522" t="s">
        <v>1180</v>
      </c>
      <c r="B3" s="2522"/>
      <c r="C3" s="2522"/>
      <c r="D3" s="2522"/>
      <c r="E3" s="2522"/>
      <c r="F3" s="2522"/>
      <c r="G3" s="2522"/>
      <c r="H3" s="2522"/>
      <c r="I3" s="2522"/>
      <c r="J3" s="2522"/>
      <c r="K3" s="2522"/>
      <c r="L3" s="2522"/>
    </row>
    <row r="4" spans="1:29" ht="13.5" customHeight="1" x14ac:dyDescent="0.2">
      <c r="A4" s="2553" t="str">
        <f>"Year Ending June 30, "&amp;'AFR20'!E2</f>
        <v>Year Ending June 30, 2020</v>
      </c>
      <c r="B4" s="2554"/>
      <c r="C4" s="2554"/>
      <c r="D4" s="2554"/>
      <c r="E4" s="2554"/>
      <c r="F4" s="2554"/>
      <c r="G4" s="2554"/>
      <c r="H4" s="2554"/>
      <c r="I4" s="2554"/>
      <c r="J4" s="2554"/>
      <c r="K4" s="2554"/>
      <c r="L4" s="255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6" t="str">
        <f>COVER!A17</f>
        <v xml:space="preserve">  Paxton-Buckley-Loda CUD 10</v>
      </c>
      <c r="B7" s="2517"/>
      <c r="C7" s="2517"/>
      <c r="D7" s="2555"/>
      <c r="E7" s="2556">
        <f>COVER!A13</f>
        <v>9027010026</v>
      </c>
      <c r="F7" s="2557"/>
      <c r="G7" s="2523">
        <f>COVER!T23</f>
        <v>65.018319000000005</v>
      </c>
      <c r="H7" s="2524"/>
      <c r="I7" s="2524"/>
      <c r="J7" s="2524"/>
      <c r="K7" s="2524"/>
      <c r="L7" s="2525"/>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6"/>
      <c r="B9" s="2527"/>
      <c r="C9" s="2527"/>
      <c r="D9" s="2527"/>
      <c r="E9" s="2527"/>
      <c r="F9" s="2528"/>
      <c r="G9" s="2529" t="str">
        <f>COVER!T13</f>
        <v>RUSSELL LEIGH &amp; ASSOCIATES LLC</v>
      </c>
      <c r="H9" s="2530"/>
      <c r="I9" s="2530"/>
      <c r="J9" s="2530"/>
      <c r="K9" s="2530"/>
      <c r="L9" s="2531"/>
    </row>
    <row r="10" spans="1:29" ht="13.5" customHeight="1" x14ac:dyDescent="0.2">
      <c r="A10" s="2513" t="str">
        <f>COVER!A38</f>
        <v>Cliff McClure</v>
      </c>
      <c r="B10" s="2514"/>
      <c r="C10" s="2514"/>
      <c r="D10" s="2514"/>
      <c r="E10" s="2514"/>
      <c r="F10" s="2515"/>
      <c r="G10" s="2529" t="str">
        <f>COVER!T17</f>
        <v>228 E MAIN ST</v>
      </c>
      <c r="H10" s="2542"/>
      <c r="I10" s="2542"/>
      <c r="J10" s="2542"/>
      <c r="K10" s="2542"/>
      <c r="L10" s="2543"/>
    </row>
    <row r="11" spans="1:29" ht="13.5" customHeight="1" x14ac:dyDescent="0.2">
      <c r="A11" s="963" t="s">
        <v>1502</v>
      </c>
      <c r="B11" s="964"/>
      <c r="C11" s="965"/>
      <c r="D11" s="970"/>
      <c r="E11" s="965"/>
      <c r="F11" s="969"/>
      <c r="G11" s="2529" t="str">
        <f>COVER!T19</f>
        <v>HOOPESTON</v>
      </c>
      <c r="H11" s="2542"/>
      <c r="I11" s="2542"/>
      <c r="J11" s="2542"/>
      <c r="K11" s="2542"/>
      <c r="L11" s="2543"/>
    </row>
    <row r="12" spans="1:29" ht="13.5" customHeight="1" x14ac:dyDescent="0.2">
      <c r="A12" s="2547" t="s">
        <v>1501</v>
      </c>
      <c r="B12" s="2548"/>
      <c r="C12" s="2548"/>
      <c r="D12" s="2548"/>
      <c r="E12" s="2548"/>
      <c r="F12" s="2549"/>
      <c r="G12" s="2544"/>
      <c r="H12" s="2545"/>
      <c r="I12" s="2545"/>
      <c r="J12" s="2545"/>
      <c r="K12" s="2545"/>
      <c r="L12" s="2546"/>
    </row>
    <row r="13" spans="1:29" ht="13.5" customHeight="1" x14ac:dyDescent="0.2">
      <c r="A13" s="2529"/>
      <c r="B13" s="2542"/>
      <c r="C13" s="2542"/>
      <c r="D13" s="2542"/>
      <c r="E13" s="2542"/>
      <c r="F13" s="2543"/>
      <c r="G13" s="2537" t="s">
        <v>1503</v>
      </c>
      <c r="H13" s="2538"/>
      <c r="I13" s="2550" t="str">
        <f>COVER!T25</f>
        <v>admin@russleigh.com</v>
      </c>
      <c r="J13" s="2551"/>
      <c r="K13" s="2551"/>
      <c r="L13" s="2552"/>
    </row>
    <row r="14" spans="1:29" ht="13.5" customHeight="1" x14ac:dyDescent="0.2">
      <c r="A14" s="2529" t="str">
        <f>COVER!A19</f>
        <v>PO BOX 50</v>
      </c>
      <c r="B14" s="2542"/>
      <c r="C14" s="2542"/>
      <c r="D14" s="2542"/>
      <c r="E14" s="2542"/>
      <c r="F14" s="2543"/>
      <c r="G14" s="974" t="s">
        <v>1175</v>
      </c>
      <c r="H14" s="972"/>
      <c r="I14" s="972"/>
      <c r="J14" s="972"/>
      <c r="K14" s="972"/>
      <c r="L14" s="973"/>
    </row>
    <row r="15" spans="1:29" ht="13.5" customHeight="1" x14ac:dyDescent="0.2">
      <c r="A15" s="2529" t="str">
        <f>COVER!A21</f>
        <v>PAXTON</v>
      </c>
      <c r="B15" s="2542"/>
      <c r="C15" s="2542"/>
      <c r="D15" s="2542"/>
      <c r="E15" s="2542"/>
      <c r="F15" s="2543"/>
      <c r="G15" s="2539" t="str">
        <f>COVER!T15</f>
        <v>RUSS LEIGH</v>
      </c>
      <c r="H15" s="2540"/>
      <c r="I15" s="2540"/>
      <c r="J15" s="2540"/>
      <c r="K15" s="2540"/>
      <c r="L15" s="2541"/>
    </row>
    <row r="16" spans="1:29" ht="12.2" customHeight="1" x14ac:dyDescent="0.2">
      <c r="A16" s="2519">
        <f>COVER!A25</f>
        <v>60957</v>
      </c>
      <c r="B16" s="2520"/>
      <c r="C16" s="2520"/>
      <c r="D16" s="2520"/>
      <c r="E16" s="2520"/>
      <c r="F16" s="2521"/>
      <c r="G16" s="2532"/>
      <c r="H16" s="2533"/>
      <c r="I16" s="2533"/>
      <c r="J16" s="2533"/>
      <c r="K16" s="2533"/>
      <c r="L16" s="2534"/>
    </row>
    <row r="17" spans="1:13" ht="12.2" customHeight="1" x14ac:dyDescent="0.2">
      <c r="A17" s="2535"/>
      <c r="B17" s="2520"/>
      <c r="C17" s="2520"/>
      <c r="D17" s="2520"/>
      <c r="E17" s="2520"/>
      <c r="F17" s="2521"/>
      <c r="G17" s="974" t="s">
        <v>1174</v>
      </c>
      <c r="H17" s="972"/>
      <c r="I17" s="972"/>
      <c r="J17" s="972"/>
      <c r="K17" s="976" t="s">
        <v>1173</v>
      </c>
      <c r="L17" s="969"/>
      <c r="M17" s="962"/>
    </row>
    <row r="18" spans="1:13" ht="12.2" customHeight="1" x14ac:dyDescent="0.2">
      <c r="A18" s="2513"/>
      <c r="B18" s="2514"/>
      <c r="C18" s="2514"/>
      <c r="D18" s="2514"/>
      <c r="E18" s="2514"/>
      <c r="F18" s="2515"/>
      <c r="G18" s="2516" t="str">
        <f>COVER!T21</f>
        <v>217-283-9336</v>
      </c>
      <c r="H18" s="2517"/>
      <c r="I18" s="2517"/>
      <c r="J18" s="2517"/>
      <c r="K18" s="2516" t="str">
        <f>COVER!X21</f>
        <v>217-283-9736</v>
      </c>
      <c r="L18" s="251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8" t="str">
        <f>'Single Audit Cover'!A7</f>
        <v xml:space="preserve">  Paxton-Buckley-Loda CUD 10</v>
      </c>
      <c r="B1" s="2559"/>
      <c r="C1" s="2559"/>
      <c r="D1" s="2559"/>
    </row>
    <row r="2" spans="1:11" s="991" customFormat="1" ht="12.75" x14ac:dyDescent="0.2">
      <c r="A2" s="2560">
        <f>'Single Audit Cover'!E7</f>
        <v>9027010026</v>
      </c>
      <c r="B2" s="2561"/>
      <c r="C2" s="2561"/>
      <c r="D2" s="2561"/>
    </row>
    <row r="3" spans="1:11" s="991" customFormat="1" ht="12.75" x14ac:dyDescent="0.2">
      <c r="A3" s="2558" t="s">
        <v>1496</v>
      </c>
      <c r="B3" s="2559"/>
      <c r="C3" s="2559"/>
      <c r="D3" s="255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3" t="str">
        <f>'Single Audit Cover'!A7</f>
        <v xml:space="preserve">  Paxton-Buckley-Loda CUD 10</v>
      </c>
      <c r="B1" s="2563"/>
      <c r="C1" s="2563"/>
      <c r="D1" s="2563"/>
      <c r="E1" s="2563"/>
    </row>
    <row r="2" spans="1:5" x14ac:dyDescent="0.2">
      <c r="A2" s="2564">
        <f>'Single Audit Cover'!E7</f>
        <v>9027010026</v>
      </c>
      <c r="B2" s="2564"/>
      <c r="C2" s="2564"/>
      <c r="D2" s="2564"/>
      <c r="E2" s="2564"/>
    </row>
    <row r="3" spans="1:5" ht="4.5" customHeight="1" x14ac:dyDescent="0.2"/>
    <row r="4" spans="1:5" x14ac:dyDescent="0.2">
      <c r="A4" s="2563" t="s">
        <v>1234</v>
      </c>
      <c r="B4" s="2563"/>
      <c r="C4" s="2563"/>
      <c r="D4" s="2563"/>
      <c r="E4" s="2563"/>
    </row>
    <row r="5" spans="1:5" x14ac:dyDescent="0.2">
      <c r="A5" s="2566" t="str">
        <f>'Single Audit Cover'!A4</f>
        <v>Year Ending June 30, 2020</v>
      </c>
      <c r="B5" s="2566"/>
      <c r="C5" s="2566"/>
      <c r="D5" s="2566"/>
      <c r="E5" s="2566"/>
    </row>
    <row r="6" spans="1:5" x14ac:dyDescent="0.2">
      <c r="A6" s="2563" t="s">
        <v>1233</v>
      </c>
      <c r="B6" s="2563"/>
      <c r="C6" s="2563"/>
      <c r="D6" s="2563"/>
      <c r="E6" s="2563"/>
    </row>
    <row r="8" spans="1:5" x14ac:dyDescent="0.2">
      <c r="A8" s="1036" t="s">
        <v>1232</v>
      </c>
    </row>
    <row r="10" spans="1:5" x14ac:dyDescent="0.2">
      <c r="A10" s="1037" t="s">
        <v>1231</v>
      </c>
      <c r="B10" s="1038" t="s">
        <v>1230</v>
      </c>
      <c r="C10" s="1038"/>
      <c r="D10" s="1039">
        <f>SUM('Acct Summary 7-8'!C7:K7)</f>
        <v>1042623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38526</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-17542</v>
      </c>
    </row>
    <row r="19" spans="1:4" ht="13.5" thickBot="1" x14ac:dyDescent="0.25">
      <c r="A19" s="1041" t="s">
        <v>1224</v>
      </c>
      <c r="D19" s="1042">
        <f>SUM(D10:D17)</f>
        <v>1063607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5"/>
      <c r="B24" s="2565"/>
      <c r="D24" s="1044"/>
    </row>
    <row r="25" spans="1:4" x14ac:dyDescent="0.2">
      <c r="A25" s="2562"/>
      <c r="B25" s="2562"/>
      <c r="D25" s="1044"/>
    </row>
    <row r="26" spans="1:4" x14ac:dyDescent="0.2">
      <c r="A26" s="2562"/>
      <c r="B26" s="2562"/>
      <c r="D26" s="1044"/>
    </row>
    <row r="27" spans="1:4" x14ac:dyDescent="0.2">
      <c r="A27" s="2562"/>
      <c r="B27" s="2562"/>
      <c r="D27" s="1044"/>
    </row>
    <row r="28" spans="1:4" x14ac:dyDescent="0.2">
      <c r="A28" s="2562"/>
      <c r="B28" s="2562"/>
      <c r="D28" s="1044"/>
    </row>
    <row r="29" spans="1:4" x14ac:dyDescent="0.2">
      <c r="A29" s="2562"/>
      <c r="B29" s="2562"/>
      <c r="D29" s="1044"/>
    </row>
    <row r="30" spans="1:4" x14ac:dyDescent="0.2">
      <c r="A30" s="2562"/>
      <c r="B30" s="2562"/>
      <c r="D30" s="1044"/>
    </row>
    <row r="32" spans="1:4" x14ac:dyDescent="0.2">
      <c r="A32" s="1036" t="s">
        <v>1222</v>
      </c>
      <c r="D32" s="1039">
        <f>SUM(D19:D30)</f>
        <v>1063607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2"/>
      <c r="B40" s="2562"/>
      <c r="D40" s="1044"/>
    </row>
    <row r="41" spans="1:4" x14ac:dyDescent="0.2">
      <c r="A41" s="2562"/>
      <c r="B41" s="2562"/>
      <c r="D41" s="1047"/>
    </row>
    <row r="42" spans="1:4" x14ac:dyDescent="0.2">
      <c r="A42" s="2562"/>
      <c r="B42" s="2562"/>
      <c r="D42" s="1047"/>
    </row>
    <row r="43" spans="1:4" x14ac:dyDescent="0.2">
      <c r="A43" s="2562"/>
      <c r="B43" s="2562"/>
      <c r="D43" s="1047"/>
    </row>
    <row r="44" spans="1:4" x14ac:dyDescent="0.2">
      <c r="A44" s="2562"/>
      <c r="B44" s="2562"/>
      <c r="D44" s="1047"/>
    </row>
    <row r="45" spans="1:4" x14ac:dyDescent="0.2">
      <c r="A45" s="2562"/>
      <c r="B45" s="2562"/>
      <c r="D45" s="1047"/>
    </row>
    <row r="47" spans="1:4" x14ac:dyDescent="0.2">
      <c r="B47" s="1048" t="s">
        <v>1216</v>
      </c>
      <c r="C47" s="1048"/>
      <c r="D47" s="1049">
        <f>SUM(D35:D45)</f>
        <v>0</v>
      </c>
    </row>
    <row r="49" spans="2:4" x14ac:dyDescent="0.2">
      <c r="B49" s="1048" t="s">
        <v>1215</v>
      </c>
      <c r="C49" s="1048"/>
      <c r="D49" s="1049">
        <f>D32-D47</f>
        <v>1063607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3B91-B547-415A-BA23-347E307E4009}">
  <dimension ref="B1:N152"/>
  <sheetViews>
    <sheetView showGridLines="0" topLeftCell="A19" zoomScaleNormal="100" workbookViewId="0">
      <selection activeCell="B27" sqref="B27"/>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Paxton-Buckley-Loda CUD 10</v>
      </c>
      <c r="C1" s="2567"/>
      <c r="D1" s="2567"/>
      <c r="E1" s="2567"/>
      <c r="F1" s="2567"/>
      <c r="G1" s="2567"/>
      <c r="H1" s="2567"/>
      <c r="I1" s="2567"/>
      <c r="J1" s="2567"/>
      <c r="K1" s="2567"/>
      <c r="L1" s="2567"/>
      <c r="M1" s="2567"/>
    </row>
    <row r="2" spans="2:14" ht="15" x14ac:dyDescent="0.2">
      <c r="B2" s="2568">
        <f>'Single Audit Cover'!E7</f>
        <v>9027010026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2082</v>
      </c>
      <c r="C11" s="1821"/>
      <c r="D11" s="1822"/>
      <c r="E11" s="1823"/>
      <c r="F11" s="1823"/>
      <c r="G11" s="1823"/>
      <c r="H11" s="1823"/>
      <c r="I11" s="1823"/>
      <c r="J11" s="1823"/>
      <c r="K11" s="1823"/>
      <c r="L11" s="1823">
        <f>+G11+I11+K11</f>
        <v>0</v>
      </c>
      <c r="M11" s="1823"/>
    </row>
    <row r="12" spans="2:14" ht="20.100000000000001" customHeight="1" x14ac:dyDescent="0.2">
      <c r="B12" s="1113" t="s">
        <v>2083</v>
      </c>
      <c r="C12" s="1824"/>
      <c r="D12" s="1825"/>
      <c r="E12" s="1826"/>
      <c r="F12" s="1826"/>
      <c r="G12" s="1826"/>
      <c r="H12" s="1826"/>
      <c r="I12" s="1826"/>
      <c r="J12" s="1826"/>
      <c r="K12" s="1826"/>
      <c r="L12" s="1823">
        <f t="shared" ref="L12:L27" si="0">+G12+I12+K12</f>
        <v>0</v>
      </c>
      <c r="M12" s="1826"/>
    </row>
    <row r="13" spans="2:14" ht="20.100000000000001" customHeight="1" x14ac:dyDescent="0.2">
      <c r="B13" s="1113" t="s">
        <v>2125</v>
      </c>
      <c r="C13" s="1824">
        <v>10.555</v>
      </c>
      <c r="D13" s="1825">
        <v>4210</v>
      </c>
      <c r="E13" s="1826">
        <v>253532</v>
      </c>
      <c r="F13" s="1826">
        <v>29811</v>
      </c>
      <c r="G13" s="1826">
        <v>253532</v>
      </c>
      <c r="H13" s="1826"/>
      <c r="I13" s="1826">
        <v>29811</v>
      </c>
      <c r="J13" s="1826"/>
      <c r="K13" s="1826"/>
      <c r="L13" s="1823">
        <f t="shared" si="0"/>
        <v>283343</v>
      </c>
      <c r="M13" s="1826"/>
    </row>
    <row r="14" spans="2:14" ht="20.100000000000001" customHeight="1" x14ac:dyDescent="0.2">
      <c r="B14" s="1113" t="s">
        <v>2126</v>
      </c>
      <c r="C14" s="1824">
        <v>10.555</v>
      </c>
      <c r="D14" s="1825">
        <v>4210</v>
      </c>
      <c r="E14" s="1826"/>
      <c r="F14" s="1826">
        <v>185328</v>
      </c>
      <c r="G14" s="1826"/>
      <c r="H14" s="1826"/>
      <c r="I14" s="1826">
        <v>185328</v>
      </c>
      <c r="J14" s="1826"/>
      <c r="K14" s="1826"/>
      <c r="L14" s="1823">
        <f t="shared" si="0"/>
        <v>185328</v>
      </c>
      <c r="M14" s="1826">
        <v>220000</v>
      </c>
    </row>
    <row r="15" spans="2:14" ht="20.100000000000001" customHeight="1" x14ac:dyDescent="0.2">
      <c r="B15" s="1113" t="s">
        <v>2084</v>
      </c>
      <c r="C15" s="1824">
        <v>10.553000000000001</v>
      </c>
      <c r="D15" s="1825">
        <v>4220</v>
      </c>
      <c r="E15" s="1826">
        <v>67355</v>
      </c>
      <c r="F15" s="1826">
        <v>7613</v>
      </c>
      <c r="G15" s="1826">
        <v>67355</v>
      </c>
      <c r="H15" s="1826"/>
      <c r="I15" s="1826">
        <v>7613</v>
      </c>
      <c r="J15" s="1826"/>
      <c r="K15" s="1826"/>
      <c r="L15" s="1823">
        <f t="shared" si="0"/>
        <v>74968</v>
      </c>
      <c r="M15" s="1826"/>
    </row>
    <row r="16" spans="2:14" ht="20.100000000000001" customHeight="1" x14ac:dyDescent="0.2">
      <c r="B16" s="1113" t="s">
        <v>2085</v>
      </c>
      <c r="C16" s="1824">
        <v>10.553000000000001</v>
      </c>
      <c r="D16" s="1825">
        <v>4220</v>
      </c>
      <c r="E16" s="1826"/>
      <c r="F16" s="1826">
        <v>59599</v>
      </c>
      <c r="G16" s="1826"/>
      <c r="H16" s="1826"/>
      <c r="I16" s="1826">
        <v>59599</v>
      </c>
      <c r="J16" s="1826"/>
      <c r="K16" s="1826"/>
      <c r="L16" s="1823">
        <f t="shared" si="0"/>
        <v>59599</v>
      </c>
      <c r="M16" s="1826">
        <v>60000</v>
      </c>
    </row>
    <row r="17" spans="2:14" ht="20.100000000000001" customHeight="1" x14ac:dyDescent="0.2">
      <c r="B17" s="1113" t="s">
        <v>2086</v>
      </c>
      <c r="C17" s="1824">
        <v>10.558999999999999</v>
      </c>
      <c r="D17" s="1825">
        <v>4225</v>
      </c>
      <c r="E17" s="1826"/>
      <c r="F17" s="1826">
        <v>90654</v>
      </c>
      <c r="G17" s="1826"/>
      <c r="H17" s="1826"/>
      <c r="I17" s="1826">
        <v>90654</v>
      </c>
      <c r="J17" s="1826"/>
      <c r="K17" s="1826"/>
      <c r="L17" s="1823">
        <f t="shared" si="0"/>
        <v>90654</v>
      </c>
      <c r="M17" s="1826"/>
    </row>
    <row r="18" spans="2:14" ht="20.100000000000001" customHeight="1" x14ac:dyDescent="0.2">
      <c r="B18" s="1113" t="s">
        <v>2087</v>
      </c>
      <c r="C18" s="1824">
        <v>10.555</v>
      </c>
      <c r="D18" s="1825">
        <v>4250</v>
      </c>
      <c r="E18" s="1826"/>
      <c r="F18" s="1826">
        <v>33365</v>
      </c>
      <c r="G18" s="1826"/>
      <c r="H18" s="1826"/>
      <c r="I18" s="1826">
        <v>33365</v>
      </c>
      <c r="J18" s="1826"/>
      <c r="K18" s="1826"/>
      <c r="L18" s="1823">
        <f t="shared" si="0"/>
        <v>33365</v>
      </c>
      <c r="M18" s="1826"/>
    </row>
    <row r="19" spans="2:14" ht="20.100000000000001" customHeight="1" x14ac:dyDescent="0.2">
      <c r="B19" s="1113" t="s">
        <v>2088</v>
      </c>
      <c r="C19" s="1824">
        <v>10.555</v>
      </c>
      <c r="D19" s="1825">
        <v>4250</v>
      </c>
      <c r="E19" s="1826"/>
      <c r="F19" s="1826">
        <v>5161</v>
      </c>
      <c r="G19" s="1826"/>
      <c r="H19" s="1826"/>
      <c r="I19" s="1826">
        <v>5161</v>
      </c>
      <c r="J19" s="1826"/>
      <c r="K19" s="1826"/>
      <c r="L19" s="1823">
        <f t="shared" si="0"/>
        <v>5161</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t="s">
        <v>2089</v>
      </c>
      <c r="C21" s="1824"/>
      <c r="D21" s="1825"/>
      <c r="E21" s="1826">
        <v>320887</v>
      </c>
      <c r="F21" s="1826">
        <v>411531</v>
      </c>
      <c r="G21" s="1826">
        <v>320887</v>
      </c>
      <c r="H21" s="1826"/>
      <c r="I21" s="1826">
        <v>411531</v>
      </c>
      <c r="J21" s="1826"/>
      <c r="K21" s="1826"/>
      <c r="L21" s="1823">
        <f t="shared" si="0"/>
        <v>732418</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2090</v>
      </c>
      <c r="C24" s="1824"/>
      <c r="D24" s="1825"/>
      <c r="E24" s="1826"/>
      <c r="F24" s="1826"/>
      <c r="G24" s="1826"/>
      <c r="H24" s="1826"/>
      <c r="I24" s="1826"/>
      <c r="J24" s="1826"/>
      <c r="K24" s="1826"/>
      <c r="L24" s="1823">
        <f t="shared" si="0"/>
        <v>0</v>
      </c>
      <c r="M24" s="1826"/>
    </row>
    <row r="25" spans="2:14" ht="20.100000000000001" customHeight="1" x14ac:dyDescent="0.2">
      <c r="B25" s="1113" t="s">
        <v>2091</v>
      </c>
      <c r="C25" s="1824"/>
      <c r="D25" s="1825"/>
      <c r="E25" s="1826"/>
      <c r="F25" s="1826"/>
      <c r="G25" s="1826"/>
      <c r="H25" s="1826"/>
      <c r="I25" s="1826"/>
      <c r="J25" s="1826"/>
      <c r="K25" s="1826"/>
      <c r="L25" s="1823">
        <f t="shared" si="0"/>
        <v>0</v>
      </c>
      <c r="M25" s="1826"/>
    </row>
    <row r="26" spans="2:14" ht="20.100000000000001" customHeight="1" x14ac:dyDescent="0.2">
      <c r="B26" s="1113" t="s">
        <v>2093</v>
      </c>
      <c r="C26" s="1824" t="s">
        <v>2092</v>
      </c>
      <c r="D26" s="1825">
        <v>4300</v>
      </c>
      <c r="E26" s="1826">
        <v>174264</v>
      </c>
      <c r="F26" s="1826">
        <v>102217</v>
      </c>
      <c r="G26" s="1826">
        <v>221095</v>
      </c>
      <c r="H26" s="1826"/>
      <c r="I26" s="1826">
        <v>55386</v>
      </c>
      <c r="J26" s="1826"/>
      <c r="K26" s="1826"/>
      <c r="L26" s="1823">
        <f t="shared" si="0"/>
        <v>276481</v>
      </c>
      <c r="M26" s="1826"/>
    </row>
    <row r="27" spans="2:14" ht="20.100000000000001" customHeight="1" x14ac:dyDescent="0.2">
      <c r="B27" s="1113" t="s">
        <v>2127</v>
      </c>
      <c r="C27" s="1824" t="s">
        <v>2092</v>
      </c>
      <c r="D27" s="1825">
        <v>4300</v>
      </c>
      <c r="E27" s="1826"/>
      <c r="F27" s="1826">
        <v>170912</v>
      </c>
      <c r="G27" s="1826"/>
      <c r="H27" s="1826"/>
      <c r="I27" s="1826">
        <v>236285</v>
      </c>
      <c r="J27" s="1826"/>
      <c r="K27" s="1826"/>
      <c r="L27" s="1823">
        <f t="shared" si="0"/>
        <v>236285</v>
      </c>
      <c r="M27" s="1826">
        <v>275000</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264D-45BB-4683-8AE4-B888EAF03E8B}">
  <dimension ref="B1:N152"/>
  <sheetViews>
    <sheetView showGridLines="0" topLeftCell="A4" zoomScaleNormal="100" workbookViewId="0">
      <selection activeCell="B16" sqref="B16"/>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Paxton-Buckley-Loda CUD 10</v>
      </c>
      <c r="C1" s="2567"/>
      <c r="D1" s="2567"/>
      <c r="E1" s="2567"/>
      <c r="F1" s="2567"/>
      <c r="G1" s="2567"/>
      <c r="H1" s="2567"/>
      <c r="I1" s="2567"/>
      <c r="J1" s="2567"/>
      <c r="K1" s="2567"/>
      <c r="L1" s="2567"/>
      <c r="M1" s="2567"/>
    </row>
    <row r="2" spans="2:14" ht="15" x14ac:dyDescent="0.2">
      <c r="B2" s="2568">
        <f>'Single Audit Cover'!E7</f>
        <v>9027010026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2095</v>
      </c>
      <c r="C11" s="1821" t="s">
        <v>2094</v>
      </c>
      <c r="D11" s="1822">
        <v>4932</v>
      </c>
      <c r="E11" s="1823">
        <v>17648</v>
      </c>
      <c r="F11" s="1823">
        <v>25411</v>
      </c>
      <c r="G11" s="1823">
        <v>40828</v>
      </c>
      <c r="H11" s="1823"/>
      <c r="I11" s="1823">
        <v>2231</v>
      </c>
      <c r="J11" s="1823"/>
      <c r="K11" s="1823"/>
      <c r="L11" s="1823">
        <f>+G11+I11+K11</f>
        <v>43059</v>
      </c>
      <c r="M11" s="1823"/>
    </row>
    <row r="12" spans="2:14" ht="20.100000000000001" customHeight="1" x14ac:dyDescent="0.2">
      <c r="B12" s="1113" t="s">
        <v>2096</v>
      </c>
      <c r="C12" s="1824" t="s">
        <v>2094</v>
      </c>
      <c r="D12" s="1825">
        <v>4932</v>
      </c>
      <c r="E12" s="1826"/>
      <c r="F12" s="1826">
        <v>35358</v>
      </c>
      <c r="G12" s="1826"/>
      <c r="H12" s="1826"/>
      <c r="I12" s="1826">
        <v>52221</v>
      </c>
      <c r="J12" s="1826"/>
      <c r="K12" s="1826"/>
      <c r="L12" s="1823">
        <f t="shared" ref="L12:L27" si="0">+G12+I12+K12</f>
        <v>52221</v>
      </c>
      <c r="M12" s="1826">
        <v>75000</v>
      </c>
    </row>
    <row r="13" spans="2:14" ht="20.100000000000001" customHeight="1" x14ac:dyDescent="0.2">
      <c r="B13" s="1113" t="s">
        <v>2097</v>
      </c>
      <c r="C13" s="1824" t="s">
        <v>2098</v>
      </c>
      <c r="D13" s="1825">
        <v>4400</v>
      </c>
      <c r="E13" s="1826">
        <v>14856</v>
      </c>
      <c r="F13" s="1826">
        <v>4808</v>
      </c>
      <c r="G13" s="1826">
        <v>19664</v>
      </c>
      <c r="H13" s="1826"/>
      <c r="I13" s="1826"/>
      <c r="J13" s="1826"/>
      <c r="K13" s="1826"/>
      <c r="L13" s="1823">
        <f t="shared" si="0"/>
        <v>19664</v>
      </c>
      <c r="M13" s="1826"/>
    </row>
    <row r="14" spans="2:14" ht="20.100000000000001" customHeight="1" x14ac:dyDescent="0.2">
      <c r="B14" s="1113" t="s">
        <v>2099</v>
      </c>
      <c r="C14" s="1824" t="s">
        <v>2098</v>
      </c>
      <c r="D14" s="1825">
        <v>4400</v>
      </c>
      <c r="E14" s="1826"/>
      <c r="F14" s="1826">
        <v>2432</v>
      </c>
      <c r="G14" s="1826"/>
      <c r="H14" s="1826"/>
      <c r="I14" s="1826">
        <v>2432</v>
      </c>
      <c r="J14" s="1826"/>
      <c r="K14" s="1826"/>
      <c r="L14" s="1823">
        <f t="shared" si="0"/>
        <v>2432</v>
      </c>
      <c r="M14" s="1826">
        <v>2432</v>
      </c>
    </row>
    <row r="15" spans="2:14" ht="20.100000000000001" customHeight="1" x14ac:dyDescent="0.2">
      <c r="B15" s="1113" t="s">
        <v>2100</v>
      </c>
      <c r="C15" s="1824" t="s">
        <v>2101</v>
      </c>
      <c r="D15" s="1825">
        <v>4600</v>
      </c>
      <c r="E15" s="1826"/>
      <c r="F15" s="1826">
        <v>4186</v>
      </c>
      <c r="G15" s="1826"/>
      <c r="H15" s="1826"/>
      <c r="I15" s="1826">
        <v>4186</v>
      </c>
      <c r="J15" s="1826"/>
      <c r="K15" s="1826"/>
      <c r="L15" s="1823">
        <f t="shared" si="0"/>
        <v>4186</v>
      </c>
      <c r="M15" s="1826">
        <v>5000</v>
      </c>
    </row>
    <row r="16" spans="2:14" ht="20.100000000000001" customHeight="1" x14ac:dyDescent="0.2">
      <c r="B16" s="1113" t="s">
        <v>2128</v>
      </c>
      <c r="C16" s="1824" t="s">
        <v>2101</v>
      </c>
      <c r="D16" s="1825">
        <v>4600</v>
      </c>
      <c r="E16" s="1826"/>
      <c r="F16" s="1826">
        <v>302072</v>
      </c>
      <c r="G16" s="1826"/>
      <c r="H16" s="1826"/>
      <c r="I16" s="1826">
        <v>302072</v>
      </c>
      <c r="J16" s="1826"/>
      <c r="K16" s="1826"/>
      <c r="L16" s="1823">
        <f t="shared" si="0"/>
        <v>302072</v>
      </c>
      <c r="M16" s="1826">
        <v>310000</v>
      </c>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t="s">
        <v>2102</v>
      </c>
      <c r="C19" s="1824"/>
      <c r="D19" s="1825"/>
      <c r="E19" s="1826">
        <v>206768</v>
      </c>
      <c r="F19" s="1826">
        <v>647396</v>
      </c>
      <c r="G19" s="1826">
        <v>281587</v>
      </c>
      <c r="H19" s="1826"/>
      <c r="I19" s="1826">
        <v>654813</v>
      </c>
      <c r="J19" s="1826"/>
      <c r="K19" s="1826"/>
      <c r="L19" s="1823">
        <f t="shared" si="0"/>
        <v>936400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t="s">
        <v>2103</v>
      </c>
      <c r="C21" s="1824"/>
      <c r="D21" s="1825"/>
      <c r="E21" s="1826"/>
      <c r="F21" s="1826"/>
      <c r="G21" s="1826"/>
      <c r="H21" s="1826"/>
      <c r="I21" s="1826"/>
      <c r="J21" s="1826"/>
      <c r="K21" s="1826"/>
      <c r="L21" s="1823">
        <f t="shared" si="0"/>
        <v>0</v>
      </c>
      <c r="M21" s="1826"/>
    </row>
    <row r="22" spans="2:14" ht="20.100000000000001" customHeight="1" x14ac:dyDescent="0.2">
      <c r="B22" s="1113" t="s">
        <v>2104</v>
      </c>
      <c r="C22" s="1824"/>
      <c r="D22" s="1825"/>
      <c r="E22" s="1826"/>
      <c r="F22" s="1826"/>
      <c r="G22" s="1826"/>
      <c r="H22" s="1826"/>
      <c r="I22" s="1826"/>
      <c r="J22" s="1826"/>
      <c r="K22" s="1826"/>
      <c r="L22" s="1823">
        <f t="shared" si="0"/>
        <v>0</v>
      </c>
      <c r="M22" s="1826"/>
    </row>
    <row r="23" spans="2:14" ht="20.100000000000001" customHeight="1" x14ac:dyDescent="0.2">
      <c r="B23" s="1113" t="s">
        <v>2105</v>
      </c>
      <c r="C23" s="1824">
        <v>93.778000000000006</v>
      </c>
      <c r="D23" s="1825">
        <v>4992</v>
      </c>
      <c r="E23" s="1826"/>
      <c r="F23" s="1826">
        <v>4680</v>
      </c>
      <c r="G23" s="1826"/>
      <c r="H23" s="1826"/>
      <c r="I23" s="1826">
        <v>4680</v>
      </c>
      <c r="J23" s="1826"/>
      <c r="K23" s="1826"/>
      <c r="L23" s="1823">
        <f t="shared" si="0"/>
        <v>4680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t="s">
        <v>2106</v>
      </c>
      <c r="C25" s="1824"/>
      <c r="D25" s="1825"/>
      <c r="E25" s="1826"/>
      <c r="F25" s="1826">
        <v>4680</v>
      </c>
      <c r="G25" s="1826"/>
      <c r="H25" s="1826"/>
      <c r="I25" s="1826">
        <v>4680</v>
      </c>
      <c r="J25" s="1826"/>
      <c r="K25" s="1826"/>
      <c r="L25" s="1823">
        <f t="shared" si="0"/>
        <v>4680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2107</v>
      </c>
      <c r="C27" s="1824"/>
      <c r="D27" s="1825"/>
      <c r="E27" s="1826">
        <v>527655</v>
      </c>
      <c r="F27" s="1826">
        <v>1063607</v>
      </c>
      <c r="G27" s="1826">
        <v>50247</v>
      </c>
      <c r="H27" s="1826"/>
      <c r="I27" s="1826">
        <v>1071024</v>
      </c>
      <c r="J27" s="1826"/>
      <c r="K27" s="1826"/>
      <c r="L27" s="1823">
        <f t="shared" si="0"/>
        <v>1121271</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2" t="str">
        <f>'Single Audit Cover'!A7</f>
        <v xml:space="preserve">  Paxton-Buckley-Loda CUD 10</v>
      </c>
      <c r="C1" s="2567"/>
      <c r="D1" s="2567"/>
      <c r="E1" s="2567"/>
      <c r="F1" s="2567"/>
      <c r="G1" s="2567"/>
      <c r="H1" s="2567"/>
      <c r="I1" s="2567"/>
      <c r="J1" s="2567"/>
      <c r="K1" s="2567"/>
      <c r="L1" s="2567"/>
      <c r="M1" s="2567"/>
    </row>
    <row r="2" spans="2:14" ht="15" x14ac:dyDescent="0.2">
      <c r="B2" s="2568">
        <f>'Single Audit Cover'!E7</f>
        <v>9027010026</v>
      </c>
      <c r="C2" s="2568"/>
      <c r="D2" s="2568"/>
      <c r="E2" s="2568"/>
      <c r="F2" s="2568"/>
      <c r="G2" s="2568"/>
      <c r="H2" s="2568"/>
      <c r="I2" s="2568"/>
      <c r="J2" s="2568"/>
      <c r="K2" s="2568"/>
      <c r="L2" s="2568"/>
      <c r="M2" s="2568"/>
      <c r="N2" s="1078"/>
    </row>
    <row r="3" spans="2:14" ht="15" x14ac:dyDescent="0.2">
      <c r="B3" s="2569" t="s">
        <v>1208</v>
      </c>
      <c r="C3" s="2569"/>
      <c r="D3" s="2569"/>
      <c r="E3" s="2569"/>
      <c r="F3" s="2569"/>
      <c r="G3" s="2569"/>
      <c r="H3" s="2569"/>
      <c r="I3" s="2569"/>
      <c r="J3" s="2569"/>
      <c r="K3" s="2569"/>
      <c r="L3" s="2569"/>
      <c r="M3" s="2569"/>
      <c r="N3" s="1078"/>
    </row>
    <row r="4" spans="2:14" ht="15" x14ac:dyDescent="0.2">
      <c r="B4" s="2570" t="str">
        <f>'Single Audit Cover'!A4</f>
        <v>Year Ending June 30, 2020</v>
      </c>
      <c r="C4" s="2570"/>
      <c r="D4" s="2570"/>
      <c r="E4" s="2570"/>
      <c r="F4" s="2570"/>
      <c r="G4" s="2570"/>
      <c r="H4" s="2570"/>
      <c r="I4" s="2570"/>
      <c r="J4" s="2570"/>
      <c r="K4" s="2570"/>
      <c r="L4" s="2570"/>
      <c r="M4" s="2570"/>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120" zoomScaleNormal="120" workbookViewId="0">
      <selection activeCell="C43" sqref="C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Paxton-Buckley-Loda CUD 10</v>
      </c>
      <c r="B1" s="2572"/>
      <c r="C1" s="2572"/>
      <c r="D1" s="2572"/>
      <c r="E1" s="2572"/>
      <c r="F1" s="2572"/>
    </row>
    <row r="2" spans="1:7" ht="13.5" customHeight="1" x14ac:dyDescent="0.2">
      <c r="A2" s="2568">
        <f>'Single Audit Cover'!E7</f>
        <v>9027010026</v>
      </c>
      <c r="B2" s="2568"/>
      <c r="C2" s="2568"/>
      <c r="D2" s="2568"/>
      <c r="E2" s="2568"/>
      <c r="F2" s="2568"/>
      <c r="G2" s="1051"/>
    </row>
    <row r="3" spans="1:7" ht="15.75" customHeight="1" x14ac:dyDescent="0.2">
      <c r="A3" s="2573" t="s">
        <v>1260</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52" t="s">
        <v>1705</v>
      </c>
      <c r="C6" s="295"/>
      <c r="D6" s="295"/>
    </row>
    <row r="7" spans="1:7" ht="60.95" customHeight="1" x14ac:dyDescent="0.2">
      <c r="A7" s="2571" t="s">
        <v>2109</v>
      </c>
      <c r="B7" s="2571"/>
      <c r="C7" s="2571"/>
      <c r="D7" s="2571"/>
      <c r="E7" s="2571"/>
      <c r="F7" s="2571"/>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2108</v>
      </c>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1" t="s">
        <v>2110</v>
      </c>
      <c r="B13" s="2571"/>
      <c r="C13" s="2571"/>
      <c r="D13" s="2571"/>
      <c r="E13" s="2571"/>
      <c r="F13" s="2571"/>
    </row>
    <row r="14" spans="1:7" ht="9.75" customHeight="1" x14ac:dyDescent="0.2">
      <c r="C14" s="1036"/>
      <c r="D14" s="1036"/>
    </row>
    <row r="15" spans="1:7" ht="13.5" customHeight="1" x14ac:dyDescent="0.2">
      <c r="C15" s="1476" t="s">
        <v>1259</v>
      </c>
      <c r="D15" s="2576" t="s">
        <v>1258</v>
      </c>
      <c r="E15" s="2576"/>
      <c r="F15" s="2576"/>
    </row>
    <row r="16" spans="1:7" ht="13.5" customHeight="1" x14ac:dyDescent="0.2">
      <c r="A16" s="1058"/>
      <c r="B16" s="1052" t="s">
        <v>1257</v>
      </c>
      <c r="C16" s="1476" t="s">
        <v>1256</v>
      </c>
      <c r="D16" s="2577" t="s">
        <v>1571</v>
      </c>
      <c r="E16" s="2577"/>
      <c r="F16" s="2577"/>
    </row>
    <row r="17" spans="1:6" ht="20.45" customHeight="1" x14ac:dyDescent="0.2">
      <c r="A17" s="1059"/>
      <c r="B17" s="1060" t="s">
        <v>2111</v>
      </c>
      <c r="C17" s="1061"/>
      <c r="D17" s="2575"/>
      <c r="E17" s="2575"/>
      <c r="F17" s="2575"/>
    </row>
    <row r="18" spans="1:6" ht="20.65" customHeight="1" x14ac:dyDescent="0.2">
      <c r="A18" s="1059"/>
      <c r="B18" s="1060"/>
      <c r="C18" s="1061"/>
      <c r="D18" s="2575"/>
      <c r="E18" s="2575"/>
      <c r="F18" s="2575"/>
    </row>
    <row r="19" spans="1:6" ht="20.65" customHeight="1" x14ac:dyDescent="0.2">
      <c r="A19" s="1059"/>
      <c r="B19" s="1060"/>
      <c r="C19" s="1061"/>
      <c r="D19" s="2575"/>
      <c r="E19" s="2575"/>
      <c r="F19" s="2575"/>
    </row>
    <row r="20" spans="1:6" ht="20.65" customHeight="1" x14ac:dyDescent="0.2">
      <c r="A20" s="1059"/>
      <c r="B20" s="1060"/>
      <c r="C20" s="1061"/>
      <c r="D20" s="2575"/>
      <c r="E20" s="2575"/>
      <c r="F20" s="2575"/>
    </row>
    <row r="21" spans="1:6" ht="20.65" customHeight="1" x14ac:dyDescent="0.2">
      <c r="A21" s="1059"/>
      <c r="B21" s="1060"/>
      <c r="C21" s="1061"/>
      <c r="D21" s="2575"/>
      <c r="E21" s="2575"/>
      <c r="F21" s="2575"/>
    </row>
    <row r="22" spans="1:6" ht="20.65" customHeight="1" x14ac:dyDescent="0.2">
      <c r="A22" s="1059"/>
      <c r="B22" s="1060"/>
      <c r="C22" s="1061"/>
      <c r="D22" s="2575"/>
      <c r="E22" s="2575"/>
      <c r="F22" s="2575"/>
    </row>
    <row r="23" spans="1:6" ht="20.65" customHeight="1" x14ac:dyDescent="0.2">
      <c r="A23" s="1059"/>
      <c r="B23" s="1060"/>
      <c r="C23" s="1061"/>
      <c r="D23" s="2575"/>
      <c r="E23" s="2575"/>
      <c r="F23" s="2575"/>
    </row>
    <row r="24" spans="1:6" ht="20.65" customHeight="1" x14ac:dyDescent="0.2">
      <c r="A24" s="1059"/>
      <c r="B24" s="1060"/>
      <c r="C24" s="1061"/>
      <c r="D24" s="2575"/>
      <c r="E24" s="2575"/>
      <c r="F24" s="2575"/>
    </row>
    <row r="25" spans="1:6" ht="20.65" customHeight="1" x14ac:dyDescent="0.2">
      <c r="A25" s="1059"/>
      <c r="B25" s="1060"/>
      <c r="C25" s="1061"/>
      <c r="D25" s="2575"/>
      <c r="E25" s="2575"/>
      <c r="F25" s="2575"/>
    </row>
    <row r="26" spans="1:6" ht="20.65" customHeight="1" x14ac:dyDescent="0.2">
      <c r="A26" s="1059"/>
      <c r="B26" s="1060"/>
      <c r="C26" s="1061"/>
      <c r="D26" s="2575"/>
      <c r="E26" s="2575"/>
      <c r="F26" s="2575"/>
    </row>
    <row r="27" spans="1:6" ht="20.65" customHeight="1" x14ac:dyDescent="0.2">
      <c r="A27" s="1059"/>
      <c r="B27" s="1060"/>
      <c r="C27" s="1061"/>
      <c r="D27" s="2575"/>
      <c r="E27" s="2575"/>
      <c r="F27" s="2575"/>
    </row>
    <row r="28" spans="1:6" ht="20.65" customHeight="1" x14ac:dyDescent="0.2">
      <c r="A28" s="1059"/>
      <c r="B28" s="1060"/>
      <c r="C28" s="1061"/>
      <c r="D28" s="2575"/>
      <c r="E28" s="2575"/>
      <c r="F28" s="2575"/>
    </row>
    <row r="29" spans="1:6" ht="20.65" customHeight="1" x14ac:dyDescent="0.2">
      <c r="A29" s="1059"/>
      <c r="B29" s="1060"/>
      <c r="C29" s="1061"/>
      <c r="D29" s="2575"/>
      <c r="E29" s="2575"/>
      <c r="F29" s="2575"/>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9" t="s">
        <v>2112</v>
      </c>
      <c r="B32" s="2579"/>
      <c r="C32" s="2579"/>
      <c r="D32" s="2579"/>
      <c r="E32" s="2579"/>
      <c r="F32" s="2579"/>
    </row>
    <row r="33" spans="1:6" ht="13.5" customHeight="1" x14ac:dyDescent="0.2">
      <c r="A33" s="306" t="s">
        <v>1417</v>
      </c>
      <c r="B33" s="306"/>
      <c r="C33" s="1064">
        <v>33365</v>
      </c>
      <c r="D33" s="1526"/>
      <c r="E33" s="1062"/>
    </row>
    <row r="34" spans="1:6" ht="13.5" customHeight="1" x14ac:dyDescent="0.2">
      <c r="A34" s="306" t="s">
        <v>1808</v>
      </c>
      <c r="B34" s="306"/>
      <c r="C34" s="1065">
        <v>5161</v>
      </c>
      <c r="D34" s="1526" t="s">
        <v>1572</v>
      </c>
      <c r="E34" s="2580">
        <f>+C33+C34</f>
        <v>38526</v>
      </c>
      <c r="F34" s="258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t="s">
        <v>2113</v>
      </c>
      <c r="D38" s="1526"/>
      <c r="E38" s="1062"/>
    </row>
    <row r="39" spans="1:6" ht="14.25" customHeight="1" x14ac:dyDescent="0.2">
      <c r="A39" s="306"/>
      <c r="B39" s="306" t="s">
        <v>1419</v>
      </c>
      <c r="C39" s="1068" t="s">
        <v>2113</v>
      </c>
      <c r="D39" s="1526"/>
      <c r="E39" s="1062"/>
    </row>
    <row r="40" spans="1:6" ht="14.25" customHeight="1" x14ac:dyDescent="0.2">
      <c r="A40" s="306"/>
      <c r="B40" s="306" t="s">
        <v>1420</v>
      </c>
      <c r="C40" s="1068" t="s">
        <v>2113</v>
      </c>
      <c r="D40" s="1526"/>
      <c r="E40" s="1062"/>
    </row>
    <row r="41" spans="1:6" ht="14.25" customHeight="1" x14ac:dyDescent="0.2">
      <c r="A41" s="306"/>
      <c r="B41" s="306" t="s">
        <v>1421</v>
      </c>
      <c r="C41" s="1068" t="s">
        <v>2113</v>
      </c>
      <c r="D41" s="1526"/>
      <c r="E41" s="1062"/>
    </row>
    <row r="42" spans="1:6" ht="14.25" customHeight="1" x14ac:dyDescent="0.2">
      <c r="A42" s="306" t="s">
        <v>1422</v>
      </c>
      <c r="B42" s="306"/>
      <c r="C42" s="1524" t="s">
        <v>2113</v>
      </c>
      <c r="D42" s="1526"/>
      <c r="E42" s="1062"/>
    </row>
    <row r="43" spans="1:6" ht="14.25" customHeight="1" x14ac:dyDescent="0.2">
      <c r="A43" s="306" t="s">
        <v>1423</v>
      </c>
      <c r="B43" s="306"/>
      <c r="C43" s="1069" t="s">
        <v>2113</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1573</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8" t="s">
        <v>1534</v>
      </c>
      <c r="C51" s="2578"/>
      <c r="D51" s="2578"/>
    </row>
    <row r="52" spans="1:5" ht="14.25" customHeight="1" x14ac:dyDescent="0.2">
      <c r="A52" s="1077"/>
      <c r="B52" s="2578"/>
      <c r="C52" s="2578"/>
      <c r="D52" s="257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0" zoomScale="110" zoomScaleNormal="110" workbookViewId="0">
      <selection activeCell="G52" sqref="G5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7" t="str">
        <f>'Single Audit Cover'!A7</f>
        <v xml:space="preserve">  Paxton-Buckley-Loda CUD 10</v>
      </c>
      <c r="C1" s="2588"/>
      <c r="D1" s="2588"/>
      <c r="E1" s="2588"/>
      <c r="F1" s="2588"/>
      <c r="G1" s="2588"/>
      <c r="H1" s="2588"/>
      <c r="I1" s="2588"/>
      <c r="J1" s="1178"/>
    </row>
    <row r="2" spans="2:10" s="295" customFormat="1" ht="12.75" customHeight="1" x14ac:dyDescent="0.2">
      <c r="B2" s="2589">
        <f>'Single Audit Cover'!E7</f>
        <v>9027010026</v>
      </c>
      <c r="C2" s="2590"/>
      <c r="D2" s="2590"/>
      <c r="E2" s="2590"/>
      <c r="F2" s="2590"/>
      <c r="G2" s="2590"/>
      <c r="H2" s="2590"/>
      <c r="I2" s="2590"/>
      <c r="J2" s="1178"/>
    </row>
    <row r="3" spans="2:10" s="295" customFormat="1" ht="12.75" customHeight="1" x14ac:dyDescent="0.2">
      <c r="B3" s="2591" t="s">
        <v>1274</v>
      </c>
      <c r="C3" s="2592"/>
      <c r="D3" s="2592"/>
      <c r="E3" s="2592"/>
      <c r="F3" s="2592"/>
      <c r="G3" s="2592"/>
      <c r="H3" s="2592"/>
      <c r="I3" s="2592"/>
      <c r="J3" s="1179"/>
    </row>
    <row r="4" spans="2:10" s="295" customFormat="1" ht="12.75" customHeight="1" x14ac:dyDescent="0.2">
      <c r="B4" s="2591" t="str">
        <f>'Single Audit Cover'!A4</f>
        <v>Year Ending June 30, 2020</v>
      </c>
      <c r="C4" s="2592"/>
      <c r="D4" s="2592"/>
      <c r="E4" s="2592"/>
      <c r="F4" s="2592"/>
      <c r="G4" s="2592"/>
      <c r="H4" s="2592"/>
      <c r="I4" s="2592"/>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1" t="s">
        <v>1273</v>
      </c>
      <c r="C7" s="2592"/>
      <c r="D7" s="2592"/>
      <c r="E7" s="2592"/>
      <c r="F7" s="2592"/>
      <c r="G7" s="2592"/>
      <c r="H7" s="2592"/>
      <c r="I7" s="2592"/>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3" t="s">
        <v>2114</v>
      </c>
      <c r="D11" s="2593"/>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2108</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2108</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2108</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2108</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2108</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4"/>
      <c r="E29" s="2594"/>
      <c r="F29" s="2594"/>
      <c r="G29" s="2594"/>
      <c r="H29" s="2594"/>
      <c r="I29" s="2594"/>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2108</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5" t="s">
        <v>1725</v>
      </c>
      <c r="D37" s="2596"/>
      <c r="E37" s="2596"/>
      <c r="F37" s="2597"/>
      <c r="G37" s="2595" t="s">
        <v>1575</v>
      </c>
      <c r="H37" s="2596"/>
      <c r="I37" s="2597"/>
    </row>
    <row r="38" spans="2:9" ht="16.5" customHeight="1" x14ac:dyDescent="0.2">
      <c r="B38" s="1200" t="s">
        <v>2101</v>
      </c>
      <c r="C38" s="2583" t="s">
        <v>2115</v>
      </c>
      <c r="D38" s="2584"/>
      <c r="E38" s="2584"/>
      <c r="F38" s="2585"/>
      <c r="G38" s="2598">
        <v>302072</v>
      </c>
      <c r="H38" s="2599"/>
      <c r="I38" s="2600"/>
    </row>
    <row r="39" spans="2:9" ht="16.5" customHeight="1" x14ac:dyDescent="0.2">
      <c r="B39" s="1200">
        <v>10.555</v>
      </c>
      <c r="C39" s="2583" t="s">
        <v>2116</v>
      </c>
      <c r="D39" s="2584"/>
      <c r="E39" s="2584"/>
      <c r="F39" s="2585"/>
      <c r="G39" s="2586">
        <v>253665</v>
      </c>
      <c r="H39" s="2586"/>
      <c r="I39" s="2586"/>
    </row>
    <row r="40" spans="2:9" ht="16.5" customHeight="1" x14ac:dyDescent="0.2">
      <c r="B40" s="1200"/>
      <c r="C40" s="2583"/>
      <c r="D40" s="2584"/>
      <c r="E40" s="2584"/>
      <c r="F40" s="2585"/>
      <c r="G40" s="2586"/>
      <c r="H40" s="2586"/>
      <c r="I40" s="2586"/>
    </row>
    <row r="41" spans="2:9" ht="16.5" customHeight="1" x14ac:dyDescent="0.2">
      <c r="B41" s="1200"/>
      <c r="C41" s="2583"/>
      <c r="D41" s="2584"/>
      <c r="E41" s="2584"/>
      <c r="F41" s="2585"/>
      <c r="G41" s="2586"/>
      <c r="H41" s="2586"/>
      <c r="I41" s="2586"/>
    </row>
    <row r="42" spans="2:9" ht="16.5" customHeight="1" x14ac:dyDescent="0.2">
      <c r="B42" s="1200"/>
      <c r="C42" s="2583"/>
      <c r="D42" s="2584"/>
      <c r="E42" s="2584"/>
      <c r="F42" s="2585"/>
      <c r="G42" s="2586"/>
      <c r="H42" s="2586"/>
      <c r="I42" s="2586"/>
    </row>
    <row r="43" spans="2:9" ht="16.5" customHeight="1" x14ac:dyDescent="0.2">
      <c r="B43" s="1200"/>
      <c r="C43" s="2601" t="s">
        <v>1576</v>
      </c>
      <c r="D43" s="2602"/>
      <c r="E43" s="2602"/>
      <c r="F43" s="2603"/>
      <c r="G43" s="2604">
        <f>SUM(G38:I42)</f>
        <v>555737</v>
      </c>
      <c r="H43" s="2604"/>
      <c r="I43" s="2604"/>
    </row>
    <row r="44" spans="2:9" ht="12.75" customHeight="1" x14ac:dyDescent="0.2"/>
    <row r="45" spans="2:9" ht="12.75" customHeight="1" x14ac:dyDescent="0.2">
      <c r="B45" s="1918" t="str">
        <f>"Total Federal Expenditures for 7/1/"&amp;MID('AFR20'!E2,3,2)-1&amp;"-6/30/"&amp;MID('AFR20'!E2,3,2)</f>
        <v>Total Federal Expenditures for 7/1/19-6/30/20</v>
      </c>
      <c r="C45" s="1919"/>
      <c r="D45" s="2605">
        <v>1071024</v>
      </c>
      <c r="E45" s="2606"/>
    </row>
    <row r="46" spans="2:9" ht="5.25" customHeight="1" x14ac:dyDescent="0.2">
      <c r="B46" s="1201"/>
      <c r="D46" s="1202"/>
      <c r="E46" s="1203"/>
    </row>
    <row r="47" spans="2:9" ht="12.75" customHeight="1" x14ac:dyDescent="0.2">
      <c r="B47" s="1076" t="s">
        <v>1577</v>
      </c>
      <c r="C47" s="1076"/>
      <c r="D47" s="1204">
        <f>+G43/D45</f>
        <v>0.51888379718848499</v>
      </c>
      <c r="E47" s="1205"/>
      <c r="F47" s="1206"/>
      <c r="I47" s="1207"/>
    </row>
    <row r="48" spans="2:9" ht="9.9499999999999993" customHeight="1" x14ac:dyDescent="0.2"/>
    <row r="49" spans="1:9" x14ac:dyDescent="0.2">
      <c r="B49" s="1138" t="s">
        <v>1262</v>
      </c>
      <c r="C49" s="1058"/>
      <c r="D49" s="1058"/>
      <c r="E49" s="2607">
        <v>750000</v>
      </c>
      <c r="F49" s="2607"/>
      <c r="G49" s="2607"/>
      <c r="H49" s="300"/>
    </row>
    <row r="51" spans="1:9" ht="13.5" customHeight="1" x14ac:dyDescent="0.2">
      <c r="B51" s="1138" t="s">
        <v>1261</v>
      </c>
      <c r="C51" s="1058"/>
      <c r="E51" s="1194"/>
      <c r="F51" s="1076" t="s">
        <v>879</v>
      </c>
      <c r="G51" s="1194" t="s">
        <v>2108</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3"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7" t="str">
        <f>'Single Audit Cover'!A7</f>
        <v xml:space="preserve">  Paxton-Buckley-Loda CUD 10</v>
      </c>
      <c r="C1" s="2587"/>
      <c r="D1" s="2587"/>
      <c r="E1" s="2587"/>
      <c r="F1" s="2587"/>
      <c r="G1" s="2587"/>
      <c r="H1" s="2587"/>
      <c r="I1" s="2587"/>
      <c r="J1" s="2587"/>
      <c r="K1" s="2587"/>
      <c r="L1" s="1144"/>
      <c r="M1" s="1144"/>
    </row>
    <row r="2" spans="1:13" ht="12" customHeight="1" x14ac:dyDescent="0.2">
      <c r="B2" s="2589">
        <f>'Single Audit Cover'!E7</f>
        <v>9027010026</v>
      </c>
      <c r="C2" s="2589"/>
      <c r="D2" s="2589"/>
      <c r="E2" s="2589"/>
      <c r="F2" s="2589"/>
      <c r="G2" s="2589"/>
      <c r="H2" s="2589"/>
      <c r="I2" s="2589"/>
      <c r="J2" s="2589"/>
      <c r="K2" s="2589"/>
      <c r="L2" s="1145"/>
      <c r="M2" s="1146"/>
    </row>
    <row r="3" spans="1:13" ht="10.35" customHeight="1" x14ac:dyDescent="0.2">
      <c r="B3" s="2610" t="s">
        <v>1274</v>
      </c>
      <c r="C3" s="2610"/>
      <c r="D3" s="2610"/>
      <c r="E3" s="2610"/>
      <c r="F3" s="2610"/>
      <c r="G3" s="2610"/>
      <c r="H3" s="2610"/>
      <c r="I3" s="2610"/>
      <c r="J3" s="2610"/>
      <c r="K3" s="2610"/>
      <c r="L3" s="1147"/>
      <c r="M3" s="1147"/>
    </row>
    <row r="4" spans="1:13" ht="14.25" customHeight="1" x14ac:dyDescent="0.2">
      <c r="B4" s="2611" t="str">
        <f>'Single Audit Cover'!A4</f>
        <v>Year Ending June 30, 2020</v>
      </c>
      <c r="C4" s="2611"/>
      <c r="D4" s="2611"/>
      <c r="E4" s="2611"/>
      <c r="F4" s="2611"/>
      <c r="G4" s="2611"/>
      <c r="H4" s="2611"/>
      <c r="I4" s="2611"/>
      <c r="J4" s="2611"/>
      <c r="K4" s="2611"/>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1" t="s">
        <v>1285</v>
      </c>
      <c r="C7" s="2611"/>
      <c r="D7" s="2612"/>
      <c r="E7" s="2612"/>
      <c r="F7" s="2612"/>
      <c r="G7" s="2612"/>
      <c r="H7" s="2612"/>
      <c r="I7" s="2612"/>
      <c r="J7" s="2612"/>
      <c r="K7" s="2612"/>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20" t="str">
        <f>'AFR20'!$E$2&amp;"-"</f>
        <v>2020-</v>
      </c>
      <c r="D10" s="1155">
        <v>1</v>
      </c>
      <c r="E10" s="300"/>
      <c r="F10" s="1156" t="s">
        <v>1284</v>
      </c>
      <c r="G10" s="1157" t="s">
        <v>2117</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9" t="s">
        <v>2118</v>
      </c>
      <c r="C14" s="2609"/>
      <c r="D14" s="2609"/>
      <c r="E14" s="2609"/>
      <c r="F14" s="2609"/>
      <c r="G14" s="2609"/>
      <c r="H14" s="2609"/>
      <c r="I14" s="2609"/>
      <c r="J14" s="2609"/>
      <c r="K14" s="2609"/>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9" t="s">
        <v>2119</v>
      </c>
      <c r="C17" s="2609"/>
      <c r="D17" s="2609"/>
      <c r="E17" s="2609"/>
      <c r="F17" s="2609"/>
      <c r="G17" s="2609"/>
      <c r="H17" s="2609"/>
      <c r="I17" s="2609"/>
      <c r="J17" s="2609"/>
      <c r="K17" s="2609"/>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3" t="s">
        <v>2120</v>
      </c>
      <c r="C20" s="2613"/>
      <c r="D20" s="2609"/>
      <c r="E20" s="2609"/>
      <c r="F20" s="2609"/>
      <c r="G20" s="2609"/>
      <c r="H20" s="2609"/>
      <c r="I20" s="2609"/>
      <c r="J20" s="2609"/>
      <c r="K20" s="2609"/>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9" t="s">
        <v>2121</v>
      </c>
      <c r="C23" s="2609"/>
      <c r="D23" s="2609"/>
      <c r="E23" s="2609"/>
      <c r="F23" s="2609"/>
      <c r="G23" s="2609"/>
      <c r="H23" s="2609"/>
      <c r="I23" s="2609"/>
      <c r="J23" s="2609"/>
      <c r="K23" s="2609"/>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9" t="s">
        <v>2122</v>
      </c>
      <c r="C26" s="2609"/>
      <c r="D26" s="2609"/>
      <c r="E26" s="2609"/>
      <c r="F26" s="2609"/>
      <c r="G26" s="2609"/>
      <c r="H26" s="2609"/>
      <c r="I26" s="2609"/>
      <c r="J26" s="2609"/>
      <c r="K26" s="2609"/>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8" t="s">
        <v>2123</v>
      </c>
      <c r="C29" s="2608"/>
      <c r="D29" s="2609"/>
      <c r="E29" s="2609"/>
      <c r="F29" s="2609"/>
      <c r="G29" s="2609"/>
      <c r="H29" s="2609"/>
      <c r="I29" s="2609"/>
      <c r="J29" s="2609"/>
      <c r="K29" s="2609"/>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8" t="s">
        <v>2124</v>
      </c>
      <c r="C32" s="2608"/>
      <c r="D32" s="2609"/>
      <c r="E32" s="2609"/>
      <c r="F32" s="2609"/>
      <c r="G32" s="2609"/>
      <c r="H32" s="2609"/>
      <c r="I32" s="2609"/>
      <c r="J32" s="2609"/>
      <c r="K32" s="2609"/>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Paxton-Buckley-Loda CUD 10</v>
      </c>
      <c r="C1" s="2614"/>
      <c r="D1" s="2614"/>
      <c r="E1" s="2614"/>
      <c r="F1" s="2614"/>
      <c r="G1" s="2614"/>
      <c r="H1" s="2614"/>
      <c r="I1" s="2614"/>
      <c r="J1" s="2614"/>
      <c r="K1" s="2614"/>
      <c r="L1" s="1221"/>
    </row>
    <row r="2" spans="1:12" ht="12.75" customHeight="1" x14ac:dyDescent="0.2">
      <c r="B2" s="2615">
        <f>'Single Audit Cover'!E7</f>
        <v>9027010026</v>
      </c>
      <c r="C2" s="2615"/>
      <c r="D2" s="2615"/>
      <c r="E2" s="2615"/>
      <c r="F2" s="2615"/>
      <c r="G2" s="2615"/>
      <c r="H2" s="2615"/>
      <c r="I2" s="2615"/>
      <c r="J2" s="2615"/>
      <c r="K2" s="2615"/>
      <c r="L2" s="1222"/>
    </row>
    <row r="3" spans="1:12" ht="12.75" customHeight="1" x14ac:dyDescent="0.2">
      <c r="B3" s="2610" t="s">
        <v>1274</v>
      </c>
      <c r="C3" s="2610"/>
      <c r="D3" s="2610"/>
      <c r="E3" s="2610"/>
      <c r="F3" s="2610"/>
      <c r="G3" s="2610"/>
      <c r="H3" s="2610"/>
      <c r="I3" s="2610"/>
      <c r="J3" s="2610"/>
      <c r="K3" s="2610"/>
      <c r="L3" s="1147"/>
    </row>
    <row r="4" spans="1:12" ht="12.75" customHeight="1" x14ac:dyDescent="0.2">
      <c r="B4" s="2610" t="str">
        <f>'Single Audit Cover'!A4</f>
        <v>Year Ending June 30, 2020</v>
      </c>
      <c r="C4" s="2610"/>
      <c r="D4" s="2610"/>
      <c r="E4" s="2610"/>
      <c r="F4" s="2610"/>
      <c r="G4" s="2610"/>
      <c r="H4" s="2610"/>
      <c r="I4" s="2610"/>
      <c r="J4" s="2610"/>
      <c r="K4" s="2610"/>
      <c r="L4" s="1147"/>
    </row>
    <row r="5" spans="1:12" ht="5.25" customHeight="1" x14ac:dyDescent="0.2">
      <c r="B5" s="1036" t="s">
        <v>1159</v>
      </c>
      <c r="C5" s="1036"/>
      <c r="L5" s="300"/>
    </row>
    <row r="6" spans="1:12" ht="30.75" customHeight="1" x14ac:dyDescent="0.2">
      <c r="A6" s="300"/>
      <c r="B6" s="2616" t="s">
        <v>1297</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4"/>
      <c r="G12" s="2594"/>
      <c r="H12" s="2594"/>
      <c r="I12" s="2594"/>
      <c r="J12" s="2594"/>
      <c r="K12" s="2594"/>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7"/>
      <c r="E14" s="2617"/>
      <c r="F14" s="2617"/>
      <c r="H14" s="1230" t="s">
        <v>1292</v>
      </c>
      <c r="I14" s="2618"/>
      <c r="J14" s="2618"/>
      <c r="K14" s="2618"/>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8"/>
      <c r="E16" s="2618"/>
      <c r="F16" s="2618"/>
      <c r="G16" s="2618"/>
      <c r="H16" s="2618"/>
      <c r="I16" s="2618"/>
      <c r="J16" s="2618"/>
      <c r="K16" s="2618"/>
      <c r="L16" s="300"/>
    </row>
    <row r="17" spans="2:12" ht="13.5" customHeight="1" x14ac:dyDescent="0.2">
      <c r="B17" s="1156" t="s">
        <v>1290</v>
      </c>
      <c r="C17" s="1156"/>
      <c r="D17" s="2619"/>
      <c r="E17" s="2619"/>
      <c r="F17" s="2619"/>
      <c r="G17" s="2619"/>
      <c r="H17" s="2619"/>
      <c r="I17" s="2619"/>
      <c r="J17" s="2619"/>
      <c r="K17" s="2619"/>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9" t="s">
        <v>2111</v>
      </c>
      <c r="C20" s="2609"/>
      <c r="D20" s="2609"/>
      <c r="E20" s="2609"/>
      <c r="F20" s="2609"/>
      <c r="G20" s="2609"/>
      <c r="H20" s="2609"/>
      <c r="I20" s="2609"/>
      <c r="J20" s="2609"/>
      <c r="K20" s="2609"/>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9"/>
      <c r="C23" s="2609"/>
      <c r="D23" s="2609"/>
      <c r="E23" s="2609"/>
      <c r="F23" s="2609"/>
      <c r="G23" s="2609"/>
      <c r="H23" s="2609"/>
      <c r="I23" s="2609"/>
      <c r="J23" s="2609"/>
      <c r="K23" s="2609"/>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9"/>
      <c r="C26" s="2609"/>
      <c r="D26" s="2609"/>
      <c r="E26" s="2609"/>
      <c r="F26" s="2609"/>
      <c r="G26" s="2609"/>
      <c r="H26" s="2609"/>
      <c r="I26" s="2609"/>
      <c r="J26" s="2609"/>
      <c r="K26" s="2609"/>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9"/>
      <c r="C29" s="2609"/>
      <c r="D29" s="2609"/>
      <c r="E29" s="2609"/>
      <c r="F29" s="2609"/>
      <c r="G29" s="2609"/>
      <c r="H29" s="2609"/>
      <c r="I29" s="2609"/>
      <c r="J29" s="2609"/>
      <c r="K29" s="2609"/>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9"/>
      <c r="C32" s="2609"/>
      <c r="D32" s="2609"/>
      <c r="E32" s="2609"/>
      <c r="F32" s="2609"/>
      <c r="G32" s="2609"/>
      <c r="H32" s="2609"/>
      <c r="I32" s="2609"/>
      <c r="J32" s="2609"/>
      <c r="K32" s="2609"/>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9"/>
      <c r="C35" s="2609"/>
      <c r="D35" s="2609"/>
      <c r="E35" s="2609"/>
      <c r="F35" s="2609"/>
      <c r="G35" s="2609"/>
      <c r="H35" s="2609"/>
      <c r="I35" s="2609"/>
      <c r="J35" s="2609"/>
      <c r="K35" s="2609"/>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9"/>
      <c r="C38" s="2609"/>
      <c r="D38" s="2609"/>
      <c r="E38" s="2609"/>
      <c r="F38" s="2609"/>
      <c r="G38" s="2609"/>
      <c r="H38" s="2609"/>
      <c r="I38" s="2609"/>
      <c r="J38" s="2609"/>
      <c r="K38" s="2609"/>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9"/>
      <c r="C41" s="2609"/>
      <c r="D41" s="2609"/>
      <c r="E41" s="2609"/>
      <c r="F41" s="2609"/>
      <c r="G41" s="2609"/>
      <c r="H41" s="2609"/>
      <c r="I41" s="2609"/>
      <c r="J41" s="2609"/>
      <c r="K41" s="2609"/>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7" t="str">
        <f>'Single Audit Cover'!A7</f>
        <v xml:space="preserve">  Paxton-Buckley-Loda CUD 10</v>
      </c>
      <c r="C1" s="2587"/>
      <c r="D1" s="2587"/>
      <c r="E1" s="1240"/>
    </row>
    <row r="2" spans="2:5" s="1058" customFormat="1" ht="12.75" customHeight="1" x14ac:dyDescent="0.2">
      <c r="B2" s="2589">
        <f>'Single Audit Cover'!E7</f>
        <v>9027010026</v>
      </c>
      <c r="C2" s="2589"/>
      <c r="D2" s="2589"/>
      <c r="E2" s="1241"/>
    </row>
    <row r="3" spans="2:5" ht="12.75" customHeight="1" x14ac:dyDescent="0.2">
      <c r="B3" s="2610" t="s">
        <v>1740</v>
      </c>
      <c r="C3" s="2610"/>
      <c r="D3" s="2610"/>
      <c r="E3" s="1050"/>
    </row>
    <row r="4" spans="2:5" s="1058" customFormat="1" ht="12.75" customHeight="1" x14ac:dyDescent="0.2">
      <c r="B4" s="2620" t="str">
        <f>'Single Audit Cover'!A4</f>
        <v>Year Ending June 30, 2020</v>
      </c>
      <c r="C4" s="2620"/>
      <c r="D4" s="2620"/>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c r="C7" s="302"/>
      <c r="D7" s="302"/>
      <c r="E7" s="302"/>
    </row>
    <row r="8" spans="2:5" ht="13.5" customHeight="1" x14ac:dyDescent="0.2">
      <c r="B8" s="1245" t="s">
        <v>2111</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d21dc803-237d-4c68-8692-8d731fd29118"/>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(2)</vt:lpstr>
      <vt:lpstr> SEFA (3)</vt:lpstr>
      <vt:lpstr> SEFA</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2020-10-06T12:41:43Z</cp:lastPrinted>
  <dcterms:created xsi:type="dcterms:W3CDTF">2003-10-29T19:06:34Z</dcterms:created>
  <dcterms:modified xsi:type="dcterms:W3CDTF">2020-11-17T17:29:35Z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