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952AF48-422F-4313-B314-08EC0751ACE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8">' SEFA'!$B$1:$M$46</definedName>
    <definedName name="_xlnm.Print_Area" localSheetId="27">'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5" l="1"/>
  <c r="L26" i="185"/>
  <c r="L25" i="185"/>
  <c r="L24" i="185"/>
  <c r="L23" i="185"/>
  <c r="L22" i="185"/>
  <c r="L21" i="185"/>
  <c r="L20" i="185"/>
  <c r="L19" i="185"/>
  <c r="L18" i="185"/>
  <c r="L17" i="185"/>
  <c r="L16" i="185"/>
  <c r="L15" i="185"/>
  <c r="L14" i="185"/>
  <c r="L13" i="185"/>
  <c r="L12" i="185"/>
  <c r="L11" i="185"/>
  <c r="I9" i="185"/>
  <c r="G9" i="185"/>
  <c r="F9" i="185"/>
  <c r="E9" i="185"/>
  <c r="J8" i="185"/>
  <c r="H8" i="185"/>
  <c r="B4"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C352" i="29" l="1"/>
  <c r="J210" i="29"/>
  <c r="B7072" i="106" s="1"/>
  <c r="D7072" i="106" s="1"/>
  <c r="D68" i="36"/>
  <c r="D69" i="36"/>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266" i="106" l="1"/>
  <c r="D1266" i="106" s="1"/>
  <c r="K342" i="29"/>
  <c r="F13" i="34" s="1"/>
  <c r="B6216" i="106"/>
  <c r="D6216" i="106" s="1"/>
  <c r="F41" i="108"/>
  <c r="G43" i="108" s="1"/>
  <c r="D44" i="36"/>
  <c r="L16" i="11"/>
  <c r="B2061" i="106" s="1"/>
  <c r="D2061" i="106" s="1"/>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K17" i="4" l="1"/>
  <c r="J20" i="4"/>
  <c r="B6227" i="106"/>
  <c r="D6227"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<sst xmlns="http://schemas.openxmlformats.org/spreadsheetml/2006/main" count="5256" uniqueCount="2129">
  <si>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</si>
  <si>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</si>
  <si>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</si>
  <si>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</si>
  <si>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</si>
  <si>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</si>
  <si>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</si>
  <si>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</si>
  <si>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</si>
  <si>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</si>
  <si>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</si>
  <si>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</si>
  <si>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</si>
  <si>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</si>
  <si>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</si>
  <si>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</si>
  <si>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</si>
  <si>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</si>
  <si>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</si>
  <si>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</si>
  <si>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</si>
  <si>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</si>
  <si>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</si>
  <si>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</si>
  <si>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</si>
  <si>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</si>
  <si>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</si>
  <si>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</si>
  <si>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</si>
  <si>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</si>
  <si>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</si>
  <si>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</si>
  <si>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</si>
  <si>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</si>
  <si>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</si>
  <si>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</si>
  <si>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</si>
  <si>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</si>
  <si>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</si>
  <si>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</si>
  <si>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</si>
  <si>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</si>
  <si>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</si>
  <si>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</si>
  <si>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</si>
  <si>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</si>
  <si>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</si>
  <si>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</si>
  <si>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</si>
  <si>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</si>
  <si>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</si>
  <si>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</si>
  <si>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</si>
  <si>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</si>
  <si>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</si>
  <si>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</si>
  <si>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</si>
  <si>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</si>
  <si>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</si>
  <si>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</si>
  <si>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</si>
  <si>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</si>
  <si>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</si>
  <si>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</si>
  <si>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</si>
  <si>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</si>
  <si>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</si>
  <si>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</si>
  <si>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</si>
  <si>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</si>
  <si>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</si>
  <si>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</si>
  <si>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</si>
  <si>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</si>
  <si>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</si>
  <si>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</si>
  <si>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</si>
  <si>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</si>
  <si>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</si>
  <si>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</si>
  <si>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</si>
  <si>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</si>
  <si>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</si>
  <si>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</si>
  <si>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</si>
  <si>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</si>
  <si>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</si>
  <si>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</si>
  <si>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</si>
  <si>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</si>
  <si>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</si>
  <si>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</si>
  <si>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</si>
  <si>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</si>
  <si>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</si>
  <si>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</si>
  <si>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</si>
  <si>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</si>
  <si>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</si>
  <si>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</si>
  <si>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</si>
  <si>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</si>
  <si>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</si>
  <si>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</si>
  <si>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</si>
  <si>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</si>
  <si>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</si>
  <si>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</si>
  <si>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</si>
  <si>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</si>
  <si>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</si>
  <si>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</si>
  <si>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</si>
  <si>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</si>
  <si>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</si>
  <si>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</si>
  <si>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</si>
  <si>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</si>
  <si>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</si>
  <si>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</si>
  <si>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</si>
  <si>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</si>
  <si>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</si>
  <si>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</si>
  <si>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</si>
  <si>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</si>
  <si>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</si>
  <si>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</si>
  <si>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</si>
  <si>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</si>
  <si>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</si>
  <si>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</si>
  <si>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</si>
  <si>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</si>
  <si>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</si>
  <si>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</si>
  <si>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</si>
  <si>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</si>
  <si>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</si>
  <si>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</si>
  <si>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</si>
  <si>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</si>
  <si>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</si>
  <si>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</si>
  <si>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</si>
  <si>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</si>
  <si>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</si>
  <si>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</si>
  <si>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</si>
  <si>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</si>
  <si>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</si>
  <si>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</si>
  <si>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</si>
  <si>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</si>
  <si>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</si>
  <si>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</si>
  <si>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</si>
  <si>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</si>
  <si>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</si>
  <si>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</si>
  <si>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</si>
  <si>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</si>
  <si>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</si>
  <si>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</si>
  <si>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</si>
  <si>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</si>
  <si>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</si>
  <si>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</si>
  <si>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</si>
  <si>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</si>
  <si>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</si>
  <si>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</si>
  <si>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</si>
  <si>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</si>
  <si>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</si>
  <si>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</si>
  <si>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</si>
  <si>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</si>
  <si>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</si>
  <si>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</si>
  <si>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</si>
  <si>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</si>
  <si>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</si>
  <si>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</si>
  <si>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</si>
  <si>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</si>
  <si>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</si>
  <si>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</si>
  <si>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</si>
  <si>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</si>
  <si>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</si>
  <si>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</si>
  <si>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</si>
  <si>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</si>
  <si>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</si>
  <si>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</si>
  <si>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</si>
  <si>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</si>
  <si>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</si>
  <si>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</si>
  <si>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</si>
  <si>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</si>
  <si>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</si>
  <si>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</si>
  <si>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</si>
  <si>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</si>
  <si>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</si>
  <si>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</si>
  <si>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</si>
  <si>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</si>
  <si>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</si>
  <si>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</si>
  <si>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</si>
  <si>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</si>
  <si>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</si>
  <si>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</si>
  <si>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</si>
  <si>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</si>
  <si>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</si>
  <si>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</si>
  <si>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</si>
  <si>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</si>
  <si>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</si>
  <si>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</si>
  <si>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</si>
  <si>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</si>
  <si>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</si>
  <si>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</si>
  <si>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</si>
  <si>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</si>
  <si>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</si>
  <si>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</si>
  <si>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</si>
  <si>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</si>
  <si>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</si>
  <si>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</si>
  <si>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</si>
  <si>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</si>
  <si>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</si>
  <si>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</si>
  <si>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</si>
  <si>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</si>
  <si>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</si>
  <si>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</si>
  <si>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</si>
  <si>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</si>
  <si>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</si>
  <si>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</si>
  <si>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</si>
  <si>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</si>
  <si>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</si>
  <si>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</si>
  <si>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</si>
  <si>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</si>
  <si>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</si>
  <si>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</si>
  <si>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</si>
  <si>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</si>
  <si>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</si>
  <si>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</si>
  <si>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</si>
  <si>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</si>
  <si>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</si>
  <si>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</si>
  <si>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</si>
  <si>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</si>
  <si>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</si>
  <si>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</si>
  <si>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</si>
  <si>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</si>
  <si>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</si>
  <si>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</si>
  <si>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</si>
  <si>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</si>
  <si>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</si>
  <si>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</si>
  <si>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</si>
  <si>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</si>
  <si>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</si>
  <si>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</si>
  <si>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</si>
  <si>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</si>
  <si>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</si>
  <si>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</si>
  <si>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</si>
  <si>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</si>
  <si>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</si>
  <si>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</si>
  <si>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</si>
  <si>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</si>
  <si>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</si>
  <si>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</si>
  <si>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</si>
  <si>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</si>
  <si>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</si>
  <si>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</si>
  <si>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</si>
  <si>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</si>
  <si>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</si>
  <si>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</si>
  <si>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</si>
  <si>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</si>
  <si>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</si>
  <si>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</si>
  <si>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</si>
  <si>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</si>
  <si>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</si>
  <si>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</si>
  <si>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</si>
  <si>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</si>
  <si>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</si>
  <si>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</si>
  <si>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</si>
  <si>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</si>
  <si>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</si>
  <si>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</si>
  <si>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</si>
  <si>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</si>
  <si>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</si>
  <si>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</si>
  <si>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</si>
  <si>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</si>
  <si>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</si>
  <si>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</si>
  <si>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</si>
  <si>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</si>
  <si>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</si>
  <si>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</si>
  <si>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</si>
  <si>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</si>
  <si>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</si>
  <si>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</si>
  <si>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</si>
  <si>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</si>
  <si>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</si>
  <si>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</si>
  <si>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</si>
  <si>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</si>
  <si>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</si>
  <si>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</si>
  <si>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</si>
  <si>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</si>
  <si>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</si>
  <si>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</si>
  <si>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</si>
  <si>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</si>
  <si>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</si>
  <si>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</si>
  <si>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</si>
  <si>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</si>
  <si>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</si>
  <si>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</si>
  <si>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</si>
  <si>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</si>
  <si>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</si>
  <si>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</si>
  <si>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</si>
  <si>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</si>
  <si>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</si>
  <si>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</si>
  <si>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</si>
  <si>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</si>
  <si>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</si>
  <si>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</si>
  <si>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</si>
  <si>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</si>
  <si>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</si>
  <si>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</si>
  <si>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</si>
  <si>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</si>
  <si>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</si>
  <si>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</si>
  <si>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</si>
  <si>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</si>
  <si>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</si>
  <si>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</si>
  <si>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</si>
  <si>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</si>
  <si>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</si>
  <si>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</si>
  <si>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</si>
  <si>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</si>
  <si>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</si>
  <si>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</si>
  <si>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</si>
  <si>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</si>
  <si>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</si>
  <si>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</si>
  <si>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</si>
  <si>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</si>
  <si>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</si>
  <si>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</si>
  <si>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</si>
  <si>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</si>
  <si>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</si>
  <si>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</si>
  <si>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</si>
  <si>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</si>
  <si>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</si>
  <si>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</si>
  <si>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</si>
  <si>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</si>
  <si>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</si>
  <si>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</si>
  <si>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</si>
  <si>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</si>
  <si>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</si>
  <si>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</si>
  <si>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</si>
  <si>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</si>
  <si>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</si>
  <si>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</si>
  <si>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</si>
  <si>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</si>
  <si>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</si>
  <si>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</si>
  <si>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</si>
  <si>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</si>
  <si>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</si>
  <si>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</si>
  <si>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</si>
  <si>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</si>
  <si>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</si>
  <si>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</si>
  <si>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</si>
  <si>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</si>
  <si>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</si>
  <si>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</si>
  <si>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</si>
  <si>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</si>
  <si>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</si>
  <si>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</si>
  <si>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</si>
  <si>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</si>
  <si>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</si>
  <si>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</si>
  <si>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</si>
  <si>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</si>
  <si>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</si>
  <si>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</si>
  <si>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</si>
  <si>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</si>
  <si>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</si>
  <si>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</si>
  <si>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</si>
  <si>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</si>
  <si>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</si>
  <si>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</si>
  <si>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</si>
  <si>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</si>
  <si>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</si>
  <si>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</si>
  <si>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</si>
  <si>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</si>
  <si>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</si>
  <si>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</si>
  <si>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</si>
  <si>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</si>
  <si>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</si>
  <si>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</si>
  <si>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</si>
  <si>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</si>
  <si>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</si>
  <si>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</si>
  <si>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</si>
  <si>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</si>
  <si>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</si>
  <si>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</si>
  <si>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</si>
  <si>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</si>
  <si>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</si>
  <si>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</si>
  <si>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</si>
  <si>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</si>
  <si>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</si>
  <si>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</si>
  <si>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</si>
  <si>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</si>
  <si>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</si>
  <si>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</si>
  <si>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</si>
  <si>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</si>
  <si>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</si>
  <si>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</si>
  <si>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</si>
  <si>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</si>
  <si>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</si>
  <si>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</si>
  <si>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</si>
  <si>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</si>
  <si>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</si>
  <si>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</si>
  <si>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</si>
  <si>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</si>
  <si>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</si>
  <si>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</si>
  <si>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</si>
  <si>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</si>
  <si>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</si>
  <si>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</si>
  <si>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</si>
  <si>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</si>
  <si>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</si>
  <si>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</si>
  <si>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</si>
  <si>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</si>
  <si>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</si>
  <si>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</si>
  <si>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</si>
  <si>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</si>
  <si>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</si>
  <si>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</si>
  <si>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</si>
  <si>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</si>
  <si>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</si>
  <si>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</si>
  <si>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</si>
  <si>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</si>
  <si>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</si>
  <si>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</si>
  <si>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</si>
  <si>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</si>
  <si>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</si>
  <si>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</si>
  <si>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</si>
  <si>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</si>
  <si>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</si>
  <si>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</si>
  <si>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</si>
  <si>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</si>
  <si>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</si>
  <si>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</si>
  <si>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</si>
  <si>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</si>
  <si>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</si>
  <si>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</si>
  <si>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</si>
  <si>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</si>
  <si>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</si>
  <si>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</si>
  <si>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</si>
  <si>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</si>
  <si>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</si>
  <si>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</si>
  <si>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</si>
  <si>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</si>
  <si>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</si>
  <si>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</si>
  <si>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</si>
  <si>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</si>
  <si>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</si>
  <si>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</si>
  <si>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</si>
  <si>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</si>
  <si>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</si>
  <si>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</si>
  <si>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</si>
  <si>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</si>
  <si>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</si>
  <si>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</si>
  <si>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</si>
  <si>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</si>
  <si>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</si>
  <si>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</si>
  <si>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</si>
  <si>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</si>
  <si>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</si>
  <si>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</si>
  <si>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</si>
  <si>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</si>
  <si>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</si>
  <si>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</si>
  <si>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</si>
  <si>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</si>
  <si>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</si>
  <si>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</si>
  <si>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</si>
  <si>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</si>
  <si>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</si>
  <si>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</si>
  <si>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</si>
  <si>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</si>
  <si>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</si>
  <si>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</si>
  <si>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</si>
  <si>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</si>
  <si>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</si>
  <si>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</si>
  <si>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</si>
  <si>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</si>
  <si>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</si>
  <si>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</si>
  <si>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</si>
  <si>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</si>
  <si>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</si>
  <si>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</si>
  <si>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</si>
  <si>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</si>
  <si>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</si>
  <si>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</si>
  <si>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</si>
  <si>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</si>
  <si>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</si>
  <si>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</si>
  <si>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</si>
  <si>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</si>
  <si>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</si>
  <si>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</si>
  <si>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</si>
  <si>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</si>
  <si>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</si>
  <si>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</si>
  <si>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</si>
  <si>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</si>
  <si>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</si>
  <si>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</si>
  <si>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</si>
  <si>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</si>
  <si>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</si>
  <si>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</si>
  <si>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</si>
  <si>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</si>
  <si>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</si>
  <si>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</si>
  <si>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</si>
  <si>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</si>
  <si>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</si>
  <si>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</si>
  <si>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</si>
  <si>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</si>
  <si>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</si>
  <si>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</si>
  <si>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</si>
  <si>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</si>
  <si>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</si>
  <si>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</si>
  <si>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</si>
  <si>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</si>
  <si>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</si>
  <si>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</si>
  <si>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</si>
  <si>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</si>
  <si>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</si>
  <si>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</si>
  <si>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</si>
  <si>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</si>
  <si>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</si>
  <si>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</si>
  <si>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</si>
  <si>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</si>
  <si>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</si>
  <si>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</si>
  <si>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</si>
  <si>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</si>
  <si>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</si>
  <si>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</si>
  <si>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</si>
  <si>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</si>
  <si>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</si>
  <si>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</si>
  <si>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</si>
  <si>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</si>
  <si>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</si>
  <si>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</si>
  <si>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</si>
  <si>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</si>
  <si>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</si>
  <si>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</si>
  <si>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</si>
  <si>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</si>
  <si>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</si>
  <si>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</si>
  <si>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</si>
  <si>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</si>
  <si>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</si>
  <si>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</si>
  <si>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</si>
  <si>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</si>
  <si>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</si>
  <si>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</si>
  <si>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</si>
  <si>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</si>
  <si>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</si>
  <si>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</si>
  <si>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</si>
  <si>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</si>
  <si>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</si>
  <si>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</si>
  <si>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</si>
  <si>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</si>
  <si>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</si>
  <si>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</si>
  <si>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</si>
  <si>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</si>
  <si>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</si>
  <si>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</si>
  <si>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</si>
  <si>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</si>
  <si>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</si>
  <si>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</si>
  <si>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</si>
  <si>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</si>
  <si>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</si>
  <si>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</si>
  <si>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</si>
  <si>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</si>
  <si>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</si>
  <si>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</si>
  <si>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</si>
  <si>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</si>
  <si>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</si>
  <si>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</si>
  <si>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</si>
  <si>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</si>
  <si>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</si>
  <si>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</si>
  <si>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</si>
  <si>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</si>
  <si>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</si>
  <si>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</si>
  <si>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</si>
  <si>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</si>
  <si>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</si>
  <si>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</si>
  <si>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</si>
  <si>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</si>
  <si>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</si>
  <si>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</si>
  <si>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</si>
  <si>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</si>
  <si>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</si>
  <si>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</si>
  <si>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</si>
  <si>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</si>
  <si>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</si>
  <si>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</si>
  <si>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</si>
  <si>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</si>
  <si>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</si>
  <si>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</si>
  <si>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</si>
  <si>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</si>
  <si>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</si>
  <si>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</si>
  <si>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</si>
  <si>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</si>
  <si>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</si>
  <si>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</si>
  <si>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</si>
  <si>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</si>
  <si>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</si>
  <si>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</si>
  <si>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</si>
  <si>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</si>
  <si>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</si>
  <si>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</si>
  <si>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</si>
  <si>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</si>
  <si>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</si>
  <si>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</si>
  <si>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</si>
  <si>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</si>
  <si>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</si>
  <si>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</si>
  <si>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</si>
  <si>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</si>
  <si>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</si>
  <si>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</si>
  <si>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</si>
  <si>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</si>
  <si>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</si>
  <si>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</si>
  <si>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</si>
  <si>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</si>
  <si>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</si>
  <si>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</si>
  <si>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</si>
  <si>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</si>
  <si>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</si>
  <si>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</si>
  <si>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</si>
  <si>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</si>
  <si>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</si>
  <si>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</si>
  <si>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</si>
  <si>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</si>
  <si>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</si>
  <si>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</si>
  <si>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</si>
  <si>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</si>
  <si>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</si>
  <si>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</si>
  <si>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</si>
  <si>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</si>
  <si>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</si>
  <si>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</si>
  <si>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</si>
  <si>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</si>
  <si>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</si>
  <si>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</si>
  <si>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</si>
  <si>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</si>
  <si>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</si>
  <si>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</si>
  <si>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</si>
  <si>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</si>
  <si>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</si>
  <si>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</si>
  <si>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</si>
  <si>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</si>
  <si>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</si>
  <si>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</si>
  <si>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</si>
  <si>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</si>
  <si>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</si>
  <si>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</si>
  <si>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</si>
  <si>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</si>
  <si>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</si>
  <si>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</si>
  <si>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</si>
  <si>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</si>
  <si>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</si>
  <si>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</si>
  <si>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</si>
  <si>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</si>
  <si>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</si>
  <si>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</si>
  <si>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</si>
  <si>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</si>
  <si>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</si>
  <si>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</si>
  <si>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</si>
  <si>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</si>
  <si>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</si>
  <si>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</si>
  <si>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</si>
  <si>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</si>
  <si>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</si>
  <si>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</si>
  <si>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</si>
  <si>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</si>
  <si>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</si>
  <si>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</si>
  <si>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</si>
  <si>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</si>
  <si>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</si>
  <si>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</si>
  <si>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</si>
  <si>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</si>
  <si>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</si>
  <si>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</si>
  <si>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</si>
  <si>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</si>
  <si>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</si>
  <si>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</si>
  <si>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</si>
  <si>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</si>
  <si>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</si>
  <si>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</si>
  <si>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</si>
  <si>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</si>
  <si>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</si>
  <si>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</si>
  <si>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</si>
  <si>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</si>
  <si>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</si>
  <si>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</si>
  <si>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</si>
  <si>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</si>
  <si>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</si>
  <si>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</si>
  <si>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</si>
  <si>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</si>
  <si>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</si>
  <si>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</si>
  <si>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</si>
  <si>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</si>
  <si>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</si>
  <si>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</si>
  <si>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</si>
  <si>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</si>
  <si>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</si>
  <si>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</si>
  <si>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</si>
  <si>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</si>
  <si>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</si>
  <si>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</si>
  <si>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</si>
  <si>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</si>
  <si>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</si>
  <si>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</si>
  <si>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</si>
  <si>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</si>
  <si>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</si>
  <si>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</si>
  <si>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</si>
  <si>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</si>
  <si>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</si>
  <si>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</si>
  <si>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</si>
  <si>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</si>
  <si>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</si>
  <si>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</si>
  <si>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</si>
  <si>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</si>
  <si>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</si>
  <si>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</si>
  <si>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</si>
  <si>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</si>
  <si>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</si>
  <si>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</si>
  <si>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</si>
  <si>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</si>
  <si>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</si>
  <si>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</si>
  <si>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</si>
  <si>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</si>
  <si>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</si>
  <si>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</si>
  <si>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</si>
  <si>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</si>
  <si>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</si>
  <si>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</si>
  <si>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</si>
  <si>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</si>
  <si>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</si>
  <si>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</si>
  <si>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</si>
  <si>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</si>
  <si>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</si>
  <si>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</si>
  <si>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</si>
  <si>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</si>
  <si>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</si>
  <si>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</si>
  <si>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</si>
  <si>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</si>
  <si>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</si>
  <si>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</si>
  <si>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</si>
  <si>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</si>
  <si>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</si>
  <si>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</si>
  <si>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</si>
  <si>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</si>
  <si>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</si>
  <si>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</si>
  <si>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</si>
  <si>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</si>
  <si>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</si>
  <si>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</si>
  <si>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</si>
  <si>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</si>
  <si>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</si>
  <si>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</si>
  <si>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</si>
  <si>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</si>
  <si>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</si>
  <si>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</si>
  <si>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</si>
  <si>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</si>
  <si>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</si>
  <si>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</si>
  <si>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</si>
  <si>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</si>
  <si>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</si>
  <si>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</si>
  <si>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</si>
  <si>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</si>
  <si>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</si>
  <si>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</si>
  <si>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</si>
  <si>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</si>
  <si>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</si>
  <si>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</si>
  <si>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</si>
  <si>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</si>
  <si>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</si>
  <si>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</si>
  <si>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</si>
  <si>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</si>
  <si>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</si>
  <si>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</si>
  <si>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</si>
  <si>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</si>
  <si>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</si>
  <si>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</si>
  <si>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</si>
  <si>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</si>
  <si>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</si>
  <si>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</si>
  <si>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</si>
  <si>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</si>
  <si>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</si>
  <si>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</si>
  <si>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</si>
  <si>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</si>
  <si>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</si>
  <si>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</si>
  <si>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</si>
  <si>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</si>
  <si>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</si>
  <si>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</si>
  <si>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</si>
  <si>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</si>
  <si>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</si>
  <si>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</si>
  <si>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</si>
  <si>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</si>
  <si>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</si>
  <si>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</si>
  <si>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</si>
  <si>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</si>
  <si>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</si>
  <si>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</si>
  <si>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</si>
  <si>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</si>
  <si>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</si>
  <si>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</si>
  <si>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</si>
  <si>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</si>
  <si>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</si>
  <si>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</si>
  <si>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</si>
  <si>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</si>
  <si>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</si>
  <si>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</si>
  <si>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</si>
  <si>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</si>
  <si>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</si>
  <si>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</si>
  <si>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</si>
  <si>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</si>
  <si>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</si>
  <si>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</si>
  <si>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</si>
  <si>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</si>
  <si>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</si>
  <si>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</si>
  <si>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</si>
  <si>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</si>
  <si>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</si>
  <si>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</si>
  <si>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</si>
  <si>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</si>
  <si>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</si>
  <si>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</si>
  <si>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</si>
  <si>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</si>
  <si>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</si>
  <si>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</si>
  <si>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</si>
  <si>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</si>
  <si>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</si>
  <si>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</si>
  <si>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</si>
  <si>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</si>
  <si>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</si>
  <si>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</si>
  <si>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</si>
  <si>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</si>
  <si>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</si>
  <si>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</si>
  <si>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</si>
  <si>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</si>
  <si>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</si>
  <si>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</si>
  <si>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</si>
  <si>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</si>
  <si>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</si>
  <si>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</si>
  <si>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</si>
  <si>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</si>
  <si>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</si>
  <si>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</si>
  <si>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</si>
  <si>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</si>
  <si>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</si>
  <si>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</si>
  <si>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</si>
  <si>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</si>
  <si>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</si>
  <si>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</si>
  <si>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</si>
  <si>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</si>
  <si>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</si>
  <si>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</si>
  <si>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</si>
  <si>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</si>
  <si>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</si>
  <si>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</si>
  <si>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</si>
  <si>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</si>
  <si>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</si>
  <si>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</si>
  <si>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</si>
  <si>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</si>
  <si>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</si>
  <si>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</si>
  <si>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</si>
  <si>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</si>
  <si>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</si>
  <si>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</si>
  <si>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</si>
  <si>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</si>
  <si>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</si>
  <si>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</si>
  <si>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</si>
  <si>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</si>
  <si>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</si>
  <si>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</si>
  <si>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</si>
  <si>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</si>
  <si>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</si>
  <si>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</si>
  <si>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</si>
  <si>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</si>
  <si>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</si>
  <si>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</si>
  <si>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</si>
  <si>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</si>
  <si>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</si>
  <si>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</si>
  <si>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</si>
  <si>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</si>
  <si>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</si>
  <si>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</si>
  <si>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</si>
  <si>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</si>
  <si>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</si>
  <si>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</si>
  <si>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</si>
  <si>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</si>
  <si>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</si>
  <si>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</si>
  <si>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</si>
  <si>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</si>
  <si>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</si>
  <si>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</si>
  <si>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</si>
  <si>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</si>
  <si>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</si>
  <si>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</si>
  <si>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</si>
  <si>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</si>
  <si>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</si>
  <si>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</si>
  <si>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</si>
  <si>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</si>
  <si>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</si>
  <si>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</si>
  <si>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</si>
  <si>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</si>
  <si>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</si>
  <si>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</si>
  <si>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</si>
  <si>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</si>
  <si>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</si>
  <si>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</si>
  <si>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</si>
  <si>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</si>
  <si>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</si>
  <si>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</si>
  <si>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</si>
  <si>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</si>
  <si>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</si>
  <si>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</si>
  <si>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</si>
  <si>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</si>
  <si>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</si>
  <si>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</si>
  <si>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</si>
  <si>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</si>
  <si>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</si>
  <si>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</si>
  <si>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</si>
  <si>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</si>
  <si>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</si>
  <si>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</si>
  <si>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</si>
  <si>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</si>
  <si>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</si>
  <si>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</si>
  <si>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</si>
  <si>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</si>
  <si>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</si>
  <si>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</si>
  <si>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</si>
  <si>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</si>
  <si>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</si>
  <si>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</si>
  <si>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</si>
  <si>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</si>
  <si>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</si>
  <si>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</si>
  <si>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</si>
  <si>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</si>
  <si>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</si>
  <si>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</si>
  <si>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</si>
  <si>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</si>
  <si>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</si>
  <si>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</si>
  <si>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</si>
  <si>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</si>
  <si>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</si>
  <si>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</si>
  <si>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</si>
  <si>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</si>
  <si>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</si>
  <si>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</si>
  <si>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</si>
  <si>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</si>
  <si>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</si>
  <si>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</si>
  <si>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</si>
  <si>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</si>
  <si>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</si>
  <si>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</si>
  <si>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</si>
  <si>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</si>
  <si>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</si>
  <si>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</si>
  <si>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</si>
  <si>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</si>
  <si>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</si>
  <si>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</si>
  <si>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</si>
  <si>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</si>
  <si>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</si>
  <si>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</si>
  <si>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</si>
  <si>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</si>
  <si>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</si>
  <si>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</si>
  <si>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</si>
  <si>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</si>
  <si>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</si>
  <si>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</si>
  <si>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</si>
  <si>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</si>
  <si>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</si>
  <si>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</si>
  <si>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</si>
  <si>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</si>
  <si>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</si>
  <si>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</si>
  <si>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</si>
  <si>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</si>
  <si>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</si>
  <si>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</si>
  <si>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</si>
  <si>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</si>
  <si>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</si>
  <si>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</si>
  <si>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</si>
  <si>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</si>
  <si>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</si>
  <si>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</si>
  <si>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</si>
  <si>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</si>
  <si>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</si>
  <si>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</si>
  <si>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</si>
  <si>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</si>
  <si>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</si>
  <si>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</si>
  <si>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</si>
  <si>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</si>
  <si>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</si>
  <si>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</si>
  <si>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</si>
  <si>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</si>
  <si>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</si>
  <si>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</si>
  <si>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</si>
  <si>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</si>
  <si>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</si>
  <si>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</si>
  <si>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</si>
  <si>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</si>
  <si>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</si>
  <si>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</si>
  <si>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</si>
  <si>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</si>
  <si>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</si>
  <si>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</si>
  <si>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</si>
  <si>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</si>
  <si>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</si>
  <si>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</si>
  <si>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</si>
  <si>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</si>
  <si>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</si>
  <si>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</si>
  <si>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</si>
  <si>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</si>
  <si>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</si>
  <si>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</si>
  <si>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</si>
  <si>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</si>
  <si>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</si>
  <si>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</si>
  <si>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</si>
  <si>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</si>
  <si>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</si>
  <si>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</si>
  <si>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</si>
  <si>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</si>
  <si>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</si>
  <si>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</si>
  <si>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</si>
  <si>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</si>
  <si>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</si>
  <si>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</si>
  <si>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</si>
  <si>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</si>
  <si>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</si>
  <si>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</si>
  <si>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</si>
  <si>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</si>
  <si>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</si>
  <si>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</si>
  <si>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</si>
  <si>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</si>
  <si>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</si>
  <si>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</si>
  <si>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</si>
  <si>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</si>
  <si>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</si>
  <si>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</si>
  <si>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</si>
  <si>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</si>
  <si>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</si>
  <si>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</si>
  <si>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</si>
  <si>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</si>
  <si>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</si>
  <si>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</si>
  <si>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</si>
  <si>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</si>
  <si>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</si>
  <si>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</si>
  <si>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</si>
  <si>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</si>
  <si>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</si>
  <si>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</si>
  <si>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</si>
  <si>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</si>
  <si>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</si>
  <si>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</si>
  <si>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</si>
  <si>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</si>
  <si>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</si>
  <si>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</si>
  <si>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</si>
  <si>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</si>
  <si>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</si>
  <si>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</si>
  <si>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</si>
  <si>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</si>
  <si>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</si>
  <si>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</si>
  <si>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</si>
  <si>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</si>
  <si>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</si>
  <si>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</si>
  <si>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</si>
  <si>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</si>
  <si>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</si>
  <si>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</si>
  <si>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</si>
  <si>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</si>
  <si>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</si>
  <si>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</si>
  <si>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</si>
  <si>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</si>
  <si>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</si>
  <si>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</si>
  <si>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</si>
  <si>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</si>
  <si>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</si>
  <si>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</si>
  <si>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</si>
  <si>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</si>
  <si>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</si>
  <si>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</si>
  <si>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</si>
  <si>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</si>
  <si>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</si>
  <si>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</si>
  <si>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</si>
  <si>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</si>
  <si>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</si>
  <si>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</si>
  <si>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</si>
  <si>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</si>
  <si>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</si>
  <si>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</si>
  <si>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</si>
  <si>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</si>
  <si>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</si>
  <si>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</si>
  <si>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</si>
  <si>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</si>
  <si>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</si>
  <si>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</si>
  <si>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</si>
  <si>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</si>
  <si>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</si>
  <si>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</si>
  <si>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</si>
  <si>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</si>
  <si>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</si>
  <si>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</si>
  <si>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</si>
  <si>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</si>
  <si>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</si>
  <si>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</si>
  <si>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</si>
  <si>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</si>
  <si>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</si>
  <si>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</si>
  <si>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</si>
  <si>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</si>
  <si>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</si>
  <si>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</si>
  <si>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</si>
  <si>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</si>
  <si>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</si>
  <si>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</si>
  <si>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</si>
  <si>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</si>
  <si>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</si>
  <si>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</si>
  <si>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</si>
  <si>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</si>
  <si>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</si>
  <si>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</si>
  <si>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</si>
  <si>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</si>
  <si>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</si>
  <si>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</si>
  <si>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</si>
  <si>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</si>
  <si>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</si>
  <si>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</si>
  <si>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</si>
  <si>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</si>
  <si>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</si>
  <si>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</si>
  <si>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</si>
  <si>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</si>
  <si>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</si>
  <si>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</si>
  <si>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</si>
  <si>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</si>
  <si>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</si>
  <si>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</si>
  <si>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</si>
  <si>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</si>
  <si>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</si>
  <si>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</si>
  <si>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</si>
  <si>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</si>
  <si>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</si>
  <si>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</si>
  <si>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</si>
  <si>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</si>
  <si>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</si>
  <si>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</si>
  <si>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</si>
  <si>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</si>
  <si>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</si>
  <si>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</si>
  <si>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</si>
  <si>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</si>
  <si>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</si>
  <si>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</si>
  <si>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</si>
  <si>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</si>
  <si>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</si>
  <si>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</si>
  <si>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</si>
  <si>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</si>
  <si>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</si>
  <si>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</si>
  <si>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</si>
  <si>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</si>
  <si>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</si>
  <si>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</si>
  <si>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</si>
  <si>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</si>
  <si>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</si>
  <si>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</si>
  <si>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</si>
  <si>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</si>
  <si>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</si>
  <si>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</si>
  <si>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</si>
  <si>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</si>
  <si>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</si>
  <si>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</si>
  <si>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</si>
  <si>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</si>
  <si>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</si>
  <si>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</si>
  <si>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</si>
  <si>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</si>
  <si>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</si>
  <si>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</si>
  <si>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</si>
  <si>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</si>
  <si>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</si>
  <si>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</si>
  <si>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</si>
  <si>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</si>
  <si>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</si>
  <si>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</si>
  <si>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</si>
  <si>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</si>
  <si>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</si>
  <si>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</si>
  <si>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</si>
  <si>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</si>
  <si>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</si>
  <si>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</si>
  <si>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</si>
  <si>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</si>
  <si>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</si>
  <si>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</si>
  <si>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</si>
  <si>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</si>
  <si>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</si>
  <si>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</si>
  <si>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</si>
  <si>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</si>
  <si>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</si>
  <si>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</si>
  <si>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</si>
  <si>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</si>
  <si>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</si>
  <si>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</si>
  <si>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</si>
  <si>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</si>
  <si>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</si>
  <si>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</si>
  <si>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</si>
  <si>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</si>
  <si>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</si>
  <si>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</si>
  <si>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</si>
  <si>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</si>
  <si>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</si>
  <si>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</si>
  <si>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</si>
  <si>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</si>
  <si>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</si>
  <si>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</si>
  <si>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</si>
  <si>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</si>
  <si>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</si>
  <si>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</si>
  <si>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</si>
  <si>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</si>
  <si>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</si>
  <si>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</si>
  <si>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</si>
  <si>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</si>
  <si>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</si>
  <si>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</si>
  <si>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</si>
  <si>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</si>
  <si>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</si>
  <si>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</si>
  <si>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</si>
  <si>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</si>
  <si>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</si>
  <si>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</si>
  <si>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</si>
  <si>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</si>
  <si>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</si>
  <si>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</si>
  <si>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</si>
  <si>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</si>
  <si>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</si>
  <si>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</si>
  <si>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</si>
  <si>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</si>
  <si>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</si>
  <si>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</si>
  <si>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</si>
  <si>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</si>
  <si>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</si>
  <si>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</si>
  <si>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</si>
  <si>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</si>
  <si>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</si>
  <si>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</si>
  <si>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</si>
  <si>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</si>
  <si>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</si>
  <si>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</si>
  <si>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</si>
  <si>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</si>
  <si>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</si>
  <si>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</si>
  <si>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</si>
  <si>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</si>
  <si>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</si>
  <si>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</si>
  <si>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</si>
  <si>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</si>
  <si>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</si>
  <si>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</si>
  <si>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</si>
  <si>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</si>
  <si>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</si>
  <si>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</si>
  <si>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</si>
  <si>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</si>
  <si>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</si>
  <si>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</si>
  <si>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</si>
  <si>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</si>
  <si>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</si>
  <si>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</si>
  <si>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</si>
  <si>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</si>
  <si>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</si>
  <si>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</si>
  <si>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</si>
  <si>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</si>
  <si>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</si>
  <si>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</si>
  <si>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</si>
  <si>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</si>
  <si>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</si>
  <si>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</si>
  <si>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</si>
  <si>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</si>
  <si>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</si>
  <si>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</si>
  <si>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</si>
  <si>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</si>
  <si>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</si>
  <si>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</si>
  <si>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</si>
  <si>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</si>
  <si>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</si>
  <si>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</si>
  <si>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</si>
  <si>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</si>
  <si>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</si>
  <si>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</si>
  <si>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</si>
  <si>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</si>
  <si>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</si>
  <si>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</si>
  <si>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</si>
  <si>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</si>
  <si>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</si>
  <si>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</si>
  <si>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</si>
  <si>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</si>
  <si>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</si>
  <si>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</si>
  <si>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</si>
  <si>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</si>
  <si>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</si>
  <si>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</si>
  <si>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</si>
  <si>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</si>
  <si>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</si>
  <si>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</si>
  <si>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</si>
  <si>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</si>
  <si>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</si>
  <si>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</si>
  <si>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</si>
  <si>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</si>
  <si>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</si>
  <si>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</si>
  <si>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</si>
  <si>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</si>
  <si>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</si>
  <si>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</si>
  <si>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</si>
  <si>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</si>
  <si>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</si>
  <si>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</si>
  <si>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</si>
  <si>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</si>
  <si>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</si>
  <si>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</si>
  <si>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</si>
  <si>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</si>
  <si>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</si>
  <si>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</si>
  <si>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</si>
  <si>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</si>
  <si>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</si>
  <si>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</si>
  <si>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</si>
  <si>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</si>
  <si>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</si>
  <si>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</si>
  <si>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</si>
  <si>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</si>
  <si>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</si>
  <si>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</si>
  <si>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</si>
  <si>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</si>
  <si>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</si>
  <si>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</si>
  <si>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</si>
  <si>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</si>
  <si>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</si>
  <si>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</si>
  <si>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</si>
  <si>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</si>
  <si>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</si>
  <si>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</si>
  <si>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</si>
  <si>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</si>
  <si>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</si>
  <si>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</si>
  <si>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</si>
  <si>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</si>
  <si>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</si>
  <si>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</si>
  <si>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</si>
  <si>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</si>
  <si>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</si>
  <si>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</si>
  <si>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</si>
  <si>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</si>
  <si>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</si>
  <si>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</si>
  <si>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</si>
  <si>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</si>
  <si>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</si>
  <si>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</si>
  <si>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</si>
  <si>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</si>
  <si>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</si>
  <si>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</si>
  <si>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</si>
  <si>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</si>
  <si>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</si>
  <si>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</si>
  <si>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</si>
  <si>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</si>
  <si>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</si>
  <si>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</si>
  <si>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</si>
  <si>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</si>
  <si>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</si>
  <si>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</si>
  <si>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</si>
  <si>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</si>
  <si>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</si>
  <si>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</si>
  <si>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</si>
  <si>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</si>
  <si>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</si>
  <si>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</si>
  <si>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</si>
  <si>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</si>
  <si>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</si>
  <si>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</si>
  <si>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</si>
  <si>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</si>
  <si>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</si>
  <si>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</si>
  <si>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</si>
  <si>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</si>
  <si>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</si>
  <si>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</si>
  <si>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</si>
  <si>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</si>
  <si>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</si>
  <si>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</si>
  <si>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</si>
  <si>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</si>
  <si>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</si>
  <si>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</si>
  <si>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</si>
  <si>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</si>
  <si>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</si>
  <si>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</si>
  <si>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</si>
  <si>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</si>
  <si>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</si>
  <si>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</si>
  <si>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</si>
  <si>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</si>
  <si>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</si>
  <si>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</si>
  <si>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</si>
  <si>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</si>
  <si>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</si>
  <si>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</si>
  <si>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</si>
  <si>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</si>
  <si>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</si>
  <si>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</si>
  <si>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</si>
  <si>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</si>
  <si>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</si>
  <si>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</si>
  <si>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</si>
  <si>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</si>
  <si>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</si>
  <si>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</si>
  <si>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</si>
  <si>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</si>
  <si>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</si>
  <si>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</si>
  <si>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</si>
  <si>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</si>
  <si>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</si>
  <si>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</si>
  <si>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</si>
  <si>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</si>
  <si>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</si>
  <si>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</si>
  <si>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</si>
  <si>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</si>
  <si>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</si>
  <si>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</si>
  <si>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</si>
  <si>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</si>
  <si>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</si>
  <si>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</si>
  <si>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</si>
  <si>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</si>
  <si>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</si>
  <si>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</si>
  <si>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</si>
  <si>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</si>
  <si>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</si>
  <si>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</si>
  <si>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</si>
  <si>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</si>
  <si>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</si>
  <si>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</si>
  <si>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</si>
  <si>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</si>
  <si>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</si>
  <si>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</si>
  <si>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</si>
  <si>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</si>
  <si>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</si>
  <si>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</si>
  <si>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</si>
  <si>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</si>
  <si>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</si>
  <si>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</si>
  <si>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</si>
  <si>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</si>
  <si>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</si>
  <si>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</si>
  <si>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</si>
  <si>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</si>
  <si>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</si>
  <si>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</si>
  <si>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</si>
  <si>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</si>
  <si>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</si>
  <si>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</si>
  <si>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</si>
  <si>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</si>
  <si>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</si>
  <si>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</si>
  <si>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</si>
  <si>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</si>
  <si>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</si>
  <si>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</si>
  <si>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</si>
  <si>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</si>
  <si>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</si>
  <si>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</si>
  <si>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</si>
  <si>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</si>
  <si>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</si>
  <si>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</si>
  <si>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</si>
  <si>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</si>
  <si>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</si>
  <si>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</si>
  <si>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</si>
  <si>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</si>
  <si>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</si>
  <si>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</si>
  <si>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</si>
  <si>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</si>
  <si>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</si>
  <si>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</si>
  <si>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</si>
  <si>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</si>
  <si>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</si>
  <si>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</si>
  <si>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</si>
  <si>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</si>
  <si>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</si>
  <si>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</si>
  <si>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</si>
  <si>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</si>
  <si>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</si>
  <si>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</si>
  <si>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</si>
  <si>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</si>
  <si>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</si>
  <si>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</si>
  <si>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</si>
  <si>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</si>
  <si>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</si>
  <si>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</si>
  <si>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</si>
  <si>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</si>
  <si>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</si>
  <si>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</si>
  <si>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</si>
  <si>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</si>
  <si>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</si>
  <si>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</si>
  <si>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</si>
  <si>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</si>
  <si>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</si>
  <si>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</si>
  <si>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</si>
  <si>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</si>
  <si>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</si>
  <si>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</si>
  <si>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</si>
  <si>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</si>
  <si>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</si>
  <si>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</si>
  <si>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</si>
  <si>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</si>
  <si>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</si>
  <si>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</si>
  <si>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</si>
  <si>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</si>
  <si>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</si>
  <si>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</si>
  <si>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</si>
  <si>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</si>
  <si>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</si>
  <si>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</si>
  <si>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</si>
  <si>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</si>
  <si>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</si>
  <si>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</si>
  <si>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</si>
  <si>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</si>
  <si>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</si>
  <si>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</si>
  <si>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</si>
  <si>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</si>
  <si>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</si>
  <si>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</si>
  <si>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</si>
  <si>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</si>
  <si>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</si>
  <si>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</si>
  <si>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</si>
  <si>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</si>
  <si>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</si>
  <si>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</si>
  <si>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</si>
  <si>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</si>
  <si>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</si>
  <si>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</si>
  <si>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</si>
  <si>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</si>
  <si>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</si>
  <si>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</si>
  <si>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</si>
  <si>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</si>
  <si>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</si>
  <si>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</si>
  <si>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</si>
  <si>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</si>
  <si>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</si>
  <si>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</si>
  <si>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</si>
  <si>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</si>
  <si>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</si>
  <si>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</si>
  <si>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</si>
  <si>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</si>
  <si>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</si>
  <si>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</si>
  <si>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</si>
  <si>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</si>
  <si>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</si>
  <si>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</si>
  <si>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</si>
  <si>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</si>
  <si>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</si>
  <si>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</si>
  <si>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</si>
  <si>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</si>
  <si>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</si>
  <si>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</si>
  <si>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</si>
  <si>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</si>
  <si>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</si>
  <si>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</si>
  <si>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</si>
  <si>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</si>
  <si>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</si>
  <si>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</si>
  <si>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</si>
  <si>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</si>
  <si>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</si>
  <si>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</si>
  <si>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</si>
  <si>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</si>
  <si>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</si>
  <si>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</si>
  <si>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</si>
  <si>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</si>
  <si>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</si>
  <si>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</si>
  <si>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</si>
  <si>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</si>
  <si>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</si>
  <si>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</si>
  <si>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</si>
  <si>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</si>
  <si>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</si>
  <si>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</si>
  <si>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</si>
  <si>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</si>
  <si>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</si>
  <si>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</si>
  <si>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</si>
  <si>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</si>
  <si>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</si>
  <si>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</si>
  <si>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</si>
  <si>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</si>
  <si>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</si>
  <si>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</si>
  <si>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</si>
  <si>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</si>
  <si>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FORD</t>
  </si>
  <si>
    <t>307 N SANGAMON AVE</t>
  </si>
  <si>
    <t>GIBSON CITY</t>
  </si>
  <si>
    <t>Jeremy Darnell</t>
  </si>
  <si>
    <t>darnell.jeremy@gcmsk12.org</t>
  </si>
  <si>
    <t>217-784-8296</t>
  </si>
  <si>
    <t>217-784-8558</t>
  </si>
  <si>
    <t>RUSSELL LEIGH &amp; ASSOCIATES LLC</t>
  </si>
  <si>
    <t>RUSS LEIGH</t>
  </si>
  <si>
    <t>228 E MAIN ST</t>
  </si>
  <si>
    <t>HOOPESTON</t>
  </si>
  <si>
    <t>IL</t>
  </si>
  <si>
    <t>217-283-9336</t>
  </si>
  <si>
    <t>217-283-9736</t>
  </si>
  <si>
    <t>065.018319</t>
  </si>
  <si>
    <t>admin@russleigh.com</t>
  </si>
  <si>
    <t>Russell Leigh &amp; Associates LLC</t>
  </si>
  <si>
    <t>2014 General Obligation Debt Certificates</t>
  </si>
  <si>
    <t>Construction Debt Certificates</t>
  </si>
  <si>
    <t>2018 General Obligation Refunding Bonds</t>
  </si>
  <si>
    <t>2020 General Obligation Debt Certificates</t>
  </si>
  <si>
    <t>No applicable contracts paid in the current year.</t>
  </si>
  <si>
    <t>Ford County Special Education Cooperative</t>
  </si>
  <si>
    <t>Page 2 - Auditor's Questionnaire</t>
  </si>
  <si>
    <t>Part C - Other Issues - #20 Other Findings</t>
  </si>
  <si>
    <t>Withholdings never reconciled.</t>
  </si>
  <si>
    <t>Elementary Activity Fund was never reconciled.</t>
  </si>
  <si>
    <t>District did not budget for On-Behalf contributions to TRS.</t>
  </si>
  <si>
    <t>Activity funds contained expenses that didn't directly benefit students.</t>
  </si>
  <si>
    <t>Page 10 - Acct 1690 - Other Food Service Revenue</t>
  </si>
  <si>
    <t>Col 10 - Educational</t>
  </si>
  <si>
    <t>Refunds &amp; Reimbursements - $8,088</t>
  </si>
  <si>
    <t>Page 11 - Acct 1999 - Other Local Revenue</t>
  </si>
  <si>
    <t>Refunds &amp; Reimbursements - $712</t>
  </si>
  <si>
    <t>Col 20 - Operations &amp; Maintenance</t>
  </si>
  <si>
    <t>E-Rate Proceeds - $33,288</t>
  </si>
  <si>
    <t>AUDITCHECK Tab - #15 Contracts Paid Error</t>
  </si>
  <si>
    <t>U.S Department of Agriculture</t>
  </si>
  <si>
    <t xml:space="preserve">     Passed Through the Illinois State Board of Education</t>
  </si>
  <si>
    <t xml:space="preserve">       School Lunch Program-19</t>
  </si>
  <si>
    <t xml:space="preserve">       School Lunch Program-20</t>
  </si>
  <si>
    <t xml:space="preserve">       Breakfast Program </t>
  </si>
  <si>
    <t xml:space="preserve">       Summer Food Program</t>
  </si>
  <si>
    <t xml:space="preserve">       School Commodities</t>
  </si>
  <si>
    <t xml:space="preserve">       Fresh Fruits and Vegtables</t>
  </si>
  <si>
    <t xml:space="preserve">          Total U.S. Department of Agriculture</t>
  </si>
  <si>
    <t>U.S Department of Education</t>
  </si>
  <si>
    <t>84.010a</t>
  </si>
  <si>
    <t xml:space="preserve">       Title IV-Student Support/Academy</t>
  </si>
  <si>
    <t xml:space="preserve">       IDEA Special Ed Pre School</t>
  </si>
  <si>
    <t xml:space="preserve">       Title II-Math/Science 19</t>
  </si>
  <si>
    <t xml:space="preserve">       Title II-mAth/Science-20</t>
  </si>
  <si>
    <t xml:space="preserve">          Total U.S. Department of Education</t>
  </si>
  <si>
    <t>U.S Department of Healthcare &amp; Family Services</t>
  </si>
  <si>
    <t xml:space="preserve">     Passed Through the Illinois Departmetn of Health and Family Services</t>
  </si>
  <si>
    <t xml:space="preserve">       Medicare-Admin Outreach</t>
  </si>
  <si>
    <t xml:space="preserve">          Total U.S. Department of Healthcare &amp; Family Services</t>
  </si>
  <si>
    <t xml:space="preserve">          Total Federal Financial Assistance</t>
  </si>
  <si>
    <t>The accompanying Schedule of Expenditures of Federal Awards includes the federal grant activity of Gibson City-Melvin Sibley CUSD # %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</si>
  <si>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</si>
  <si>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provided federal awards to subrecipients as follows:</t>
  </si>
  <si>
    <t>none</t>
  </si>
  <si>
    <t>no</t>
  </si>
  <si>
    <t>Adverse-Gaap/Unqualified-Regulatory</t>
  </si>
  <si>
    <t>Unmodified</t>
  </si>
  <si>
    <t xml:space="preserve"> x</t>
  </si>
  <si>
    <t>Title !-Low Income</t>
  </si>
  <si>
    <t>IDEA-Special Ed Flow Thru</t>
  </si>
  <si>
    <t>The District is required to maintain a system of controls over the preperation of financial statements.  The District's internal control over the financial reporting should include adequately trained personnel with the knowledge and expertise to review the financial statements to insure thye are free of material mistatement</t>
  </si>
  <si>
    <t>For year-end reporting purposes the District relies on the auditor to propose year end adjustments, and to prepare a draft of the financial statements</t>
  </si>
  <si>
    <t>Although the auditor can propose adjustments and assist in asembling or drafting the financial statements,they cannot establish or maintain the District's internal controls,including monitoring ongoing activities, since to do so would impair the auditor's independence</t>
  </si>
  <si>
    <t>Lack of suffcient knowledge and expertise to prepar and review the financial statements could result in controls not being effective in preventing or detecting material misstatemetns particularly in the related notes to the financial statements</t>
  </si>
  <si>
    <t>Due to the actual errors identified and adjustments required during the preperation of the financial statements, the District was not monitoring its financials</t>
  </si>
  <si>
    <t>We recommend that the District establish effective review procedures for financial reports</t>
  </si>
  <si>
    <t>The District agrees with the corrective action plan and will evaluate year-end reporting controls and pursue additional training when it is considered cost beneficial</t>
  </si>
  <si>
    <t>(M) Title I-Low Income-19</t>
  </si>
  <si>
    <t>(M)  Title I-Low Income-20</t>
  </si>
  <si>
    <t>(M)  IDEA Special Ed Flow Thru</t>
  </si>
  <si>
    <t xml:space="preserve">  Gibson City-Melvin-Sibley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</si>
</sst>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2001</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2049</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40" t="s">
        <v>530</v>
      </c>
      <c r="U9" s="2141"/>
      <c r="V9" s="2141"/>
      <c r="W9" s="2141"/>
      <c r="X9" s="2141"/>
      <c r="Y9" s="2141"/>
      <c r="Z9" s="2141"/>
      <c r="AA9" s="2142"/>
    </row>
    <row r="10" spans="1:32" ht="13.5" customHeight="1" x14ac:dyDescent="0.2">
      <c r="A10" s="2147" t="s">
        <v>670</v>
      </c>
      <c r="B10" s="2148"/>
      <c r="C10" s="2148"/>
      <c r="D10" s="2148"/>
      <c r="E10" s="2148"/>
      <c r="F10" s="2148"/>
      <c r="G10" s="2148"/>
      <c r="H10" s="2149"/>
      <c r="I10" s="29"/>
      <c r="J10" s="30"/>
      <c r="K10" s="28"/>
      <c r="R10" s="30"/>
      <c r="S10" s="30"/>
      <c r="T10" s="2143"/>
      <c r="U10" s="2090"/>
      <c r="V10" s="2090"/>
      <c r="W10" s="2090"/>
      <c r="X10" s="2090"/>
      <c r="Y10" s="2090"/>
      <c r="Z10" s="2090"/>
      <c r="AA10" s="2096"/>
    </row>
    <row r="11" spans="1:32" ht="14.25" customHeight="1" x14ac:dyDescent="0.2">
      <c r="A11" s="2150" t="s">
        <v>949</v>
      </c>
      <c r="B11" s="2151"/>
      <c r="C11" s="2151"/>
      <c r="D11" s="2151"/>
      <c r="E11" s="2151"/>
      <c r="F11" s="2151"/>
      <c r="G11" s="2151"/>
      <c r="H11" s="2152"/>
      <c r="I11" s="27"/>
      <c r="J11" s="71"/>
      <c r="K11" s="27"/>
      <c r="O11" s="144" t="s">
        <v>2049</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9027005026</v>
      </c>
      <c r="B13" s="2103"/>
      <c r="C13" s="2103"/>
      <c r="D13" s="2103"/>
      <c r="E13" s="2103"/>
      <c r="F13" s="2103"/>
      <c r="G13" s="2103"/>
      <c r="H13" s="2104"/>
      <c r="I13" s="31"/>
      <c r="J13" s="30"/>
      <c r="K13" s="28"/>
      <c r="L13" s="30"/>
      <c r="M13" s="30"/>
      <c r="N13" s="30"/>
      <c r="O13" s="30"/>
      <c r="P13" s="30"/>
      <c r="Q13" s="30"/>
      <c r="R13" s="30"/>
      <c r="S13" s="30"/>
      <c r="T13" s="2108" t="s">
        <v>2057</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2050</v>
      </c>
      <c r="B15" s="2106"/>
      <c r="C15" s="2106"/>
      <c r="D15" s="2106"/>
      <c r="E15" s="2106"/>
      <c r="F15" s="2106"/>
      <c r="G15" s="2106"/>
      <c r="H15" s="2107"/>
      <c r="T15" s="2112" t="s">
        <v>2058</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2128</v>
      </c>
      <c r="B17" s="2076"/>
      <c r="C17" s="2076"/>
      <c r="D17" s="2076"/>
      <c r="E17" s="2076"/>
      <c r="F17" s="2076"/>
      <c r="G17" s="2076"/>
      <c r="H17" s="2101"/>
      <c r="T17" s="2119" t="s">
        <v>2059</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2051</v>
      </c>
      <c r="B19" s="2061"/>
      <c r="C19" s="2061"/>
      <c r="D19" s="2061"/>
      <c r="E19" s="2061"/>
      <c r="F19" s="2061"/>
      <c r="G19" s="2061"/>
      <c r="H19" s="2041"/>
      <c r="I19" s="30"/>
      <c r="J19" s="96"/>
      <c r="K19" s="40"/>
      <c r="L19" s="38"/>
      <c r="M19" s="109" t="s">
        <v>312</v>
      </c>
      <c r="P19" s="27"/>
      <c r="Q19" s="27"/>
      <c r="R19" s="27"/>
      <c r="S19" s="31"/>
      <c r="T19" s="2105" t="s">
        <v>2060</v>
      </c>
      <c r="U19" s="2040"/>
      <c r="V19" s="2040"/>
      <c r="W19" s="2041"/>
      <c r="X19" s="2117" t="s">
        <v>2061</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2052</v>
      </c>
      <c r="B21" s="2040"/>
      <c r="C21" s="2040"/>
      <c r="D21" s="2040"/>
      <c r="E21" s="2040"/>
      <c r="F21" s="2040"/>
      <c r="G21" s="2040"/>
      <c r="H21" s="2041"/>
      <c r="I21" s="2095" t="s">
        <v>673</v>
      </c>
      <c r="J21" s="2090"/>
      <c r="K21" s="2090"/>
      <c r="L21" s="2090"/>
      <c r="M21" s="2090"/>
      <c r="N21" s="2090"/>
      <c r="O21" s="2090"/>
      <c r="P21" s="2090"/>
      <c r="Q21" s="2090"/>
      <c r="R21" s="2090"/>
      <c r="S21" s="2096"/>
      <c r="T21" s="2131" t="s">
        <v>2062</v>
      </c>
      <c r="U21" s="2132"/>
      <c r="V21" s="2132"/>
      <c r="W21" s="2132"/>
      <c r="X21" s="2137" t="s">
        <v>2063</v>
      </c>
      <c r="Y21" s="2138"/>
      <c r="Z21" s="2138"/>
      <c r="AA21" s="2139"/>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129" t="s">
        <v>2064</v>
      </c>
      <c r="U23" s="2130"/>
      <c r="V23" s="2130"/>
      <c r="W23" s="2130"/>
      <c r="X23" s="2134">
        <v>44469</v>
      </c>
      <c r="Y23" s="2135"/>
      <c r="Z23" s="2135"/>
      <c r="AA23" s="2136"/>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60936</v>
      </c>
      <c r="B25" s="2040"/>
      <c r="C25" s="2040"/>
      <c r="D25" s="2040"/>
      <c r="E25" s="2040"/>
      <c r="F25" s="2040"/>
      <c r="G25" s="2040"/>
      <c r="H25" s="2041"/>
      <c r="I25" s="110"/>
      <c r="J25" s="2064"/>
      <c r="K25" s="2064"/>
      <c r="L25" s="2064"/>
      <c r="M25" s="2064"/>
      <c r="N25" s="2064"/>
      <c r="O25" s="2064"/>
      <c r="P25" s="2064"/>
      <c r="Q25" s="2064"/>
      <c r="R25" s="2064"/>
      <c r="S25" s="2065"/>
      <c r="T25" s="2126" t="s">
        <v>2065</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2049</v>
      </c>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2053</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2054</v>
      </c>
      <c r="B40" s="2054"/>
      <c r="C40" s="2055"/>
      <c r="D40" s="2055"/>
      <c r="E40" s="2055"/>
      <c r="F40" s="2056"/>
      <c r="G40" s="2056"/>
      <c r="H40" s="2057"/>
      <c r="I40" s="2078"/>
      <c r="J40" s="2079"/>
      <c r="K40" s="2079"/>
      <c r="L40" s="2079"/>
      <c r="M40" s="2079"/>
      <c r="N40" s="2079"/>
      <c r="O40" s="2079"/>
      <c r="P40" s="2079"/>
      <c r="Q40" s="2079"/>
      <c r="R40" s="2079"/>
      <c r="S40" s="2080"/>
      <c r="T40" s="2078"/>
      <c r="U40" s="2133"/>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2055</v>
      </c>
      <c r="B42" s="2059"/>
      <c r="C42" s="2060"/>
      <c r="D42" s="2058" t="s">
        <v>2056</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9" sqref="C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1777</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4790327</v>
      </c>
      <c r="C4" s="1722">
        <v>68945</v>
      </c>
      <c r="D4" s="1723">
        <f>B4-C4</f>
        <v>4721382</v>
      </c>
      <c r="E4" s="1722">
        <v>5043282</v>
      </c>
      <c r="F4" s="1723">
        <f>E4-C4</f>
        <v>4974337</v>
      </c>
    </row>
    <row r="5" spans="1:8" ht="13.7" customHeight="1" x14ac:dyDescent="0.2">
      <c r="A5" s="579" t="s">
        <v>865</v>
      </c>
      <c r="B5" s="1724">
        <f>'Revenues 9-14'!D5</f>
        <v>665323</v>
      </c>
      <c r="C5" s="1664">
        <v>9576</v>
      </c>
      <c r="D5" s="1725">
        <f t="shared" ref="D5:D18" si="0">B5-C5</f>
        <v>655747</v>
      </c>
      <c r="E5" s="1664">
        <v>700456</v>
      </c>
      <c r="F5" s="1725">
        <f>E5-C5</f>
        <v>690880</v>
      </c>
    </row>
    <row r="6" spans="1:8" ht="13.7" customHeight="1" x14ac:dyDescent="0.2">
      <c r="A6" s="579" t="s">
        <v>408</v>
      </c>
      <c r="B6" s="1724">
        <f>'Revenues 9-14'!E5</f>
        <v>510484</v>
      </c>
      <c r="C6" s="1664">
        <v>7293</v>
      </c>
      <c r="D6" s="1725">
        <f t="shared" si="0"/>
        <v>503191</v>
      </c>
      <c r="E6" s="1664">
        <v>513658</v>
      </c>
      <c r="F6" s="1725">
        <f t="shared" ref="F6:F18" si="1">E6-C6</f>
        <v>506365</v>
      </c>
    </row>
    <row r="7" spans="1:8" ht="13.7" customHeight="1" x14ac:dyDescent="0.2">
      <c r="A7" s="579" t="s">
        <v>154</v>
      </c>
      <c r="B7" s="1724">
        <f>'Revenues 9-14'!F5</f>
        <v>266129</v>
      </c>
      <c r="C7" s="1664">
        <v>3830</v>
      </c>
      <c r="D7" s="1725">
        <f t="shared" si="0"/>
        <v>262299</v>
      </c>
      <c r="E7" s="1664">
        <v>280182</v>
      </c>
      <c r="F7" s="1725">
        <f t="shared" si="1"/>
        <v>276352</v>
      </c>
    </row>
    <row r="8" spans="1:8" ht="13.7" customHeight="1" x14ac:dyDescent="0.2">
      <c r="A8" s="579" t="s">
        <v>1169</v>
      </c>
      <c r="B8" s="1724">
        <f>'Revenues 9-14'!G5</f>
        <v>124653</v>
      </c>
      <c r="C8" s="1664">
        <v>2132</v>
      </c>
      <c r="D8" s="1725">
        <f t="shared" si="0"/>
        <v>122521</v>
      </c>
      <c r="E8" s="1664">
        <v>149996</v>
      </c>
      <c r="F8" s="1725">
        <f t="shared" si="1"/>
        <v>147864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66533</v>
      </c>
      <c r="C10" s="1664">
        <v>958</v>
      </c>
      <c r="D10" s="1725">
        <f t="shared" si="0"/>
        <v>65575</v>
      </c>
      <c r="E10" s="1664">
        <v>70046</v>
      </c>
      <c r="F10" s="1725">
        <f t="shared" si="1"/>
        <v>69088</v>
      </c>
    </row>
    <row r="11" spans="1:8" x14ac:dyDescent="0.2">
      <c r="A11" s="579" t="s">
        <v>406</v>
      </c>
      <c r="B11" s="1724">
        <f>'Revenues 9-14'!J5</f>
        <v>869732</v>
      </c>
      <c r="C11" s="1664">
        <v>12792</v>
      </c>
      <c r="D11" s="1725">
        <f t="shared" si="0"/>
        <v>856940</v>
      </c>
      <c r="E11" s="1664">
        <v>900002</v>
      </c>
      <c r="F11" s="1725">
        <f t="shared" si="1"/>
        <v>887210</v>
      </c>
    </row>
    <row r="12" spans="1:8" ht="13.7" customHeight="1" x14ac:dyDescent="0.2">
      <c r="A12" s="579" t="s">
        <v>156</v>
      </c>
      <c r="B12" s="1724">
        <f>'Revenues 9-14'!K5</f>
        <v>66532</v>
      </c>
      <c r="C12" s="1664">
        <v>958</v>
      </c>
      <c r="D12" s="1725">
        <f t="shared" si="0"/>
        <v>65574</v>
      </c>
      <c r="E12" s="1664">
        <v>70046</v>
      </c>
      <c r="F12" s="1725">
        <f t="shared" si="1"/>
        <v>69088</v>
      </c>
    </row>
    <row r="13" spans="1:8" ht="13.7" customHeight="1" x14ac:dyDescent="0.2">
      <c r="A13" s="579" t="s">
        <v>930</v>
      </c>
      <c r="B13" s="1724">
        <f>SUM('Revenues 9-14'!C6:D6)</f>
        <v>66532</v>
      </c>
      <c r="C13" s="1664">
        <v>958</v>
      </c>
      <c r="D13" s="1725">
        <f t="shared" si="0"/>
        <v>65574</v>
      </c>
      <c r="E13" s="1664">
        <v>70046</v>
      </c>
      <c r="F13" s="1725">
        <f t="shared" si="1"/>
        <v>69088</v>
      </c>
    </row>
    <row r="14" spans="1:8" ht="13.7" customHeight="1" x14ac:dyDescent="0.2">
      <c r="A14" s="579" t="s">
        <v>407</v>
      </c>
      <c r="B14" s="1724">
        <f>SUM('Revenues 9-14'!C7:D7,'Revenues 9-14'!F7:H7)</f>
        <v>53226</v>
      </c>
      <c r="C14" s="1664">
        <v>766</v>
      </c>
      <c r="D14" s="1725">
        <f t="shared" si="0"/>
        <v>52460</v>
      </c>
      <c r="E14" s="1664">
        <v>56036</v>
      </c>
      <c r="F14" s="1725">
        <f t="shared" si="1"/>
        <v>55270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99354</v>
      </c>
      <c r="C16" s="1664">
        <v>1421</v>
      </c>
      <c r="D16" s="1725">
        <f t="shared" si="0"/>
        <v>97933</v>
      </c>
      <c r="E16" s="1664">
        <v>99997</v>
      </c>
      <c r="F16" s="1725">
        <f t="shared" si="1"/>
        <v>98576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7578825</v>
      </c>
      <c r="C19" s="1726">
        <f>SUM(C4:C18)</f>
        <v>109629</v>
      </c>
      <c r="D19" s="1726">
        <f>SUM(D4:D18)</f>
        <v>7469196</v>
      </c>
      <c r="E19" s="1726">
        <f>SUM(E4:E18)</f>
        <v>7953747</v>
      </c>
      <c r="F19" s="1726">
        <f>SUM(F4:F18)</f>
        <v>7844118</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625</v>
      </c>
      <c r="B1" s="2311"/>
      <c r="C1" s="585"/>
    </row>
    <row r="2" spans="1:7" ht="33.75" x14ac:dyDescent="0.2">
      <c r="A2" s="2318" t="s">
        <v>1777</v>
      </c>
      <c r="B2" s="23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1104</v>
      </c>
      <c r="B3" s="2321"/>
      <c r="C3" s="2314"/>
      <c r="D3" s="2315"/>
      <c r="E3" s="2315"/>
      <c r="F3" s="2316"/>
    </row>
    <row r="4" spans="1:7" ht="12.75" customHeight="1" thickBot="1" x14ac:dyDescent="0.25">
      <c r="A4" s="2308" t="s">
        <v>626</v>
      </c>
      <c r="B4" s="2309"/>
      <c r="C4" s="1656"/>
      <c r="D4" s="1656"/>
      <c r="E4" s="1656"/>
      <c r="F4" s="1732">
        <f>SUM(C4+D4)-E4</f>
        <v>0</v>
      </c>
    </row>
    <row r="5" spans="1:7" ht="15.75" customHeight="1" thickTop="1" x14ac:dyDescent="0.2">
      <c r="A5" s="2312" t="s">
        <v>1101</v>
      </c>
      <c r="B5" s="2307"/>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7" t="s">
        <v>1102</v>
      </c>
      <c r="B16" s="2307"/>
      <c r="C16" s="2301"/>
      <c r="D16" s="2302"/>
      <c r="E16" s="2302"/>
      <c r="F16" s="2303"/>
    </row>
    <row r="17" spans="1:11" ht="12.75" customHeight="1" thickBot="1" x14ac:dyDescent="0.25">
      <c r="A17" s="2299" t="s">
        <v>64</v>
      </c>
      <c r="B17" s="2300"/>
      <c r="C17" s="1733"/>
      <c r="D17" s="1664"/>
      <c r="E17" s="1733"/>
      <c r="F17" s="1732">
        <f>SUM(C17+D17)-E17</f>
        <v>0</v>
      </c>
    </row>
    <row r="18" spans="1:11" ht="12.75" customHeight="1" thickTop="1" thickBot="1" x14ac:dyDescent="0.25">
      <c r="A18" s="2299" t="s">
        <v>6</v>
      </c>
      <c r="B18" s="2300"/>
      <c r="C18" s="1733"/>
      <c r="D18" s="1664"/>
      <c r="E18" s="1733"/>
      <c r="F18" s="1732">
        <f>SUM(C18+D18)-E18</f>
        <v>0</v>
      </c>
    </row>
    <row r="19" spans="1:11" ht="12.75" customHeight="1" thickTop="1" thickBot="1" x14ac:dyDescent="0.25">
      <c r="A19" s="2299" t="s">
        <v>385</v>
      </c>
      <c r="B19" s="2300"/>
      <c r="C19" s="1733"/>
      <c r="D19" s="1664"/>
      <c r="E19" s="1733"/>
      <c r="F19" s="1732">
        <f>SUM(C19+D19)-E19</f>
        <v>0</v>
      </c>
    </row>
    <row r="20" spans="1:11" ht="12.75" customHeight="1" thickTop="1" thickBot="1" x14ac:dyDescent="0.25">
      <c r="A20" s="2299" t="s">
        <v>445</v>
      </c>
      <c r="B20" s="2300"/>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06" t="s">
        <v>1103</v>
      </c>
      <c r="B22" s="2307"/>
      <c r="C22" s="2301"/>
      <c r="D22" s="2302"/>
      <c r="E22" s="2302"/>
      <c r="F22" s="2303"/>
    </row>
    <row r="23" spans="1:11" ht="13.5" thickBot="1" x14ac:dyDescent="0.25">
      <c r="A23" s="2308" t="s">
        <v>629</v>
      </c>
      <c r="B23" s="2309"/>
      <c r="C23" s="1656"/>
      <c r="D23" s="1656"/>
      <c r="E23" s="1656"/>
      <c r="F23" s="1732">
        <f>SUM(C23+D23)-E23</f>
        <v>0</v>
      </c>
      <c r="G23" s="473"/>
    </row>
    <row r="24" spans="1:11" ht="15.75" customHeight="1" thickTop="1" x14ac:dyDescent="0.2">
      <c r="A24" s="2306" t="s">
        <v>2004</v>
      </c>
      <c r="B24" s="2307"/>
      <c r="C24" s="2301"/>
      <c r="D24" s="2302"/>
      <c r="E24" s="2302"/>
      <c r="F24" s="2303"/>
    </row>
    <row r="25" spans="1:11" ht="13.5" thickBot="1" x14ac:dyDescent="0.25">
      <c r="A25" s="2308" t="s">
        <v>2005</v>
      </c>
      <c r="B25" s="2309"/>
      <c r="C25" s="1656"/>
      <c r="D25" s="1656"/>
      <c r="E25" s="1656"/>
      <c r="F25" s="1732">
        <f>SUM(C25+D25)-E25</f>
        <v>0</v>
      </c>
      <c r="G25" s="473"/>
    </row>
    <row r="26" spans="1:11" ht="15.75" customHeight="1" thickTop="1" x14ac:dyDescent="0.2">
      <c r="A26" s="2312" t="s">
        <v>652</v>
      </c>
      <c r="B26" s="2307"/>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10" t="s">
        <v>578</v>
      </c>
      <c r="B29" s="231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1875</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41694</v>
      </c>
      <c r="C31" s="1734">
        <v>1015000</v>
      </c>
      <c r="D31" s="1735">
        <v>7</v>
      </c>
      <c r="E31" s="1734">
        <v>305000</v>
      </c>
      <c r="F31" s="1734"/>
      <c r="G31" s="1734"/>
      <c r="H31" s="1734">
        <v>150000</v>
      </c>
      <c r="I31" s="1736">
        <f>((E31+F31)-H31)+G31</f>
        <v>155000</v>
      </c>
      <c r="J31" s="1734">
        <v>34644</v>
      </c>
      <c r="K31" s="596"/>
    </row>
    <row r="32" spans="1:11" ht="12" customHeight="1" x14ac:dyDescent="0.2">
      <c r="A32" s="594" t="s">
        <v>2069</v>
      </c>
      <c r="B32" s="595">
        <v>43437</v>
      </c>
      <c r="C32" s="1734">
        <v>4469400</v>
      </c>
      <c r="D32" s="1735">
        <v>3</v>
      </c>
      <c r="E32" s="1734">
        <v>4469400</v>
      </c>
      <c r="F32" s="1734"/>
      <c r="G32" s="1734"/>
      <c r="H32" s="1734">
        <v>330100</v>
      </c>
      <c r="I32" s="1736">
        <f>((E32+F32)-H32)+G32</f>
        <v>4139300</v>
      </c>
      <c r="J32" s="1734">
        <v>4139300</v>
      </c>
      <c r="K32" s="596"/>
    </row>
    <row r="33" spans="1:11" ht="12" customHeight="1" x14ac:dyDescent="0.2">
      <c r="A33" s="594" t="s">
        <v>2070</v>
      </c>
      <c r="B33" s="595">
        <v>43986</v>
      </c>
      <c r="C33" s="1734">
        <v>8000</v>
      </c>
      <c r="D33" s="1735">
        <v>7</v>
      </c>
      <c r="E33" s="1734"/>
      <c r="F33" s="1734">
        <v>8000000</v>
      </c>
      <c r="G33" s="1734"/>
      <c r="H33" s="1734"/>
      <c r="I33" s="1736">
        <f t="shared" ref="I33:I48" si="1">((E33+F33)-H33)+G33</f>
        <v>8000000</v>
      </c>
      <c r="J33" s="1734">
        <v>8000000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5492400</v>
      </c>
      <c r="D49" s="1742"/>
      <c r="E49" s="1736">
        <f t="shared" ref="E49:J49" si="2">SUM(E31:E48)</f>
        <v>4774400</v>
      </c>
      <c r="F49" s="1736">
        <f t="shared" si="2"/>
        <v>8000000</v>
      </c>
      <c r="G49" s="1736">
        <f t="shared" si="2"/>
        <v>0</v>
      </c>
      <c r="H49" s="1736">
        <f t="shared" si="2"/>
        <v>480100</v>
      </c>
      <c r="I49" s="1736">
        <f t="shared" si="2"/>
        <v>12294300</v>
      </c>
      <c r="J49" s="1736">
        <f t="shared" si="2"/>
        <v>12173944</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t="s">
        <v>2068</v>
      </c>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41" t="s">
        <v>1658</v>
      </c>
      <c r="B2" s="2342"/>
      <c r="C2" s="2342"/>
      <c r="D2" s="2342"/>
      <c r="E2" s="2343"/>
      <c r="F2" s="615" t="s">
        <v>898</v>
      </c>
      <c r="G2" s="616" t="s">
        <v>1655</v>
      </c>
      <c r="H2" s="616" t="s">
        <v>407</v>
      </c>
      <c r="I2" s="616" t="s">
        <v>1148</v>
      </c>
      <c r="J2" s="616" t="s">
        <v>1787</v>
      </c>
      <c r="K2" s="616" t="s">
        <v>137</v>
      </c>
    </row>
    <row r="3" spans="1:11" x14ac:dyDescent="0.2">
      <c r="A3" s="2344" t="str">
        <f>"Cash Basis Fund Balance as of July 1, "&amp;'AFR20'!E2-1</f>
        <v>Cash Basis Fund Balance as of July 1, 2019</v>
      </c>
      <c r="B3" s="2345"/>
      <c r="C3" s="2345"/>
      <c r="D3" s="2345"/>
      <c r="E3" s="2346"/>
      <c r="F3" s="617"/>
      <c r="G3" s="1744"/>
      <c r="H3" s="1744"/>
      <c r="I3" s="1744"/>
      <c r="J3" s="1745"/>
      <c r="K3" s="1745"/>
    </row>
    <row r="4" spans="1:11" x14ac:dyDescent="0.2">
      <c r="A4" s="2347" t="s">
        <v>366</v>
      </c>
      <c r="B4" s="2348"/>
      <c r="C4" s="2348"/>
      <c r="D4" s="2348"/>
      <c r="E4" s="2294"/>
      <c r="F4" s="620"/>
      <c r="G4" s="1746"/>
      <c r="H4" s="1747"/>
      <c r="I4" s="1746"/>
      <c r="J4" s="1748"/>
      <c r="K4" s="1748"/>
    </row>
    <row r="5" spans="1:11" x14ac:dyDescent="0.2">
      <c r="A5" s="2325" t="s">
        <v>1060</v>
      </c>
      <c r="B5" s="2326"/>
      <c r="C5" s="2326"/>
      <c r="D5" s="2326"/>
      <c r="E5" s="2327"/>
      <c r="F5" s="622" t="s">
        <v>843</v>
      </c>
      <c r="G5" s="1749"/>
      <c r="H5" s="1744">
        <v>53226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3600</v>
      </c>
    </row>
    <row r="8" spans="1:11" x14ac:dyDescent="0.2">
      <c r="A8" s="629" t="s">
        <v>342</v>
      </c>
      <c r="B8" s="630"/>
      <c r="C8" s="630"/>
      <c r="D8" s="630"/>
      <c r="E8" s="631"/>
      <c r="F8" s="622" t="s">
        <v>846</v>
      </c>
      <c r="G8" s="1753"/>
      <c r="H8" s="1753"/>
      <c r="I8" s="1753"/>
      <c r="J8" s="1745">
        <v>20457</v>
      </c>
      <c r="K8" s="1748"/>
    </row>
    <row r="9" spans="1:11" x14ac:dyDescent="0.2">
      <c r="A9" s="629" t="s">
        <v>137</v>
      </c>
      <c r="B9" s="630"/>
      <c r="C9" s="630"/>
      <c r="D9" s="630"/>
      <c r="E9" s="631"/>
      <c r="F9" s="628" t="s">
        <v>848</v>
      </c>
      <c r="G9" s="1753"/>
      <c r="H9" s="1749"/>
      <c r="I9" s="1749"/>
      <c r="J9" s="1752"/>
      <c r="K9" s="1745">
        <v>8447</v>
      </c>
    </row>
    <row r="10" spans="1:11" x14ac:dyDescent="0.2">
      <c r="A10" s="2325" t="s">
        <v>1788</v>
      </c>
      <c r="B10" s="2326"/>
      <c r="C10" s="2326"/>
      <c r="D10" s="2326"/>
      <c r="E10" s="2328"/>
      <c r="F10" s="633" t="s">
        <v>857</v>
      </c>
      <c r="G10" s="1753"/>
      <c r="H10" s="1754"/>
      <c r="I10" s="1744"/>
      <c r="J10" s="1745"/>
      <c r="K10" s="1745"/>
    </row>
    <row r="11" spans="1:11" x14ac:dyDescent="0.2">
      <c r="A11" s="2325" t="s">
        <v>159</v>
      </c>
      <c r="B11" s="2326"/>
      <c r="C11" s="2326"/>
      <c r="D11" s="2326"/>
      <c r="E11" s="2327"/>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53226</v>
      </c>
      <c r="I12" s="1755">
        <f>SUM(I5:I11)</f>
        <v>0</v>
      </c>
      <c r="J12" s="1755">
        <f>SUM(J5:J11)</f>
        <v>20457</v>
      </c>
      <c r="K12" s="1755">
        <f>SUM(K5:K11)</f>
        <v>12047</v>
      </c>
    </row>
    <row r="13" spans="1:11" ht="13.5" thickTop="1" x14ac:dyDescent="0.2">
      <c r="A13" s="2349" t="s">
        <v>367</v>
      </c>
      <c r="B13" s="2350"/>
      <c r="C13" s="2350"/>
      <c r="D13" s="2350"/>
      <c r="E13" s="2351"/>
      <c r="F13" s="634"/>
      <c r="G13" s="1756"/>
      <c r="H13" s="1757"/>
      <c r="I13" s="1758"/>
      <c r="J13" s="1758"/>
      <c r="K13" s="1758"/>
    </row>
    <row r="14" spans="1:11" x14ac:dyDescent="0.2">
      <c r="A14" s="2332" t="s">
        <v>453</v>
      </c>
      <c r="B14" s="2332"/>
      <c r="C14" s="2332"/>
      <c r="D14" s="2332"/>
      <c r="E14" s="2333"/>
      <c r="F14" s="635" t="s">
        <v>849</v>
      </c>
      <c r="G14" s="1753"/>
      <c r="H14" s="1744">
        <v>53226</v>
      </c>
      <c r="I14" s="1749"/>
      <c r="J14" s="1751"/>
      <c r="K14" s="1745">
        <v>12047</v>
      </c>
    </row>
    <row r="15" spans="1:11" x14ac:dyDescent="0.2">
      <c r="A15" s="2326" t="s">
        <v>4</v>
      </c>
      <c r="B15" s="2326"/>
      <c r="C15" s="2326"/>
      <c r="D15" s="2326"/>
      <c r="E15" s="2327"/>
      <c r="F15" s="635" t="s">
        <v>850</v>
      </c>
      <c r="G15" s="1749"/>
      <c r="H15" s="1744"/>
      <c r="I15" s="1744"/>
      <c r="J15" s="1745">
        <v>20457</v>
      </c>
      <c r="K15" s="1745"/>
    </row>
    <row r="16" spans="1:11" x14ac:dyDescent="0.2">
      <c r="A16" s="2326" t="s">
        <v>295</v>
      </c>
      <c r="B16" s="2326"/>
      <c r="C16" s="2326"/>
      <c r="D16" s="2326"/>
      <c r="E16" s="2327"/>
      <c r="F16" s="635" t="s">
        <v>917</v>
      </c>
      <c r="G16" s="1750"/>
      <c r="H16" s="1746"/>
      <c r="I16" s="1746"/>
      <c r="J16" s="1748"/>
      <c r="K16" s="1748"/>
    </row>
    <row r="17" spans="1:15" x14ac:dyDescent="0.2">
      <c r="A17" s="2359" t="s">
        <v>929</v>
      </c>
      <c r="B17" s="2359"/>
      <c r="C17" s="2359"/>
      <c r="D17" s="2359"/>
      <c r="E17" s="2360"/>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34" t="s">
        <v>1784</v>
      </c>
      <c r="B19" s="2334"/>
      <c r="C19" s="2334"/>
      <c r="D19" s="2334"/>
      <c r="E19" s="2335"/>
      <c r="F19" s="635" t="s">
        <v>927</v>
      </c>
      <c r="G19" s="1753"/>
      <c r="H19" s="1753"/>
      <c r="I19" s="1753"/>
      <c r="J19" s="1745"/>
      <c r="K19" s="1763"/>
    </row>
    <row r="20" spans="1:15" x14ac:dyDescent="0.2">
      <c r="A20" s="2336" t="s">
        <v>1789</v>
      </c>
      <c r="B20" s="2337"/>
      <c r="C20" s="2337"/>
      <c r="D20" s="2337"/>
      <c r="E20" s="2338"/>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0</v>
      </c>
      <c r="K21" s="1761"/>
    </row>
    <row r="22" spans="1:15" ht="13.5" thickTop="1" x14ac:dyDescent="0.2">
      <c r="A22" s="2326" t="s">
        <v>1790</v>
      </c>
      <c r="B22" s="2326"/>
      <c r="C22" s="2326"/>
      <c r="D22" s="2326"/>
      <c r="E22" s="2327"/>
      <c r="F22" s="635" t="s">
        <v>857</v>
      </c>
      <c r="G22" s="1753"/>
      <c r="H22" s="1744"/>
      <c r="I22" s="1744"/>
      <c r="J22" s="1766"/>
      <c r="K22" s="1745"/>
    </row>
    <row r="23" spans="1:15" ht="13.5" thickBot="1" x14ac:dyDescent="0.25">
      <c r="A23" s="2356" t="s">
        <v>900</v>
      </c>
      <c r="B23" s="2355"/>
      <c r="C23" s="2355"/>
      <c r="D23" s="2355"/>
      <c r="E23" s="2355"/>
      <c r="F23" s="1436"/>
      <c r="G23" s="1755">
        <f>SUM(G14:G16,G21,G22)</f>
        <v>0</v>
      </c>
      <c r="H23" s="1755">
        <f>SUM(H14:H16,H21,H22)</f>
        <v>53226</v>
      </c>
      <c r="I23" s="1755">
        <f>SUM(I14:I16,I21,I22)</f>
        <v>0</v>
      </c>
      <c r="J23" s="1755">
        <f>SUM(J14:J16,J21,J22)</f>
        <v>20457</v>
      </c>
      <c r="K23" s="1755">
        <f>SUM(K14:K16,K21,K22)</f>
        <v>12047</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1159</v>
      </c>
      <c r="B33" s="341"/>
      <c r="C33" s="341"/>
      <c r="D33" s="341"/>
      <c r="E33" s="341"/>
      <c r="F33" s="341"/>
      <c r="G33" s="653"/>
      <c r="H33" s="2331"/>
      <c r="I33" s="2330"/>
      <c r="J33" s="2330"/>
      <c r="K33" s="2330"/>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1785</v>
      </c>
      <c r="B46" s="382" t="s">
        <v>1656</v>
      </c>
    </row>
    <row r="47" spans="1:11" s="663" customFormat="1" ht="12.75" customHeight="1" x14ac:dyDescent="0.2">
      <c r="A47" s="661"/>
      <c r="B47" s="662" t="s">
        <v>1657</v>
      </c>
      <c r="E47" s="662"/>
      <c r="K47" s="664"/>
    </row>
    <row r="48" spans="1:11" ht="12.75" customHeight="1" x14ac:dyDescent="0.2">
      <c r="A48" s="1300"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6" sqref="L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1873</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12804</v>
      </c>
      <c r="D5" s="1770"/>
      <c r="E5" s="1770"/>
      <c r="F5" s="1765">
        <f>(C5+D5)-E5</f>
        <v>12804</v>
      </c>
      <c r="G5" s="676"/>
      <c r="H5" s="680"/>
      <c r="I5" s="680"/>
      <c r="J5" s="680"/>
      <c r="K5" s="637"/>
      <c r="L5" s="1442">
        <f>F5-K5</f>
        <v>12804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12263338</v>
      </c>
      <c r="D8" s="1771"/>
      <c r="E8" s="1771"/>
      <c r="F8" s="1765">
        <f>(C8+D8)-E8</f>
        <v>12263338</v>
      </c>
      <c r="G8" s="681">
        <v>50</v>
      </c>
      <c r="H8" s="619">
        <v>6914298</v>
      </c>
      <c r="I8" s="619">
        <v>245267</v>
      </c>
      <c r="J8" s="619"/>
      <c r="K8" s="1442">
        <f>(H8+I8)-J8</f>
        <v>7159565</v>
      </c>
      <c r="L8" s="1442">
        <f>F8-K8</f>
        <v>5103773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6232634</v>
      </c>
      <c r="D10" s="1772">
        <v>42670</v>
      </c>
      <c r="E10" s="1772"/>
      <c r="F10" s="1773">
        <f>(C10+D10)-E10</f>
        <v>6275304</v>
      </c>
      <c r="G10" s="681">
        <v>20</v>
      </c>
      <c r="H10" s="683">
        <v>2464599</v>
      </c>
      <c r="I10" s="683">
        <v>278752</v>
      </c>
      <c r="J10" s="683"/>
      <c r="K10" s="1442">
        <f>(H10+I10)-J10</f>
        <v>2743351</v>
      </c>
      <c r="L10" s="1442">
        <f>F10-K10</f>
        <v>3531953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4333408</v>
      </c>
      <c r="D12" s="1771">
        <v>133919</v>
      </c>
      <c r="E12" s="1771"/>
      <c r="F12" s="1765">
        <f>(C12+D12)-E12</f>
        <v>4467327</v>
      </c>
      <c r="G12" s="681">
        <v>10</v>
      </c>
      <c r="H12" s="619">
        <v>3906764</v>
      </c>
      <c r="I12" s="619">
        <v>81444</v>
      </c>
      <c r="J12" s="619"/>
      <c r="K12" s="1442">
        <f>(H12+I12)-J12</f>
        <v>3988208</v>
      </c>
      <c r="L12" s="1442">
        <f>F12-K12</f>
        <v>479119</v>
      </c>
    </row>
    <row r="13" spans="1:14" ht="14.25" thickTop="1" thickBot="1" x14ac:dyDescent="0.25">
      <c r="A13" s="684" t="s">
        <v>1112</v>
      </c>
      <c r="B13" s="679">
        <v>252</v>
      </c>
      <c r="C13" s="1771">
        <v>623158</v>
      </c>
      <c r="D13" s="1771"/>
      <c r="E13" s="1771"/>
      <c r="F13" s="1765">
        <f>(C13+D13)-E13</f>
        <v>623158</v>
      </c>
      <c r="G13" s="681">
        <v>5</v>
      </c>
      <c r="H13" s="619">
        <v>332589</v>
      </c>
      <c r="I13" s="619"/>
      <c r="J13" s="619"/>
      <c r="K13" s="1442">
        <f>(H13+I13)-J13</f>
        <v>332589</v>
      </c>
      <c r="L13" s="1442">
        <f>F13-K13</f>
        <v>290569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23465342</v>
      </c>
      <c r="D16" s="1765">
        <f>SUM(D3,D5:D6,D8:D10,D12:D15)</f>
        <v>176589</v>
      </c>
      <c r="E16" s="1765">
        <f>SUM(E3,E5:E6,E8:E10,E12:E15)</f>
        <v>0</v>
      </c>
      <c r="F16" s="1765">
        <f>SUM(F3,F5:F6,F8:F10,F12:F15)</f>
        <v>23641931</v>
      </c>
      <c r="G16" s="681"/>
      <c r="H16" s="1435">
        <f>SUM(H3,H6,H8:H10,H12:H14,)</f>
        <v>13618250</v>
      </c>
      <c r="I16" s="1435">
        <f>SUM(I3,I6,I8:I10,I12:I14,)</f>
        <v>605463</v>
      </c>
      <c r="J16" s="1435">
        <f>SUM(J3,J6,J8:J10,J12:J14,)</f>
        <v>0</v>
      </c>
      <c r="K16" s="1435">
        <f>(H16+I16)-J16</f>
        <v>14223713</v>
      </c>
      <c r="L16" s="1435">
        <f>F16-K16</f>
        <v>9418218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605463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6" colorId="8" zoomScale="110" zoomScaleNormal="110" workbookViewId="0">
      <selection activeCell="F175" sqref="F17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9026361</v>
      </c>
      <c r="G8" s="701"/>
    </row>
    <row r="9" spans="1:9" x14ac:dyDescent="0.2">
      <c r="A9" s="705" t="s">
        <v>457</v>
      </c>
      <c r="B9" s="706" t="s">
        <v>1846</v>
      </c>
      <c r="C9" s="707"/>
      <c r="D9" s="705" t="s">
        <v>498</v>
      </c>
      <c r="E9" s="704"/>
      <c r="F9" s="1775">
        <f>'Expenditures 15-22'!K151</f>
        <v>864251</v>
      </c>
      <c r="G9" s="708"/>
    </row>
    <row r="10" spans="1:9" x14ac:dyDescent="0.2">
      <c r="A10" s="705" t="s">
        <v>496</v>
      </c>
      <c r="B10" s="706" t="s">
        <v>1847</v>
      </c>
      <c r="C10" s="707"/>
      <c r="D10" s="705" t="s">
        <v>498</v>
      </c>
      <c r="E10" s="704"/>
      <c r="F10" s="1775">
        <f>'Expenditures 15-22'!K174</f>
        <v>663661</v>
      </c>
      <c r="G10" s="708"/>
    </row>
    <row r="11" spans="1:9" x14ac:dyDescent="0.2">
      <c r="A11" s="705" t="s">
        <v>458</v>
      </c>
      <c r="B11" s="706" t="s">
        <v>1848</v>
      </c>
      <c r="C11" s="707"/>
      <c r="D11" s="705" t="s">
        <v>498</v>
      </c>
      <c r="E11" s="704"/>
      <c r="F11" s="1775">
        <f>'Expenditures 15-22'!K210</f>
        <v>682055</v>
      </c>
      <c r="G11" s="708"/>
    </row>
    <row r="12" spans="1:9" x14ac:dyDescent="0.2">
      <c r="A12" s="705" t="s">
        <v>459</v>
      </c>
      <c r="B12" s="706" t="s">
        <v>1849</v>
      </c>
      <c r="C12" s="707"/>
      <c r="D12" s="705" t="s">
        <v>498</v>
      </c>
      <c r="E12" s="704"/>
      <c r="F12" s="1775">
        <f>'Expenditures 15-22'!K295</f>
        <v>339240</v>
      </c>
      <c r="G12" s="708"/>
    </row>
    <row r="13" spans="1:9" x14ac:dyDescent="0.2">
      <c r="A13" s="705" t="s">
        <v>106</v>
      </c>
      <c r="B13" s="706" t="s">
        <v>1850</v>
      </c>
      <c r="C13" s="707"/>
      <c r="D13" s="705" t="s">
        <v>498</v>
      </c>
      <c r="E13" s="704"/>
      <c r="F13" s="1775">
        <f>'Expenditures 15-22'!K342</f>
        <v>878940</v>
      </c>
      <c r="G13" s="709"/>
    </row>
    <row r="14" spans="1:9" ht="12" customHeight="1" thickBot="1" x14ac:dyDescent="0.25">
      <c r="A14" s="1443"/>
      <c r="B14" s="1444"/>
      <c r="C14" s="1445"/>
      <c r="D14" s="1446" t="s">
        <v>498</v>
      </c>
      <c r="E14" s="1447" t="s">
        <v>952</v>
      </c>
      <c r="F14" s="1776">
        <f>SUM(F8:F13)</f>
        <v>12454508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83">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1907</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13061</v>
      </c>
      <c r="G52" s="701"/>
    </row>
    <row r="53" spans="1:7" x14ac:dyDescent="0.2">
      <c r="A53" s="705" t="s">
        <v>456</v>
      </c>
      <c r="B53" s="705" t="s">
        <v>1458</v>
      </c>
      <c r="C53" s="724">
        <f>'Expenditures 15-22'!B102</f>
        <v>4000</v>
      </c>
      <c r="D53" s="723" t="str">
        <f>'Expenditures 15-22'!A102</f>
        <v>Total Payments to Other Govt Units</v>
      </c>
      <c r="E53" s="704"/>
      <c r="F53" s="1782">
        <f>'Expenditures 15-22'!K102</f>
        <v>640757</v>
      </c>
      <c r="G53" s="701"/>
    </row>
    <row r="54" spans="1:7" x14ac:dyDescent="0.2">
      <c r="A54" s="705" t="s">
        <v>456</v>
      </c>
      <c r="B54" s="705" t="s">
        <v>1459</v>
      </c>
      <c r="C54" s="724" t="s">
        <v>975</v>
      </c>
      <c r="D54" s="720" t="s">
        <v>1086</v>
      </c>
      <c r="E54" s="704"/>
      <c r="F54" s="1782">
        <f>'Expenditures 15-22'!G114</f>
        <v>93175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82">
        <f>'Expenditures 15-22'!K139</f>
        <v>0</v>
      </c>
      <c r="G57" s="701"/>
    </row>
    <row r="58" spans="1:7" x14ac:dyDescent="0.2">
      <c r="A58" s="705" t="s">
        <v>457</v>
      </c>
      <c r="B58" s="705" t="s">
        <v>1852</v>
      </c>
      <c r="C58" s="721" t="s">
        <v>975</v>
      </c>
      <c r="D58" s="720" t="s">
        <v>1086</v>
      </c>
      <c r="E58" s="704"/>
      <c r="F58" s="1784">
        <f>'Expenditures 15-22'!G151</f>
        <v>40744</v>
      </c>
      <c r="G58" s="701"/>
    </row>
    <row r="59" spans="1:7" x14ac:dyDescent="0.2">
      <c r="A59" s="728" t="s">
        <v>457</v>
      </c>
      <c r="B59" s="692" t="s">
        <v>1853</v>
      </c>
      <c r="C59" s="729" t="s">
        <v>975</v>
      </c>
      <c r="D59" s="692" t="s">
        <v>288</v>
      </c>
      <c r="F59" s="1785">
        <f>'Expenditures 15-22'!I151</f>
        <v>0</v>
      </c>
      <c r="G59" s="701"/>
    </row>
    <row r="60" spans="1:7" x14ac:dyDescent="0.2">
      <c r="A60" s="728" t="s">
        <v>496</v>
      </c>
      <c r="B60" s="692" t="s">
        <v>1854</v>
      </c>
      <c r="C60" s="729">
        <v>4000</v>
      </c>
      <c r="D60" s="692" t="s">
        <v>309</v>
      </c>
      <c r="F60" s="1783">
        <f>'Expenditures 15-22'!K160</f>
        <v>0</v>
      </c>
      <c r="G60" s="701"/>
    </row>
    <row r="61" spans="1:7" x14ac:dyDescent="0.2">
      <c r="A61" s="730" t="s">
        <v>496</v>
      </c>
      <c r="B61" s="730" t="s">
        <v>1855</v>
      </c>
      <c r="C61" s="731" t="str">
        <f>'Expenditures 15-22'!B170</f>
        <v>5300</v>
      </c>
      <c r="D61" s="732" t="s">
        <v>308</v>
      </c>
      <c r="E61" s="715"/>
      <c r="F61" s="1782">
        <f>'Expenditures 15-22'!K170</f>
        <v>480100</v>
      </c>
      <c r="G61" s="701"/>
    </row>
    <row r="62" spans="1:7" x14ac:dyDescent="0.2">
      <c r="A62" s="705" t="s">
        <v>458</v>
      </c>
      <c r="B62" s="705" t="s">
        <v>1856</v>
      </c>
      <c r="C62" s="721">
        <f>'Expenditures 15-22'!B185</f>
        <v>3000</v>
      </c>
      <c r="D62" s="712" t="s">
        <v>446</v>
      </c>
      <c r="E62" s="704"/>
      <c r="F62" s="1782">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82">
        <f>'Expenditures 15-22'!K196</f>
        <v>167647</v>
      </c>
      <c r="G63" s="701"/>
    </row>
    <row r="64" spans="1:7" x14ac:dyDescent="0.2">
      <c r="A64" s="730" t="s">
        <v>458</v>
      </c>
      <c r="B64" s="730" t="s">
        <v>1858</v>
      </c>
      <c r="C64" s="731" t="str">
        <f>'Expenditures 15-22'!B206</f>
        <v>5300</v>
      </c>
      <c r="D64" s="727" t="s">
        <v>308</v>
      </c>
      <c r="E64" s="704"/>
      <c r="F64" s="1782">
        <f>'Expenditures 15-22'!K206</f>
        <v>0</v>
      </c>
      <c r="G64" s="701"/>
    </row>
    <row r="65" spans="1:9" x14ac:dyDescent="0.2">
      <c r="A65" s="705" t="s">
        <v>458</v>
      </c>
      <c r="B65" s="705" t="s">
        <v>1859</v>
      </c>
      <c r="C65" s="721" t="s">
        <v>975</v>
      </c>
      <c r="D65" s="720" t="s">
        <v>1086</v>
      </c>
      <c r="E65" s="704"/>
      <c r="F65" s="1782">
        <f>'Expenditures 15-22'!G210</f>
        <v>0</v>
      </c>
      <c r="G65" s="701"/>
    </row>
    <row r="66" spans="1:9" x14ac:dyDescent="0.2">
      <c r="A66" s="705" t="s">
        <v>458</v>
      </c>
      <c r="B66" s="705" t="s">
        <v>1860</v>
      </c>
      <c r="C66" s="721" t="s">
        <v>975</v>
      </c>
      <c r="D66" s="720" t="s">
        <v>288</v>
      </c>
      <c r="E66" s="704"/>
      <c r="F66" s="1782">
        <f>'Expenditures 15-22'!I210</f>
        <v>0</v>
      </c>
      <c r="G66" s="701"/>
    </row>
    <row r="67" spans="1:9" x14ac:dyDescent="0.2">
      <c r="A67" s="705" t="s">
        <v>459</v>
      </c>
      <c r="B67" s="705" t="s">
        <v>1861</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1862</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1863</v>
      </c>
      <c r="C70" s="721">
        <f>'Expenditures 15-22'!B221</f>
        <v>1300</v>
      </c>
      <c r="D70" s="722" t="str">
        <f>'Expenditures 15-22'!A221</f>
        <v>Adult/Continuing Education Programs</v>
      </c>
      <c r="E70" s="704"/>
      <c r="F70" s="1782">
        <f>'Expenditures 15-22'!K221</f>
        <v>0</v>
      </c>
      <c r="G70" s="701"/>
    </row>
    <row r="71" spans="1:9" x14ac:dyDescent="0.2">
      <c r="A71" s="705" t="s">
        <v>459</v>
      </c>
      <c r="B71" s="705" t="s">
        <v>1864</v>
      </c>
      <c r="C71" s="721">
        <f>'Expenditures 15-22'!B224</f>
        <v>1600</v>
      </c>
      <c r="D71" s="722" t="str">
        <f>'Expenditures 15-22'!A224</f>
        <v>Summer School Programs</v>
      </c>
      <c r="E71" s="704"/>
      <c r="F71" s="1782">
        <f>'Expenditures 15-22'!K224</f>
        <v>0</v>
      </c>
      <c r="G71" s="701"/>
    </row>
    <row r="72" spans="1:9" x14ac:dyDescent="0.2">
      <c r="A72" s="705" t="s">
        <v>459</v>
      </c>
      <c r="B72" s="705" t="s">
        <v>1865</v>
      </c>
      <c r="C72" s="721">
        <f>'Expenditures 15-22'!B280</f>
        <v>3000</v>
      </c>
      <c r="D72" s="712" t="s">
        <v>446</v>
      </c>
      <c r="E72" s="704"/>
      <c r="F72" s="1782">
        <f>'Expenditures 15-22'!K280</f>
        <v>979</v>
      </c>
      <c r="G72" s="701"/>
    </row>
    <row r="73" spans="1:9" x14ac:dyDescent="0.2">
      <c r="A73" s="705" t="s">
        <v>459</v>
      </c>
      <c r="B73" s="705" t="s">
        <v>1866</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1867</v>
      </c>
      <c r="C74" s="721" t="s">
        <v>855</v>
      </c>
      <c r="D74" s="722" t="s">
        <v>1470</v>
      </c>
      <c r="E74" s="704"/>
      <c r="F74" s="1786">
        <f>'Expenditures 15-22'!K334</f>
        <v>0</v>
      </c>
      <c r="G74" s="701"/>
    </row>
    <row r="75" spans="1:9" x14ac:dyDescent="0.2">
      <c r="A75" s="705" t="s">
        <v>2006</v>
      </c>
      <c r="B75" s="705" t="s">
        <v>2007</v>
      </c>
      <c r="C75" s="721" t="s">
        <v>975</v>
      </c>
      <c r="D75" s="722" t="s">
        <v>1086</v>
      </c>
      <c r="E75" s="704"/>
      <c r="F75" s="1786">
        <f>'Expenditures 15-22'!G342</f>
        <v>0</v>
      </c>
      <c r="G75" s="701"/>
    </row>
    <row r="76" spans="1:9" ht="10.5" customHeight="1" x14ac:dyDescent="0.2">
      <c r="A76" s="701" t="s">
        <v>433</v>
      </c>
      <c r="B76" s="705" t="s">
        <v>2008</v>
      </c>
      <c r="C76" s="711" t="s">
        <v>975</v>
      </c>
      <c r="D76" s="701" t="s">
        <v>288</v>
      </c>
      <c r="E76" s="704"/>
      <c r="F76" s="1786">
        <f>'Expenditures 15-22'!I342</f>
        <v>0</v>
      </c>
      <c r="G76" s="703"/>
    </row>
    <row r="77" spans="1:9" ht="12" thickBot="1" x14ac:dyDescent="0.25">
      <c r="A77" s="1443"/>
      <c r="B77" s="1448"/>
      <c r="C77" s="1445"/>
      <c r="D77" s="1449" t="s">
        <v>2009</v>
      </c>
      <c r="E77" s="1447" t="s">
        <v>952</v>
      </c>
      <c r="F77" s="1787">
        <f>SUM(F18:F76)</f>
        <v>1436463</v>
      </c>
      <c r="G77" s="701"/>
    </row>
    <row r="78" spans="1:9" s="728" customFormat="1" ht="12" customHeight="1" thickTop="1" thickBot="1" x14ac:dyDescent="0.25">
      <c r="A78" s="1450"/>
      <c r="B78" s="1448"/>
      <c r="C78" s="1445"/>
      <c r="D78" s="1449" t="s">
        <v>2010</v>
      </c>
      <c r="E78" s="1447"/>
      <c r="F78" s="1788">
        <f>(F14-F77)</f>
        <v>11018045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982.1</v>
      </c>
      <c r="G79" s="733"/>
      <c r="H79" s="705"/>
      <c r="I79" s="705"/>
    </row>
    <row r="80" spans="1:9" s="728" customFormat="1" ht="12" customHeight="1" thickBot="1" x14ac:dyDescent="0.25">
      <c r="A80" s="1452"/>
      <c r="B80" s="1448"/>
      <c r="C80" s="1445"/>
      <c r="D80" s="1449" t="s">
        <v>2011</v>
      </c>
      <c r="E80" s="1447" t="s">
        <v>952</v>
      </c>
      <c r="F80" s="1790">
        <f>IF(F79&gt;0,F78/F79," Complete Line 79")</f>
        <v>11218.862641278893</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73205</v>
      </c>
      <c r="G95" s="745"/>
    </row>
    <row r="96" spans="1:7" x14ac:dyDescent="0.2">
      <c r="A96" s="741" t="s">
        <v>139</v>
      </c>
      <c r="B96" s="741" t="s">
        <v>174</v>
      </c>
      <c r="C96" s="743">
        <v>1700</v>
      </c>
      <c r="D96" s="751" t="str">
        <f>'Revenues 9-14'!A82</f>
        <v>Total District/School Activity Income</v>
      </c>
      <c r="E96" s="739"/>
      <c r="F96" s="1793">
        <f>SUM('Revenues 9-14'!C82,'Revenues 9-14'!D82)</f>
        <v>53730</v>
      </c>
      <c r="G96" s="745"/>
    </row>
    <row r="97" spans="1:7" x14ac:dyDescent="0.2">
      <c r="A97" s="741" t="s">
        <v>456</v>
      </c>
      <c r="B97" s="741" t="s">
        <v>175</v>
      </c>
      <c r="C97" s="743">
        <f>'Revenues 9-14'!B84</f>
        <v>1811</v>
      </c>
      <c r="D97" s="744" t="str">
        <f>'Revenues 9-14'!A84</f>
        <v>Rentals - Regular Textbooks</v>
      </c>
      <c r="E97" s="739"/>
      <c r="F97" s="1793">
        <f>'Revenues 9-14'!C84</f>
        <v>68458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1500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18913</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1908</v>
      </c>
      <c r="C106" s="746">
        <v>3100</v>
      </c>
      <c r="D106" s="752" t="str">
        <f>'Revenues 9-14'!A132</f>
        <v>Total Special Education</v>
      </c>
      <c r="E106" s="739"/>
      <c r="F106" s="1793">
        <f>SUM('Revenues 9-14'!C132:D132,'Revenues 9-14'!F132)</f>
        <v>163110</v>
      </c>
      <c r="G106" s="745"/>
    </row>
    <row r="107" spans="1:7" x14ac:dyDescent="0.2">
      <c r="A107" s="741" t="s">
        <v>668</v>
      </c>
      <c r="B107" s="741" t="s">
        <v>1909</v>
      </c>
      <c r="C107" s="753">
        <v>3200</v>
      </c>
      <c r="D107" s="744" t="str">
        <f>'Revenues 9-14'!A141</f>
        <v>Total Career and Technical Education</v>
      </c>
      <c r="E107" s="739"/>
      <c r="F107" s="1793">
        <f>SUM('Revenues 9-14'!C141,'Revenues 9-14'!D141,'Revenues 9-14'!G141)</f>
        <v>10946</v>
      </c>
      <c r="G107" s="745"/>
    </row>
    <row r="108" spans="1:7" x14ac:dyDescent="0.2">
      <c r="A108" s="754" t="s">
        <v>659</v>
      </c>
      <c r="B108" s="741" t="s">
        <v>1910</v>
      </c>
      <c r="C108" s="753">
        <v>3300</v>
      </c>
      <c r="D108" s="744" t="str">
        <f>'Revenues 9-14'!A145</f>
        <v>Total Bilingual Ed</v>
      </c>
      <c r="E108" s="739"/>
      <c r="F108" s="1793">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93">
        <f>'Revenues 9-14'!C146</f>
        <v>1938</v>
      </c>
      <c r="G109" s="745"/>
    </row>
    <row r="110" spans="1:7" x14ac:dyDescent="0.2">
      <c r="A110" s="741" t="s">
        <v>668</v>
      </c>
      <c r="B110" s="741" t="s">
        <v>1912</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3">
        <f>SUM('Revenues 9-14'!C148,'Revenues 9-14'!D148)</f>
        <v>8447</v>
      </c>
      <c r="G111" s="745"/>
    </row>
    <row r="112" spans="1:7" x14ac:dyDescent="0.2">
      <c r="A112" s="741" t="s">
        <v>663</v>
      </c>
      <c r="B112" s="741" t="s">
        <v>1914</v>
      </c>
      <c r="C112" s="755">
        <v>3500</v>
      </c>
      <c r="D112" s="744" t="str">
        <f>'Revenues 9-14'!A155</f>
        <v>Total Transportation</v>
      </c>
      <c r="E112" s="739"/>
      <c r="F112" s="1793">
        <f>SUM('Revenues 9-14'!C155,'Revenues 9-14'!D155,'Revenues 9-14'!F155,'Revenues 9-14'!G155)</f>
        <v>431886</v>
      </c>
      <c r="G112" s="745"/>
    </row>
    <row r="113" spans="1:7" x14ac:dyDescent="0.2">
      <c r="A113" s="741" t="s">
        <v>456</v>
      </c>
      <c r="B113" s="741" t="s">
        <v>1915</v>
      </c>
      <c r="C113" s="753">
        <f>'Revenues 9-14'!B156</f>
        <v>3610</v>
      </c>
      <c r="D113" s="744" t="str">
        <f>'Revenues 9-14'!A156</f>
        <v>Learning Improvement - Change Grants</v>
      </c>
      <c r="E113" s="739"/>
      <c r="F113" s="1793">
        <f>'Revenues 9-14'!C156</f>
        <v>0</v>
      </c>
      <c r="G113" s="745"/>
    </row>
    <row r="114" spans="1:7" x14ac:dyDescent="0.2">
      <c r="A114" s="741" t="s">
        <v>663</v>
      </c>
      <c r="B114" s="741" t="s">
        <v>1916</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92">
        <f>SUM('Revenues 9-14'!C163:G163)</f>
        <v>0</v>
      </c>
      <c r="G119" s="745"/>
    </row>
    <row r="120" spans="1:7" x14ac:dyDescent="0.2">
      <c r="A120" s="756" t="s">
        <v>501</v>
      </c>
      <c r="B120" s="756" t="s">
        <v>1922</v>
      </c>
      <c r="C120" s="757">
        <f>'Revenues 9-14'!B164</f>
        <v>3815</v>
      </c>
      <c r="D120" s="758" t="str">
        <f>'Revenues 9-14'!A164</f>
        <v>State Charter Schools</v>
      </c>
      <c r="E120" s="739"/>
      <c r="F120" s="1792">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1924</v>
      </c>
      <c r="C122" s="761">
        <f>'Revenues 9-14'!B168</f>
        <v>3999</v>
      </c>
      <c r="D122" s="762" t="s">
        <v>540</v>
      </c>
      <c r="E122" s="764"/>
      <c r="F122" s="1793">
        <f>SUM('Revenues 9-14'!C168:G168,'Revenues 9-14'!J168)</f>
        <v>0</v>
      </c>
      <c r="G122" s="763"/>
    </row>
    <row r="123" spans="1:7" x14ac:dyDescent="0.2">
      <c r="A123" s="760" t="s">
        <v>456</v>
      </c>
      <c r="B123" s="760" t="s">
        <v>1925</v>
      </c>
      <c r="C123" s="765">
        <f>'Revenues 9-14'!B177</f>
        <v>4045</v>
      </c>
      <c r="D123" s="762" t="str">
        <f>'Revenues 9-14'!A177 &amp; " (Subtract)"</f>
        <v>Head Start (Subtract)</v>
      </c>
      <c r="E123" s="739"/>
      <c r="F123" s="1793">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1927</v>
      </c>
      <c r="C125" s="765">
        <v>4100</v>
      </c>
      <c r="D125" s="766" t="str">
        <f>'Revenues 9-14'!A188</f>
        <v>Total Title V</v>
      </c>
      <c r="E125" s="739"/>
      <c r="F125" s="1793">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93">
        <f>SUM('Revenues 9-14'!C198,'Revenues 9-14'!G198)</f>
        <v>183315</v>
      </c>
      <c r="G126" s="763"/>
    </row>
    <row r="127" spans="1:7" x14ac:dyDescent="0.2">
      <c r="A127" s="760" t="s">
        <v>663</v>
      </c>
      <c r="B127" s="760" t="s">
        <v>1929</v>
      </c>
      <c r="C127" s="765">
        <v>4300</v>
      </c>
      <c r="D127" s="766" t="str">
        <f>'Revenues 9-14'!A204</f>
        <v>Total Title I</v>
      </c>
      <c r="E127" s="739"/>
      <c r="F127" s="1793">
        <f>SUM('Revenues 9-14'!C204,'Revenues 9-14'!D204,'Revenues 9-14'!F204,'Revenues 9-14'!G204)</f>
        <v>327289</v>
      </c>
      <c r="G127" s="763"/>
    </row>
    <row r="128" spans="1:7" x14ac:dyDescent="0.2">
      <c r="A128" s="760" t="s">
        <v>663</v>
      </c>
      <c r="B128" s="760" t="s">
        <v>1930</v>
      </c>
      <c r="C128" s="765">
        <v>4400</v>
      </c>
      <c r="D128" s="766" t="str">
        <f>'Revenues 9-14'!A209</f>
        <v>Total Title IV</v>
      </c>
      <c r="E128" s="739"/>
      <c r="F128" s="1793">
        <f>SUM('Revenues 9-14'!C209,'Revenues 9-14'!D209,'Revenues 9-14'!F209,'Revenues 9-14'!G209)</f>
        <v>23756</v>
      </c>
      <c r="G128" s="763"/>
    </row>
    <row r="129" spans="1:7" x14ac:dyDescent="0.2">
      <c r="A129" s="760" t="s">
        <v>663</v>
      </c>
      <c r="B129" s="760" t="s">
        <v>1931</v>
      </c>
      <c r="C129" s="765">
        <f>'Revenues 9-14'!B213</f>
        <v>4620</v>
      </c>
      <c r="D129" s="766" t="str">
        <f>'Revenues 9-14'!A213</f>
        <v>Fed - Spec Education - IDEA - Flow Through</v>
      </c>
      <c r="E129" s="739"/>
      <c r="F129" s="1793">
        <f>SUM('Revenues 9-14'!C213:D213,'Revenues 9-14'!F213:G213)</f>
        <v>207495</v>
      </c>
      <c r="G129" s="763"/>
    </row>
    <row r="130" spans="1:7" x14ac:dyDescent="0.2">
      <c r="A130" s="760" t="s">
        <v>663</v>
      </c>
      <c r="B130" s="760" t="s">
        <v>1932</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1933</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1934</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3">
        <v>0</v>
      </c>
      <c r="G139" s="738"/>
    </row>
    <row r="140" spans="1:7" s="703" customFormat="1" hidden="1" x14ac:dyDescent="0.2">
      <c r="A140" s="767" t="s">
        <v>204</v>
      </c>
      <c r="B140" s="767" t="s">
        <v>1941</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1949</v>
      </c>
      <c r="C158" s="773" t="s">
        <v>836</v>
      </c>
      <c r="D158" s="774" t="s">
        <v>772</v>
      </c>
      <c r="E158" s="775"/>
      <c r="F158" s="1793">
        <f>SUM(F134:F157)</f>
        <v>0</v>
      </c>
      <c r="G158" s="738"/>
    </row>
    <row r="159" spans="1:7" s="703" customFormat="1" x14ac:dyDescent="0.2">
      <c r="A159" s="771" t="s">
        <v>456</v>
      </c>
      <c r="B159" s="772" t="s">
        <v>1950</v>
      </c>
      <c r="C159" s="773" t="s">
        <v>1410</v>
      </c>
      <c r="D159" s="774" t="s">
        <v>1411</v>
      </c>
      <c r="E159" s="775"/>
      <c r="F159" s="1793">
        <f>SUM('Revenues 9-14'!C253)</f>
        <v>0</v>
      </c>
      <c r="G159" s="738"/>
    </row>
    <row r="160" spans="1:7" s="703" customFormat="1" x14ac:dyDescent="0.2">
      <c r="A160" s="771" t="s">
        <v>497</v>
      </c>
      <c r="B160" s="772" t="s">
        <v>1951</v>
      </c>
      <c r="C160" s="773" t="s">
        <v>1449</v>
      </c>
      <c r="D160" s="774" t="s">
        <v>1450</v>
      </c>
      <c r="E160" s="775"/>
      <c r="F160" s="179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1954</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92">
        <f>SUM('Revenues 9-14'!C259,'Revenues 9-14'!D259,'Revenues 9-14'!F259,'Revenues 9-14'!G259)</f>
        <v>48611</v>
      </c>
      <c r="G165" s="763"/>
    </row>
    <row r="166" spans="1:7" x14ac:dyDescent="0.2">
      <c r="A166" s="760" t="s">
        <v>663</v>
      </c>
      <c r="B166" s="760" t="s">
        <v>1957</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93">
        <f>SUM('Revenues 9-14'!C263:D263,'Revenues 9-14'!F263:G263)</f>
        <v>4144</v>
      </c>
      <c r="G169" s="780">
        <v>6320</v>
      </c>
    </row>
    <row r="170" spans="1:7" x14ac:dyDescent="0.2">
      <c r="A170" s="760" t="s">
        <v>663</v>
      </c>
      <c r="B170" s="760" t="s">
        <v>1959</v>
      </c>
      <c r="C170" s="765">
        <f>'Revenues 9-14'!B264</f>
        <v>4992</v>
      </c>
      <c r="D170" s="766" t="str">
        <f>'Revenues 9-14'!A264</f>
        <v>Medicaid Matching Funds - Fee-for-Service Program</v>
      </c>
      <c r="E170" s="739"/>
      <c r="F170" s="1793">
        <f>SUM('Revenues 9-14'!C264:D264,'Revenues 9-14'!F264:G264)</f>
        <v>9952</v>
      </c>
      <c r="G170" s="780"/>
    </row>
    <row r="171" spans="1:7" x14ac:dyDescent="0.2">
      <c r="A171" s="781" t="s">
        <v>663</v>
      </c>
      <c r="B171" s="777" t="s">
        <v>1960</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1883</v>
      </c>
      <c r="C172" s="1531">
        <v>3100</v>
      </c>
      <c r="D172" s="1532" t="s">
        <v>1885</v>
      </c>
      <c r="E172" s="739"/>
      <c r="F172" s="1794">
        <v>352961</v>
      </c>
      <c r="G172" s="760"/>
    </row>
    <row r="173" spans="1:7" x14ac:dyDescent="0.2">
      <c r="A173" s="1529" t="s">
        <v>659</v>
      </c>
      <c r="B173" s="1530" t="s">
        <v>1883</v>
      </c>
      <c r="C173" s="1531">
        <v>3300</v>
      </c>
      <c r="D173" s="1532" t="s">
        <v>1886</v>
      </c>
      <c r="E173" s="739"/>
      <c r="F173" s="1794">
        <v>272</v>
      </c>
      <c r="G173" s="760"/>
    </row>
    <row r="174" spans="1:7" ht="6" customHeight="1" x14ac:dyDescent="0.2">
      <c r="A174" s="760"/>
      <c r="B174" s="760"/>
      <c r="C174" s="782"/>
      <c r="D174" s="760"/>
      <c r="E174" s="739"/>
      <c r="F174" s="1795"/>
      <c r="G174" s="780"/>
    </row>
    <row r="175" spans="1:7" x14ac:dyDescent="0.2">
      <c r="A175" s="1443"/>
      <c r="B175" s="1453"/>
      <c r="C175" s="1454"/>
      <c r="D175" s="1455" t="s">
        <v>2014</v>
      </c>
      <c r="E175" s="1456" t="s">
        <v>952</v>
      </c>
      <c r="F175" s="1796">
        <f>SUM(F85:F133,F158:F173)</f>
        <v>2039928</v>
      </c>
    </row>
    <row r="176" spans="1:7" ht="12" customHeight="1" x14ac:dyDescent="0.2">
      <c r="A176" s="1443"/>
      <c r="B176" s="1453"/>
      <c r="C176" s="1454"/>
      <c r="D176" s="1455" t="s">
        <v>2012</v>
      </c>
      <c r="E176" s="1456"/>
      <c r="F176" s="1793">
        <f>'PCTC-OEPP 27-28'!F78-F175</f>
        <v>8978117</v>
      </c>
    </row>
    <row r="177" spans="1:9" ht="12" customHeight="1" x14ac:dyDescent="0.2">
      <c r="A177" s="1443"/>
      <c r="B177" s="1453"/>
      <c r="C177" s="1454"/>
      <c r="D177" s="1455" t="s">
        <v>1792</v>
      </c>
      <c r="E177" s="1456"/>
      <c r="F177" s="1793">
        <f>'Cap Outlay Deprec 26'!I18</f>
        <v>605463</v>
      </c>
    </row>
    <row r="178" spans="1:9" ht="12" customHeight="1" x14ac:dyDescent="0.2">
      <c r="A178" s="1443"/>
      <c r="B178" s="1453"/>
      <c r="C178" s="1454"/>
      <c r="D178" s="1455" t="s">
        <v>2013</v>
      </c>
      <c r="E178" s="1456"/>
      <c r="F178" s="1793">
        <f>F176+F177</f>
        <v>9583580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982.1</v>
      </c>
      <c r="G179" s="763"/>
      <c r="I179" s="701"/>
    </row>
    <row r="180" spans="1:9" ht="12" customHeight="1" thickBot="1" x14ac:dyDescent="0.25">
      <c r="A180" s="1443"/>
      <c r="B180" s="1457"/>
      <c r="C180" s="1454"/>
      <c r="D180" s="1455" t="s">
        <v>2015</v>
      </c>
      <c r="E180" s="1456" t="s">
        <v>1528</v>
      </c>
      <c r="F180" s="1798">
        <f>F178/F179</f>
        <v>9758.2527237552185</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1805</v>
      </c>
      <c r="B1" s="1860"/>
      <c r="C1" s="1861"/>
      <c r="D1" s="1861"/>
      <c r="E1" s="1861"/>
      <c r="F1" s="1861"/>
    </row>
    <row r="2" spans="1:6" x14ac:dyDescent="0.25">
      <c r="A2" s="1863"/>
      <c r="B2" s="1864"/>
      <c r="C2" s="1913" t="s">
        <v>2001</v>
      </c>
      <c r="D2" s="1863"/>
      <c r="E2" s="1863"/>
      <c r="F2" s="1863"/>
    </row>
    <row r="3" spans="1:6" ht="5.25" customHeight="1" x14ac:dyDescent="0.25">
      <c r="A3" s="1865"/>
      <c r="B3" s="1866"/>
      <c r="C3" s="1865"/>
      <c r="D3" s="1865"/>
      <c r="E3" s="1865"/>
      <c r="F3" s="1865"/>
    </row>
    <row r="4" spans="1:6" ht="18.75" customHeight="1" x14ac:dyDescent="0.25">
      <c r="A4" s="2380" t="s">
        <v>1793</v>
      </c>
      <c r="B4" s="2381"/>
      <c r="C4" s="2381"/>
      <c r="D4" s="2381"/>
      <c r="E4" s="2381"/>
      <c r="F4" s="2382"/>
    </row>
    <row r="5" spans="1:6" x14ac:dyDescent="0.25">
      <c r="A5" s="2383"/>
      <c r="B5" s="2384"/>
      <c r="C5" s="2384"/>
      <c r="D5" s="2384"/>
      <c r="E5" s="2384"/>
      <c r="F5" s="2385"/>
    </row>
    <row r="6" spans="1:6" ht="18.75" x14ac:dyDescent="0.25">
      <c r="A6" s="1867" t="s">
        <v>1794</v>
      </c>
      <c r="B6" s="1868"/>
      <c r="C6" s="1869"/>
      <c r="D6" s="1869"/>
      <c r="E6" s="1869"/>
      <c r="F6" s="1870"/>
    </row>
    <row r="7" spans="1:6" ht="47.25" customHeight="1" x14ac:dyDescent="0.25">
      <c r="A7" s="2386" t="s">
        <v>1983</v>
      </c>
      <c r="B7" s="2387"/>
      <c r="C7" s="2387"/>
      <c r="D7" s="2387"/>
      <c r="E7" s="2387"/>
      <c r="F7" s="2388"/>
    </row>
    <row r="8" spans="1:6" ht="20.25" customHeight="1" x14ac:dyDescent="0.25">
      <c r="A8" s="1902" t="s">
        <v>1985</v>
      </c>
      <c r="B8" s="1903"/>
      <c r="C8" s="1903"/>
      <c r="D8" s="1903"/>
      <c r="E8" s="1871"/>
      <c r="F8" s="1872"/>
    </row>
    <row r="9" spans="1:6" ht="18" customHeight="1" x14ac:dyDescent="0.25">
      <c r="A9" s="1873" t="s">
        <v>1982</v>
      </c>
      <c r="B9" s="1875"/>
      <c r="C9" s="1875"/>
      <c r="D9" s="1875"/>
      <c r="E9" s="1871"/>
      <c r="F9" s="1872"/>
    </row>
    <row r="10" spans="1:6" ht="15.75" customHeight="1" x14ac:dyDescent="0.25">
      <c r="A10" s="2389" t="s">
        <v>1979</v>
      </c>
      <c r="B10" s="2390"/>
      <c r="C10" s="2390"/>
      <c r="D10" s="2390"/>
      <c r="E10" s="2390"/>
      <c r="F10" s="2391"/>
    </row>
    <row r="11" spans="1:6" ht="33" customHeight="1" x14ac:dyDescent="0.25">
      <c r="A11" s="2386" t="s">
        <v>1984</v>
      </c>
      <c r="B11" s="2387"/>
      <c r="C11" s="2387"/>
      <c r="D11" s="2387"/>
      <c r="E11" s="2387"/>
      <c r="F11" s="2388"/>
    </row>
    <row r="12" spans="1:6" ht="15" customHeight="1" x14ac:dyDescent="0.25">
      <c r="A12" s="1873" t="s">
        <v>1980</v>
      </c>
      <c r="B12" s="1874"/>
      <c r="C12" s="1875"/>
      <c r="D12" s="1875"/>
      <c r="E12" s="1875"/>
      <c r="F12" s="1876"/>
    </row>
    <row r="13" spans="1:6" ht="17.25" customHeight="1" x14ac:dyDescent="0.25">
      <c r="A13" s="2386" t="s">
        <v>1981</v>
      </c>
      <c r="B13" s="2387"/>
      <c r="C13" s="2387"/>
      <c r="D13" s="2387"/>
      <c r="E13" s="2387"/>
      <c r="F13" s="2388"/>
    </row>
    <row r="14" spans="1:6" ht="15" customHeight="1" x14ac:dyDescent="0.25">
      <c r="A14" s="1873" t="s">
        <v>1798</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1799</v>
      </c>
      <c r="B16" s="1878" t="s">
        <v>1800</v>
      </c>
      <c r="C16" s="1877" t="s">
        <v>1801</v>
      </c>
      <c r="D16" s="1879" t="s">
        <v>1802</v>
      </c>
      <c r="E16" s="1879" t="s">
        <v>1803</v>
      </c>
      <c r="F16" s="1879" t="s">
        <v>1804</v>
      </c>
    </row>
    <row r="17" spans="1:7" x14ac:dyDescent="0.25">
      <c r="A17" s="1880" t="s">
        <v>1806</v>
      </c>
      <c r="B17" s="1907" t="s">
        <v>1797</v>
      </c>
      <c r="C17" s="1881" t="s">
        <v>1795</v>
      </c>
      <c r="D17" s="1882">
        <v>500000</v>
      </c>
      <c r="E17" s="1882" t="str">
        <f>IF(D17&lt;25000,D17,"25,000")</f>
        <v>25,000</v>
      </c>
      <c r="F17" s="1883">
        <f>IF(D17&gt;=25000,(D17-E17),"0")</f>
        <v>475000</v>
      </c>
    </row>
    <row r="18" spans="1:7" x14ac:dyDescent="0.25">
      <c r="A18" s="2036" t="s">
        <v>2071</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1892</v>
      </c>
      <c r="B10" s="803"/>
      <c r="C10" s="807"/>
      <c r="D10" s="804"/>
      <c r="E10" s="1800">
        <v>139102</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25232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6268622</v>
      </c>
      <c r="F19" s="1802"/>
      <c r="G19" s="1804">
        <f>'Expenditures 15-22'!K33-SUM('Expenditures 15-22'!G33,'Expenditures 15-22'!I33)+'Expenditures 15-22'!D229</f>
        <v>6268622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308743</v>
      </c>
      <c r="F21" s="1805"/>
      <c r="G21" s="1808">
        <f>'Expenditures 15-22'!K42-SUM('Expenditures 15-22'!G42,'Expenditures 15-22'!I42)+'Expenditures 15-22'!K120-SUM('Expenditures 15-22'!G120,'Expenditures 15-22'!I120)+'Expenditures 15-22'!K180-SUM('Expenditures 15-22'!G180,'Expenditures 15-22'!I180)+'Expenditures 15-22'!D238</f>
        <v>308743</v>
      </c>
      <c r="H21" s="817"/>
      <c r="I21" s="157"/>
    </row>
    <row r="22" spans="1:9" s="542" customFormat="1" ht="12" customHeight="1" x14ac:dyDescent="0.2">
      <c r="A22" s="824" t="s">
        <v>560</v>
      </c>
      <c r="B22" s="825"/>
      <c r="C22" s="823">
        <v>2200</v>
      </c>
      <c r="D22" s="1805"/>
      <c r="E22" s="1807">
        <f>'Expenditures 15-22'!K47-SUM('Expenditures 15-22'!G47,'Expenditures 15-22'!I47)+'Expenditures 15-22'!D243</f>
        <v>211086</v>
      </c>
      <c r="F22" s="1805"/>
      <c r="G22" s="1808">
        <f>'Expenditures 15-22'!K47-SUM('Expenditures 15-22'!G47,'Expenditures 15-22'!I47)+'Expenditures 15-22'!D243</f>
        <v>211086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1256250</v>
      </c>
      <c r="F23" s="1805"/>
      <c r="G23" s="1807">
        <f>'Expenditures 15-22'!K53-SUM('Expenditures 15-22'!G53,'Expenditures 15-22'!I53)+'Expenditures 15-22'!D257+'Expenditures 15-22'!K330-SUM('Expenditures 15-22'!G330,'Expenditures 15-22'!I330)</f>
        <v>1256250</v>
      </c>
      <c r="H23" s="817"/>
      <c r="I23" s="157"/>
    </row>
    <row r="24" spans="1:9" s="542" customFormat="1" ht="12" customHeight="1" x14ac:dyDescent="0.2">
      <c r="A24" s="824" t="s">
        <v>562</v>
      </c>
      <c r="B24" s="825"/>
      <c r="C24" s="823">
        <v>2400</v>
      </c>
      <c r="D24" s="1805"/>
      <c r="E24" s="1807">
        <f>'Expenditures 15-22'!K57-SUM('Expenditures 15-22'!G57,'Expenditures 15-22'!I57)+'Expenditures 15-22'!D261</f>
        <v>783707</v>
      </c>
      <c r="F24" s="1805"/>
      <c r="G24" s="1808">
        <f>'Expenditures 15-22'!K57-SUM('Expenditures 15-22'!G57,'Expenditures 15-22'!I57)+'Expenditures 15-22'!D261</f>
        <v>783707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132169</v>
      </c>
      <c r="E27" s="1807">
        <f>E8</f>
        <v>0</v>
      </c>
      <c r="F27" s="1807">
        <f>'Expenditures 15-22'!K60-SUM('Expenditures 15-22'!G60,'Expenditures 15-22'!I60)+'Expenditures 15-22'!D264-E8</f>
        <v>132169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968418</v>
      </c>
      <c r="F28" s="1809">
        <f>'Expenditures 15-22'!K61-SUM('Expenditures 15-22'!G61,'Expenditures 15-22'!I61)+'Expenditures 15-22'!K124-SUM('Expenditures 15-22'!G124,'Expenditures 15-22'!I124)+'Expenditures 15-22'!D266-E9</f>
        <v>968418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516414</v>
      </c>
      <c r="F29" s="1805"/>
      <c r="G29" s="1808">
        <f>'Expenditures 15-22'!K62-SUM('Expenditures 15-22'!G62,'Expenditures 15-22'!I62)+'Expenditures 15-22'!K125-SUM('Expenditures 15-22'!G125,'Expenditures 15-22'!I125)+'Expenditures 15-22'!K182-SUM('Expenditures 15-22'!G182,'Expenditures 15-22'!I182)+'Expenditures 15-22'!D267</f>
        <v>516414</v>
      </c>
      <c r="H29" s="815"/>
    </row>
    <row r="30" spans="1:9" ht="12" customHeight="1" x14ac:dyDescent="0.2">
      <c r="A30" s="824" t="s">
        <v>100</v>
      </c>
      <c r="B30" s="827"/>
      <c r="C30" s="823">
        <v>2560</v>
      </c>
      <c r="D30" s="1805"/>
      <c r="E30" s="1807">
        <f>'Expenditures 15-22'!K63-SUM('Expenditures 15-22'!G63,'Expenditures 15-22'!I63)+'Expenditures 15-22'!D268-E10</f>
        <v>243660</v>
      </c>
      <c r="F30" s="1805"/>
      <c r="G30" s="1807">
        <f>'Expenditures 15-22'!K63-SUM('Expenditures 15-22'!G63,'Expenditures 15-22'!I63)+'Expenditures 15-22'!D268-E10</f>
        <v>243660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14040</v>
      </c>
      <c r="F39" s="1805"/>
      <c r="G39" s="1807">
        <f>'Expenditures 15-22'!K75-SUM('Expenditures 15-22'!G75,'Expenditures 15-22'!I75)+'Expenditures 15-22'!K130-SUM('Expenditures 15-22'!G130,'Expenditures 15-22'!I130)+'Expenditures 15-22'!K185-SUM('Expenditures 15-22'!G185,'Expenditures 15-22'!I185)+'Expenditures 15-22'!D280</f>
        <v>14040</v>
      </c>
    </row>
    <row r="40" spans="1:7" ht="12" customHeight="1" x14ac:dyDescent="0.2">
      <c r="A40" s="820" t="s">
        <v>1796</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132169</v>
      </c>
      <c r="E41" s="1809">
        <f>SUM(E19:E40)</f>
        <v>10570940</v>
      </c>
      <c r="F41" s="1809">
        <f>SUM(F19:F39)</f>
        <v>1100587</v>
      </c>
      <c r="G41" s="1809">
        <f>SUM(G19:G40)</f>
        <v>9602522</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132169</v>
      </c>
      <c r="F43" s="1458" t="s">
        <v>470</v>
      </c>
      <c r="G43" s="1810">
        <f>F41</f>
        <v>1100587</v>
      </c>
    </row>
    <row r="44" spans="1:7" ht="12" customHeight="1" x14ac:dyDescent="0.2">
      <c r="A44" s="817"/>
      <c r="B44" s="157"/>
      <c r="C44" s="831"/>
      <c r="D44" s="1458" t="s">
        <v>471</v>
      </c>
      <c r="E44" s="1810">
        <f>E41</f>
        <v>10570940</v>
      </c>
      <c r="F44" s="1458" t="s">
        <v>471</v>
      </c>
      <c r="G44" s="1810">
        <f>G41</f>
        <v>9602522</v>
      </c>
    </row>
    <row r="45" spans="1:7" ht="12" customHeight="1" x14ac:dyDescent="0.2">
      <c r="A45" s="817"/>
      <c r="B45" s="157"/>
      <c r="C45" s="157"/>
      <c r="D45" s="1459" t="s">
        <v>999</v>
      </c>
      <c r="E45" s="1811">
        <f>(E43/E44)</f>
        <v>1.2503050816672879E-2</v>
      </c>
      <c r="F45" s="1459" t="s">
        <v>999</v>
      </c>
      <c r="G45" s="1811">
        <f>(G43/G44)</f>
        <v>0.11461436901680622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1363</v>
      </c>
      <c r="B1" s="2414"/>
      <c r="C1" s="2414"/>
      <c r="D1" s="2414"/>
      <c r="E1" s="2414"/>
      <c r="F1" s="2414"/>
    </row>
    <row r="2" spans="1:15" x14ac:dyDescent="0.2">
      <c r="A2" s="1513" t="s">
        <v>1876</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1529</v>
      </c>
      <c r="B5" s="2416"/>
      <c r="C5" s="2417"/>
      <c r="D5" s="2417"/>
      <c r="E5" s="2417"/>
      <c r="F5" s="2417"/>
      <c r="G5" s="1507"/>
      <c r="L5" s="1507"/>
      <c r="M5" s="1855"/>
      <c r="N5" s="1855"/>
      <c r="O5" s="1855"/>
    </row>
    <row r="6" spans="1:15" ht="12" customHeight="1" x14ac:dyDescent="0.25">
      <c r="A6" s="1480"/>
      <c r="B6" s="1481"/>
      <c r="C6" s="2418" t="str">
        <f>COVER!A17</f>
        <v xml:space="preserve">  Gibson City-Melvin-Sibley CUSD 5</v>
      </c>
      <c r="D6" s="2418"/>
      <c r="E6" s="2418"/>
      <c r="F6" s="1482"/>
      <c r="G6" s="1507"/>
      <c r="L6" s="1507"/>
      <c r="M6" s="1855"/>
      <c r="N6" s="1855"/>
      <c r="O6" s="1855"/>
    </row>
    <row r="7" spans="1:15" ht="11.25" customHeight="1" thickBot="1" x14ac:dyDescent="0.3">
      <c r="A7" s="1480"/>
      <c r="B7" s="1481"/>
      <c r="C7" s="2419">
        <f>COVER!A13</f>
        <v>9027005026</v>
      </c>
      <c r="D7" s="2419"/>
      <c r="E7" s="2419"/>
      <c r="F7" s="1482"/>
      <c r="G7" s="1507"/>
      <c r="L7" s="1507"/>
      <c r="M7" s="1855"/>
      <c r="N7" s="1855"/>
      <c r="O7" s="1855"/>
    </row>
    <row r="8" spans="1:15" ht="25.5" customHeight="1" thickBot="1" x14ac:dyDescent="0.25">
      <c r="A8" s="1519" t="s">
        <v>1872</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2049</v>
      </c>
      <c r="D26" s="1495" t="s">
        <v>2049</v>
      </c>
      <c r="E26" s="1498" t="s">
        <v>2049</v>
      </c>
      <c r="F26" s="1497" t="s">
        <v>2072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2"/>
      <c r="B39" s="1502"/>
      <c r="C39" s="1502"/>
      <c r="D39" s="1502"/>
      <c r="E39" s="1502"/>
      <c r="F39" s="1502"/>
    </row>
    <row r="40" spans="1:15" s="1499" customFormat="1" ht="12" customHeight="1" x14ac:dyDescent="0.25">
      <c r="A40" s="1503" t="s">
        <v>1375</v>
      </c>
      <c r="B40" s="1504"/>
      <c r="C40" s="2409"/>
      <c r="D40" s="2409"/>
      <c r="E40" s="2409"/>
      <c r="F40" s="2410"/>
      <c r="H40" s="1508"/>
      <c r="I40" s="1508"/>
      <c r="J40" s="1508"/>
      <c r="K40" s="1508"/>
    </row>
    <row r="41" spans="1:15" s="1499" customFormat="1" ht="12" customHeight="1" x14ac:dyDescent="0.25">
      <c r="A41" s="2411"/>
      <c r="B41" s="2412"/>
      <c r="C41" s="2412"/>
      <c r="D41" s="2412"/>
      <c r="E41" s="2412"/>
      <c r="F41" s="2413"/>
      <c r="H41" s="1508"/>
      <c r="I41" s="1508"/>
      <c r="J41" s="1508"/>
      <c r="K41" s="1508"/>
    </row>
    <row r="42" spans="1:15" s="1499" customFormat="1" ht="12" customHeight="1" x14ac:dyDescent="0.25">
      <c r="A42" s="2411"/>
      <c r="B42" s="2412"/>
      <c r="C42" s="2412"/>
      <c r="D42" s="2412"/>
      <c r="E42" s="2412"/>
      <c r="F42" s="2413"/>
      <c r="H42" s="1508"/>
      <c r="I42" s="1508"/>
      <c r="J42" s="1508"/>
      <c r="K42" s="1508"/>
    </row>
    <row r="43" spans="1:15" s="1499" customFormat="1" ht="15" x14ac:dyDescent="0.25">
      <c r="A43" s="2400"/>
      <c r="B43" s="2401"/>
      <c r="C43" s="2401"/>
      <c r="D43" s="2401"/>
      <c r="E43" s="2401"/>
      <c r="F43" s="2402"/>
      <c r="H43" s="1508"/>
      <c r="I43" s="1508"/>
      <c r="J43" s="1508"/>
      <c r="K43" s="1508"/>
    </row>
    <row r="44" spans="1:15" s="1499" customFormat="1" ht="12" hidden="1" customHeight="1" x14ac:dyDescent="0.25">
      <c r="A44" s="2400"/>
      <c r="B44" s="2401"/>
      <c r="C44" s="2401"/>
      <c r="D44" s="2401"/>
      <c r="E44" s="2401"/>
      <c r="F44" s="24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2000</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0" t="str">
        <f>COVER!A17</f>
        <v xml:space="preserve">  Gibson City-Melvin-Sibley CUSD 5</v>
      </c>
      <c r="K6" s="2440"/>
      <c r="L6" s="2454"/>
      <c r="M6" s="838"/>
      <c r="N6" s="1999"/>
    </row>
    <row r="7" spans="1:14" x14ac:dyDescent="0.2">
      <c r="A7" s="2455" t="s">
        <v>864</v>
      </c>
      <c r="B7" s="2456"/>
      <c r="C7" s="2456"/>
      <c r="D7" s="2456"/>
      <c r="E7" s="2457"/>
      <c r="F7" s="839"/>
      <c r="G7" s="838"/>
      <c r="H7" s="838"/>
      <c r="I7" s="1925" t="s">
        <v>369</v>
      </c>
      <c r="J7" s="2442">
        <f>COVER!A13</f>
        <v>9027005026</v>
      </c>
      <c r="K7" s="2442"/>
      <c r="L7" s="244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2016</v>
      </c>
      <c r="F9" s="1857"/>
      <c r="G9" s="1857"/>
      <c r="H9" s="1857"/>
      <c r="I9" s="1930" t="s">
        <v>2017</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8" t="s">
        <v>478</v>
      </c>
      <c r="B11" s="2459"/>
      <c r="C11" s="2460"/>
      <c r="D11" s="1938" t="s">
        <v>866</v>
      </c>
      <c r="E11" s="1938" t="s">
        <v>64</v>
      </c>
      <c r="F11" s="1938" t="s">
        <v>6</v>
      </c>
      <c r="G11" s="1939" t="s">
        <v>2018</v>
      </c>
      <c r="H11" s="1940" t="s">
        <v>155</v>
      </c>
      <c r="I11" s="1938" t="s">
        <v>64</v>
      </c>
      <c r="J11" s="1938" t="s">
        <v>6</v>
      </c>
      <c r="K11" s="1939" t="s">
        <v>1999</v>
      </c>
      <c r="L11" s="1940" t="s">
        <v>155</v>
      </c>
      <c r="M11" s="838"/>
      <c r="N11" s="1999"/>
    </row>
    <row r="12" spans="1:14" x14ac:dyDescent="0.2">
      <c r="A12" s="2004">
        <v>1</v>
      </c>
      <c r="B12" s="1941" t="s">
        <v>813</v>
      </c>
      <c r="C12" s="842"/>
      <c r="D12" s="1942">
        <v>2320</v>
      </c>
      <c r="E12" s="1945">
        <f>'Expenditures 15-22'!K50</f>
        <v>282378</v>
      </c>
      <c r="F12" s="1943"/>
      <c r="G12" s="1969">
        <f>G68</f>
        <v>24352</v>
      </c>
      <c r="H12" s="1945">
        <f t="shared" ref="H12:H18" si="0">SUM(E12:G12)</f>
        <v>306730</v>
      </c>
      <c r="I12" s="1944">
        <v>310000</v>
      </c>
      <c r="J12" s="1943"/>
      <c r="K12" s="1944"/>
      <c r="L12" s="1945">
        <f t="shared" ref="L12:L18" si="1">SUM(I12:K12)</f>
        <v>310000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1" t="s">
        <v>7</v>
      </c>
      <c r="C18" s="2462"/>
      <c r="D18" s="246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282378</v>
      </c>
      <c r="F19" s="1951">
        <f t="shared" si="2"/>
        <v>0</v>
      </c>
      <c r="G19" s="1951">
        <f t="shared" ref="G19" si="3">SUM(G12:G17)-G18</f>
        <v>24352</v>
      </c>
      <c r="H19" s="1951">
        <f t="shared" si="2"/>
        <v>306730</v>
      </c>
      <c r="I19" s="1951">
        <f t="shared" si="2"/>
        <v>310000</v>
      </c>
      <c r="J19" s="1951">
        <f t="shared" si="2"/>
        <v>0</v>
      </c>
      <c r="K19" s="1951">
        <f t="shared" si="2"/>
        <v>0</v>
      </c>
      <c r="L19" s="1951">
        <f t="shared" si="2"/>
        <v>310000</v>
      </c>
      <c r="M19" s="838"/>
      <c r="N19" s="1999"/>
    </row>
    <row r="20" spans="1:14" ht="13.5" thickTop="1" x14ac:dyDescent="0.2">
      <c r="A20" s="2004">
        <v>9</v>
      </c>
      <c r="B20" s="2464" t="s">
        <v>2019</v>
      </c>
      <c r="C20" s="2464"/>
      <c r="D20" s="2465"/>
      <c r="E20" s="1952"/>
      <c r="F20" s="1952"/>
      <c r="G20" s="1952"/>
      <c r="H20" s="1952"/>
      <c r="I20" s="1952"/>
      <c r="J20" s="1952"/>
      <c r="K20" s="1952"/>
      <c r="L20" s="1953">
        <f>IF(AND(H19&gt;0,L19&gt;0),(((L19-H19)/H19)),"Enter Budget Data")</f>
        <v>1.0660841782675318E-2</v>
      </c>
      <c r="M20" s="838"/>
      <c r="N20" s="1999"/>
    </row>
    <row r="21" spans="1:14" x14ac:dyDescent="0.2">
      <c r="A21" s="2006" t="s">
        <v>194</v>
      </c>
      <c r="B21" s="2007" t="s">
        <v>2044</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2020</v>
      </c>
      <c r="B24" s="2011"/>
      <c r="C24" s="2012"/>
      <c r="D24" s="2012"/>
      <c r="E24" s="2012"/>
      <c r="F24" s="2012"/>
      <c r="G24" s="2012"/>
      <c r="H24" s="2012"/>
      <c r="I24" s="2012"/>
      <c r="J24" s="2012"/>
      <c r="K24" s="2012"/>
      <c r="L24" s="838"/>
      <c r="M24" s="838"/>
      <c r="N24" s="1999"/>
    </row>
    <row r="25" spans="1:14" x14ac:dyDescent="0.2">
      <c r="A25" s="2010" t="s">
        <v>2021</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6"/>
      <c r="D27" s="2466"/>
      <c r="E27" s="843"/>
      <c r="F27" s="2467"/>
      <c r="G27" s="2467"/>
      <c r="H27" s="2467"/>
      <c r="I27" s="838"/>
      <c r="J27" s="838"/>
      <c r="K27" s="838"/>
      <c r="L27" s="838"/>
      <c r="M27" s="838"/>
      <c r="N27" s="1999"/>
    </row>
    <row r="28" spans="1:14" x14ac:dyDescent="0.2">
      <c r="A28" s="1998"/>
      <c r="B28" s="2008"/>
      <c r="C28" s="1958" t="s">
        <v>1026</v>
      </c>
      <c r="D28" s="844"/>
      <c r="E28" s="1959"/>
      <c r="F28" s="2468" t="s">
        <v>1492</v>
      </c>
      <c r="G28" s="2468"/>
      <c r="H28" s="2468"/>
      <c r="I28" s="838"/>
      <c r="J28" s="838"/>
      <c r="K28" s="838"/>
      <c r="L28" s="838"/>
      <c r="M28" s="838"/>
      <c r="N28" s="1999"/>
    </row>
    <row r="29" spans="1:14" x14ac:dyDescent="0.2">
      <c r="A29" s="1998"/>
      <c r="B29" s="2008"/>
      <c r="C29" s="2469"/>
      <c r="D29" s="2469"/>
      <c r="E29" s="845"/>
      <c r="F29" s="2469"/>
      <c r="G29" s="2469"/>
      <c r="H29" s="2469"/>
      <c r="I29" s="838"/>
      <c r="J29" s="838"/>
      <c r="K29" s="838"/>
      <c r="L29" s="838"/>
      <c r="M29" s="838"/>
      <c r="N29" s="1999"/>
    </row>
    <row r="30" spans="1:14" x14ac:dyDescent="0.2">
      <c r="A30" s="1998"/>
      <c r="B30" s="2008"/>
      <c r="C30" s="1961" t="s">
        <v>1544</v>
      </c>
      <c r="D30" s="838"/>
      <c r="E30" s="1960"/>
      <c r="F30" s="2453" t="s">
        <v>1493</v>
      </c>
      <c r="G30" s="2453"/>
      <c r="H30" s="245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0" t="s">
        <v>2022</v>
      </c>
      <c r="D34" s="2431"/>
      <c r="E34" s="2431"/>
      <c r="F34" s="2431"/>
      <c r="G34" s="2431"/>
      <c r="H34" s="2431"/>
      <c r="I34" s="2431"/>
      <c r="J34" s="2431"/>
      <c r="K34" s="2017"/>
      <c r="L34" s="838"/>
      <c r="M34" s="838"/>
      <c r="N34" s="1999"/>
    </row>
    <row r="35" spans="1:14" x14ac:dyDescent="0.2">
      <c r="A35" s="1998"/>
      <c r="B35" s="838"/>
      <c r="C35" s="2431"/>
      <c r="D35" s="2431"/>
      <c r="E35" s="2431"/>
      <c r="F35" s="2431"/>
      <c r="G35" s="2431"/>
      <c r="H35" s="2431"/>
      <c r="I35" s="2431"/>
      <c r="J35" s="243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0" t="s">
        <v>2023</v>
      </c>
      <c r="D37" s="2431"/>
      <c r="E37" s="2431"/>
      <c r="F37" s="2431"/>
      <c r="G37" s="2431"/>
      <c r="H37" s="2431"/>
      <c r="I37" s="2431"/>
      <c r="J37" s="2431"/>
      <c r="K37" s="2017"/>
      <c r="L37" s="2019"/>
      <c r="M37" s="838"/>
      <c r="N37" s="1999"/>
    </row>
    <row r="38" spans="1:14" x14ac:dyDescent="0.2">
      <c r="A38" s="1998"/>
      <c r="B38" s="838"/>
      <c r="C38" s="2431"/>
      <c r="D38" s="2431"/>
      <c r="E38" s="2431"/>
      <c r="F38" s="2431"/>
      <c r="G38" s="2431"/>
      <c r="H38" s="2431"/>
      <c r="I38" s="2431"/>
      <c r="J38" s="243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2" t="s">
        <v>2024</v>
      </c>
      <c r="D40" s="2433"/>
      <c r="E40" s="2433"/>
      <c r="F40" s="2433"/>
      <c r="G40" s="2433"/>
      <c r="H40" s="2433"/>
      <c r="I40" s="2433"/>
      <c r="J40" s="243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4" t="s">
        <v>2025</v>
      </c>
      <c r="B43" s="2435"/>
      <c r="C43" s="2435"/>
      <c r="D43" s="2435"/>
      <c r="E43" s="2435"/>
      <c r="F43" s="2435"/>
      <c r="G43" s="2435"/>
      <c r="H43" s="2435"/>
      <c r="I43" s="2435"/>
      <c r="J43" s="2435"/>
      <c r="K43" s="2435"/>
      <c r="L43" s="2435"/>
      <c r="M43" s="2435"/>
      <c r="N43" s="243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2026</v>
      </c>
      <c r="B45" s="1984"/>
      <c r="C45" s="1984"/>
      <c r="D45" s="1984"/>
      <c r="E45" s="1984"/>
      <c r="F45" s="1984"/>
      <c r="G45" s="1984"/>
      <c r="H45" s="1984"/>
      <c r="I45" s="1984"/>
      <c r="J45" s="1984"/>
      <c r="K45" s="1984"/>
      <c r="L45" s="1984"/>
      <c r="M45" s="1984"/>
      <c r="N45" s="1985"/>
    </row>
    <row r="46" spans="1:14" x14ac:dyDescent="0.2">
      <c r="A46" s="2437" t="s">
        <v>2027</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2043</v>
      </c>
      <c r="B49" s="2025"/>
      <c r="C49" s="2025"/>
      <c r="D49" s="2026"/>
      <c r="E49" s="2026"/>
      <c r="F49" s="2026"/>
      <c r="G49" s="2026"/>
      <c r="H49" s="2026"/>
      <c r="I49" s="2026"/>
      <c r="J49" s="2026"/>
      <c r="K49" s="2026"/>
      <c r="L49" s="2026"/>
      <c r="M49" s="2026"/>
      <c r="N49" s="2027"/>
    </row>
    <row r="50" spans="1:14" ht="15" x14ac:dyDescent="0.25">
      <c r="A50" s="2029" t="s">
        <v>2042</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0" t="str">
        <f>J6</f>
        <v xml:space="preserve">  Gibson City-Melvin-Sibley CUSD 5</v>
      </c>
      <c r="M52" s="2440"/>
      <c r="N52" s="2441"/>
    </row>
    <row r="53" spans="1:14" x14ac:dyDescent="0.2">
      <c r="A53" s="1983"/>
      <c r="B53" s="1984"/>
      <c r="C53" s="1984"/>
      <c r="D53" s="1984"/>
      <c r="E53" s="1984"/>
      <c r="F53" s="1984"/>
      <c r="G53" s="1984"/>
      <c r="H53" s="1984"/>
      <c r="I53" s="1984"/>
      <c r="J53" s="1984"/>
      <c r="K53" s="1925" t="s">
        <v>369</v>
      </c>
      <c r="L53" s="2442">
        <f>J7</f>
        <v>9027005026</v>
      </c>
      <c r="M53" s="2442"/>
      <c r="N53" s="244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4"/>
      <c r="B55" s="2445"/>
      <c r="C55" s="2445"/>
      <c r="D55" s="1971"/>
      <c r="E55" s="1971"/>
      <c r="F55" s="1971"/>
      <c r="G55" s="2446" t="s">
        <v>2028</v>
      </c>
      <c r="H55" s="2446"/>
      <c r="I55" s="2446"/>
      <c r="J55" s="2446"/>
      <c r="K55" s="2446"/>
      <c r="L55" s="2446"/>
      <c r="M55" s="2446"/>
      <c r="N55" s="2447"/>
    </row>
    <row r="56" spans="1:14" ht="63.75" x14ac:dyDescent="0.2">
      <c r="A56" s="2448" t="s">
        <v>2029</v>
      </c>
      <c r="B56" s="2449"/>
      <c r="C56" s="2450"/>
      <c r="D56" s="1965" t="s">
        <v>2030</v>
      </c>
      <c r="E56" s="1965" t="s">
        <v>2031</v>
      </c>
      <c r="F56" s="1972"/>
      <c r="G56" s="1965" t="s">
        <v>2032</v>
      </c>
      <c r="H56" s="1965" t="s">
        <v>2033</v>
      </c>
      <c r="I56" s="1965" t="s">
        <v>2034</v>
      </c>
      <c r="J56" s="1965" t="s">
        <v>2035</v>
      </c>
      <c r="K56" s="1965" t="s">
        <v>2036</v>
      </c>
      <c r="L56" s="1965" t="s">
        <v>2037</v>
      </c>
      <c r="M56" s="1965" t="s">
        <v>2038</v>
      </c>
      <c r="N56" s="1966" t="s">
        <v>2045</v>
      </c>
    </row>
    <row r="57" spans="1:14" ht="24.75" customHeight="1" x14ac:dyDescent="0.2">
      <c r="A57" s="2451" t="s">
        <v>296</v>
      </c>
      <c r="B57" s="2452"/>
      <c r="C57" s="245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8" t="s">
        <v>2039</v>
      </c>
      <c r="B58" s="2429"/>
      <c r="C58" s="2429"/>
      <c r="D58" s="1968">
        <v>2362</v>
      </c>
      <c r="E58" s="1978">
        <f>'Expenditures 15-22'!K320</f>
        <v>38107</v>
      </c>
      <c r="F58" s="1973"/>
      <c r="G58" s="2032"/>
      <c r="H58" s="2033"/>
      <c r="I58" s="2033"/>
      <c r="J58" s="2033"/>
      <c r="K58" s="2033"/>
      <c r="L58" s="2033"/>
      <c r="M58" s="2033">
        <v>38107</v>
      </c>
      <c r="N58" s="1976">
        <f>IF((SUM(G58:M58))=E58,SUM(G58:M58),"Column N does not agree with Column E")</f>
        <v>38107</v>
      </c>
    </row>
    <row r="59" spans="1:14" ht="24.75" customHeight="1" x14ac:dyDescent="0.2">
      <c r="A59" s="2422" t="s">
        <v>297</v>
      </c>
      <c r="B59" s="2423"/>
      <c r="C59" s="2423"/>
      <c r="D59" s="1968">
        <v>2363</v>
      </c>
      <c r="E59" s="1978">
        <f>'Expenditures 15-22'!K321</f>
        <v>7140</v>
      </c>
      <c r="F59" s="1973"/>
      <c r="G59" s="2032"/>
      <c r="H59" s="2033"/>
      <c r="I59" s="2033"/>
      <c r="J59" s="2033"/>
      <c r="K59" s="2033"/>
      <c r="L59" s="2033"/>
      <c r="M59" s="2033">
        <v>7140</v>
      </c>
      <c r="N59" s="1976">
        <f>IF((SUM(G59:M59))=E59,SUM(G59:M59),"Column N does not agree with Column E")</f>
        <v>7140</v>
      </c>
    </row>
    <row r="60" spans="1:14" ht="24" customHeight="1" x14ac:dyDescent="0.2">
      <c r="A60" s="2422" t="s">
        <v>236</v>
      </c>
      <c r="B60" s="2423"/>
      <c r="C60" s="2423"/>
      <c r="D60" s="1968">
        <v>2364</v>
      </c>
      <c r="E60" s="1978">
        <f>'Expenditures 15-22'!K322</f>
        <v>52581</v>
      </c>
      <c r="F60" s="1973"/>
      <c r="G60" s="2032"/>
      <c r="H60" s="2033"/>
      <c r="I60" s="2033"/>
      <c r="J60" s="2033"/>
      <c r="K60" s="2033"/>
      <c r="L60" s="2033"/>
      <c r="M60" s="2033">
        <v>52581</v>
      </c>
      <c r="N60" s="1976">
        <f t="shared" ref="N60:N67" si="4">IF((SUM(G60:M60))=E60,SUM(G60:M60),"Column N does not agree with Column E")</f>
        <v>52581</v>
      </c>
    </row>
    <row r="61" spans="1:14" ht="24.75" customHeight="1" x14ac:dyDescent="0.2">
      <c r="A61" s="2422" t="s">
        <v>697</v>
      </c>
      <c r="B61" s="2423"/>
      <c r="C61" s="2423"/>
      <c r="D61" s="1968">
        <v>2365</v>
      </c>
      <c r="E61" s="1978">
        <f>'Expenditures 15-22'!K323</f>
        <v>0</v>
      </c>
      <c r="F61" s="1973"/>
      <c r="G61" s="2032"/>
      <c r="H61" s="2033"/>
      <c r="I61" s="2033"/>
      <c r="J61" s="2033"/>
      <c r="K61" s="2033"/>
      <c r="L61" s="2033"/>
      <c r="M61" s="2033"/>
      <c r="N61" s="1976">
        <f t="shared" si="4"/>
        <v>0</v>
      </c>
    </row>
    <row r="62" spans="1:14" ht="24" customHeight="1" x14ac:dyDescent="0.2">
      <c r="A62" s="2422" t="s">
        <v>237</v>
      </c>
      <c r="B62" s="2423"/>
      <c r="C62" s="2423"/>
      <c r="D62" s="1968">
        <v>2366</v>
      </c>
      <c r="E62" s="1978">
        <f>'Expenditures 15-22'!K324</f>
        <v>0</v>
      </c>
      <c r="F62" s="1973"/>
      <c r="G62" s="2032"/>
      <c r="H62" s="2033"/>
      <c r="I62" s="2033"/>
      <c r="J62" s="2033"/>
      <c r="K62" s="2033"/>
      <c r="L62" s="2033"/>
      <c r="M62" s="2033"/>
      <c r="N62" s="1976">
        <f t="shared" si="4"/>
        <v>0</v>
      </c>
    </row>
    <row r="63" spans="1:14" ht="24" customHeight="1" x14ac:dyDescent="0.2">
      <c r="A63" s="2428" t="s">
        <v>1022</v>
      </c>
      <c r="B63" s="2429"/>
      <c r="C63" s="2429"/>
      <c r="D63" s="1968">
        <v>2367</v>
      </c>
      <c r="E63" s="1978">
        <f>'Expenditures 15-22'!K325</f>
        <v>776581</v>
      </c>
      <c r="F63" s="1973"/>
      <c r="G63" s="2032">
        <v>24352</v>
      </c>
      <c r="H63" s="2033"/>
      <c r="I63" s="2033"/>
      <c r="J63" s="2033"/>
      <c r="K63" s="2033"/>
      <c r="L63" s="2033"/>
      <c r="M63" s="2033">
        <v>752229</v>
      </c>
      <c r="N63" s="1976">
        <f t="shared" si="4"/>
        <v>776581</v>
      </c>
    </row>
    <row r="64" spans="1:14" ht="24" customHeight="1" x14ac:dyDescent="0.2">
      <c r="A64" s="2422" t="s">
        <v>1023</v>
      </c>
      <c r="B64" s="2423"/>
      <c r="C64" s="2423"/>
      <c r="D64" s="1968">
        <v>2368</v>
      </c>
      <c r="E64" s="1978">
        <f>'Expenditures 15-22'!K326</f>
        <v>0</v>
      </c>
      <c r="F64" s="1973"/>
      <c r="G64" s="2032"/>
      <c r="H64" s="2033"/>
      <c r="I64" s="2033"/>
      <c r="J64" s="2033"/>
      <c r="K64" s="2033"/>
      <c r="L64" s="2033"/>
      <c r="M64" s="2033"/>
      <c r="N64" s="1976">
        <f t="shared" si="4"/>
        <v>0</v>
      </c>
    </row>
    <row r="65" spans="1:14" ht="24" customHeight="1" x14ac:dyDescent="0.2">
      <c r="A65" s="2422" t="s">
        <v>965</v>
      </c>
      <c r="B65" s="2423"/>
      <c r="C65" s="2423"/>
      <c r="D65" s="1968">
        <v>2369</v>
      </c>
      <c r="E65" s="1978">
        <f>'Expenditures 15-22'!K327</f>
        <v>4531</v>
      </c>
      <c r="F65" s="1973"/>
      <c r="G65" s="2032"/>
      <c r="H65" s="2033"/>
      <c r="I65" s="2033"/>
      <c r="J65" s="2033"/>
      <c r="K65" s="2033"/>
      <c r="L65" s="2033"/>
      <c r="M65" s="2033">
        <v>4531</v>
      </c>
      <c r="N65" s="1976">
        <f t="shared" si="4"/>
        <v>4531</v>
      </c>
    </row>
    <row r="66" spans="1:14" ht="24" customHeight="1" x14ac:dyDescent="0.2">
      <c r="A66" s="2422" t="s">
        <v>469</v>
      </c>
      <c r="B66" s="2423"/>
      <c r="C66" s="2423"/>
      <c r="D66" s="1968">
        <v>2371</v>
      </c>
      <c r="E66" s="1978">
        <f>'Expenditures 15-22'!K328</f>
        <v>0</v>
      </c>
      <c r="F66" s="1973"/>
      <c r="G66" s="2032"/>
      <c r="H66" s="2033"/>
      <c r="I66" s="2033"/>
      <c r="J66" s="2033"/>
      <c r="K66" s="2033"/>
      <c r="L66" s="2033"/>
      <c r="M66" s="2033"/>
      <c r="N66" s="1976">
        <f t="shared" si="4"/>
        <v>0</v>
      </c>
    </row>
    <row r="67" spans="1:14" ht="24.75" customHeight="1" x14ac:dyDescent="0.2">
      <c r="A67" s="2424" t="s">
        <v>2040</v>
      </c>
      <c r="B67" s="2425"/>
      <c r="C67" s="2425"/>
      <c r="D67" s="1970">
        <v>2372</v>
      </c>
      <c r="E67" s="1979">
        <f>'Expenditures 15-22'!K329</f>
        <v>0</v>
      </c>
      <c r="F67" s="1973"/>
      <c r="G67" s="2034"/>
      <c r="H67" s="2035"/>
      <c r="I67" s="2035"/>
      <c r="J67" s="2035"/>
      <c r="K67" s="2035"/>
      <c r="L67" s="2035"/>
      <c r="M67" s="2035"/>
      <c r="N67" s="1976">
        <f t="shared" si="4"/>
        <v>0</v>
      </c>
    </row>
    <row r="68" spans="1:14" x14ac:dyDescent="0.2">
      <c r="A68" s="2426" t="s">
        <v>1151</v>
      </c>
      <c r="B68" s="2427"/>
      <c r="C68" s="2427"/>
      <c r="D68" s="1971"/>
      <c r="E68" s="1975">
        <f>SUM(E57:E67)</f>
        <v>878940</v>
      </c>
      <c r="F68" s="1974"/>
      <c r="G68" s="1975">
        <f t="shared" ref="G68:N68" si="5">SUM(G57:G67)</f>
        <v>24352</v>
      </c>
      <c r="H68" s="1975">
        <f t="shared" si="5"/>
        <v>0</v>
      </c>
      <c r="I68" s="1975">
        <f t="shared" si="5"/>
        <v>0</v>
      </c>
      <c r="J68" s="1975">
        <f t="shared" si="5"/>
        <v>0</v>
      </c>
      <c r="K68" s="1975">
        <f t="shared" si="5"/>
        <v>0</v>
      </c>
      <c r="L68" s="1975">
        <f t="shared" si="5"/>
        <v>0</v>
      </c>
      <c r="M68" s="1975">
        <f t="shared" si="5"/>
        <v>854588</v>
      </c>
      <c r="N68" s="1989">
        <f t="shared" si="5"/>
        <v>878940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2041</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2073</v>
      </c>
    </row>
    <row r="6" spans="1:2" x14ac:dyDescent="0.2">
      <c r="A6" s="847"/>
      <c r="B6" s="2037" t="s">
        <v>2074</v>
      </c>
    </row>
    <row r="7" spans="1:2" x14ac:dyDescent="0.2">
      <c r="A7" s="847"/>
      <c r="B7" s="307" t="s">
        <v>2075</v>
      </c>
    </row>
    <row r="8" spans="1:2" x14ac:dyDescent="0.2">
      <c r="A8" s="847"/>
      <c r="B8" s="307" t="s">
        <v>2076</v>
      </c>
    </row>
    <row r="9" spans="1:2" x14ac:dyDescent="0.2">
      <c r="A9" s="848"/>
      <c r="B9" s="307" t="s">
        <v>2077</v>
      </c>
    </row>
    <row r="10" spans="1:2" x14ac:dyDescent="0.2">
      <c r="A10" s="848"/>
      <c r="B10" s="307" t="s">
        <v>2078</v>
      </c>
    </row>
    <row r="11" spans="1:2" x14ac:dyDescent="0.2">
      <c r="A11" s="848"/>
    </row>
    <row r="12" spans="1:2" x14ac:dyDescent="0.2">
      <c r="A12" s="848">
        <v>2</v>
      </c>
      <c r="B12" s="2038" t="s">
        <v>2079</v>
      </c>
    </row>
    <row r="13" spans="1:2" x14ac:dyDescent="0.2">
      <c r="A13" s="848"/>
      <c r="B13" s="2037" t="s">
        <v>2080</v>
      </c>
    </row>
    <row r="14" spans="1:2" x14ac:dyDescent="0.2">
      <c r="A14" s="848"/>
      <c r="B14" s="307" t="s">
        <v>2081</v>
      </c>
    </row>
    <row r="15" spans="1:2" x14ac:dyDescent="0.2">
      <c r="A15" s="848"/>
    </row>
    <row r="16" spans="1:2" x14ac:dyDescent="0.2">
      <c r="A16" s="848">
        <v>3</v>
      </c>
      <c r="B16" s="2038" t="s">
        <v>2082</v>
      </c>
    </row>
    <row r="17" spans="1:2" x14ac:dyDescent="0.2">
      <c r="A17" s="848"/>
      <c r="B17" s="2037" t="s">
        <v>2080</v>
      </c>
    </row>
    <row r="18" spans="1:2" x14ac:dyDescent="0.2">
      <c r="A18" s="848"/>
      <c r="B18" s="307" t="s">
        <v>2083</v>
      </c>
    </row>
    <row r="19" spans="1:2" x14ac:dyDescent="0.2">
      <c r="A19" s="848"/>
      <c r="B19" s="2037" t="s">
        <v>2084</v>
      </c>
    </row>
    <row r="20" spans="1:2" x14ac:dyDescent="0.2">
      <c r="A20" s="848"/>
      <c r="B20" s="307" t="s">
        <v>2085</v>
      </c>
    </row>
    <row r="21" spans="1:2" x14ac:dyDescent="0.2">
      <c r="A21" s="848"/>
    </row>
    <row r="22" spans="1:2" x14ac:dyDescent="0.2">
      <c r="A22" s="848">
        <v>4</v>
      </c>
      <c r="B22" s="2038" t="s">
        <v>2086</v>
      </c>
    </row>
    <row r="23" spans="1:2" x14ac:dyDescent="0.2">
      <c r="A23" s="848"/>
      <c r="B23" s="307" t="s">
        <v>2071</v>
      </c>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Gibson City-Melvin-Sibley CUSD 5</v>
      </c>
    </row>
    <row r="65" spans="2:2" x14ac:dyDescent="0.2">
      <c r="B65" s="849">
        <f>COVER!A13</f>
        <v>9027005026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70" t="s">
        <v>1594</v>
      </c>
    </row>
    <row r="23" spans="1:5" x14ac:dyDescent="0.2">
      <c r="A23" s="163"/>
      <c r="B23" s="157" t="s">
        <v>1826</v>
      </c>
      <c r="D23" s="162" t="s">
        <v>632</v>
      </c>
      <c r="E23" s="1470" t="s">
        <v>953</v>
      </c>
    </row>
    <row r="24" spans="1:5" x14ac:dyDescent="0.2">
      <c r="A24" s="163" t="s">
        <v>1592</v>
      </c>
      <c r="C24" s="157" t="s">
        <v>1159</v>
      </c>
      <c r="D24" s="162" t="s">
        <v>1377</v>
      </c>
      <c r="E24" s="165" t="s">
        <v>954</v>
      </c>
    </row>
    <row r="25" spans="1:5" x14ac:dyDescent="0.2">
      <c r="A25" s="163" t="s">
        <v>1838</v>
      </c>
      <c r="C25" s="157" t="s">
        <v>1159</v>
      </c>
      <c r="D25" s="164" t="s">
        <v>21</v>
      </c>
      <c r="E25" s="1470" t="s">
        <v>2046</v>
      </c>
    </row>
    <row r="26" spans="1:5" x14ac:dyDescent="0.2">
      <c r="A26" s="163" t="s">
        <v>1839</v>
      </c>
      <c r="C26" s="157" t="s">
        <v>1159</v>
      </c>
      <c r="D26" s="164" t="s">
        <v>559</v>
      </c>
      <c r="E26" s="1470" t="s">
        <v>678</v>
      </c>
    </row>
    <row r="27" spans="1:5" x14ac:dyDescent="0.2">
      <c r="A27" s="163" t="s">
        <v>1840</v>
      </c>
      <c r="C27" s="157" t="s">
        <v>1159</v>
      </c>
      <c r="D27" s="164" t="s">
        <v>553</v>
      </c>
      <c r="E27" s="1470" t="s">
        <v>1350</v>
      </c>
    </row>
    <row r="28" spans="1:5" x14ac:dyDescent="0.2">
      <c r="A28" s="163" t="s">
        <v>1842</v>
      </c>
      <c r="D28" s="164" t="s">
        <v>679</v>
      </c>
      <c r="E28" s="1470" t="s">
        <v>1359</v>
      </c>
    </row>
    <row r="29" spans="1:5" x14ac:dyDescent="0.2">
      <c r="A29" s="163" t="s">
        <v>1843</v>
      </c>
      <c r="D29" s="164" t="s">
        <v>1378</v>
      </c>
      <c r="E29" s="1470"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1970</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9762715</v>
      </c>
      <c r="C8" s="1813">
        <f>'Acct Summary 7-8'!D8</f>
        <v>1310093</v>
      </c>
      <c r="D8" s="1813">
        <f>'Acct Summary 7-8'!F8</f>
        <v>801544</v>
      </c>
      <c r="E8" s="1813">
        <f>'Acct Summary 7-8'!I8</f>
        <v>66533</v>
      </c>
      <c r="F8" s="1813">
        <f>SUM(B8:E8)</f>
        <v>11940885</v>
      </c>
    </row>
    <row r="9" spans="1:8" s="858" customFormat="1" ht="14.25" customHeight="1" thickBot="1" x14ac:dyDescent="0.25">
      <c r="A9" s="857" t="s">
        <v>1353</v>
      </c>
      <c r="B9" s="1814">
        <f>'Acct Summary 7-8'!C17</f>
        <v>9026361</v>
      </c>
      <c r="C9" s="1814">
        <f>'Acct Summary 7-8'!D17</f>
        <v>864251</v>
      </c>
      <c r="D9" s="1814">
        <f>'Acct Summary 7-8'!F17</f>
        <v>682055</v>
      </c>
      <c r="E9" s="1813"/>
      <c r="F9" s="1813">
        <f>SUM(B9:E9)</f>
        <v>10572667</v>
      </c>
    </row>
    <row r="10" spans="1:8" s="858" customFormat="1" ht="14.25" thickTop="1" thickBot="1" x14ac:dyDescent="0.25">
      <c r="A10" s="859" t="s">
        <v>1354</v>
      </c>
      <c r="B10" s="1815">
        <f>(B8-B9)</f>
        <v>736354</v>
      </c>
      <c r="C10" s="1815">
        <f>(C8-C9)</f>
        <v>445842</v>
      </c>
      <c r="D10" s="1815">
        <f>(D8-D9)</f>
        <v>119489</v>
      </c>
      <c r="E10" s="1814">
        <f>(E8-E9)</f>
        <v>66533</v>
      </c>
      <c r="F10" s="1816">
        <f>SUM(F8-F9)</f>
        <v>1368218</v>
      </c>
    </row>
    <row r="11" spans="1:8" s="858" customFormat="1" ht="14.25" thickTop="1" thickBot="1" x14ac:dyDescent="0.25">
      <c r="A11" s="860" t="s">
        <v>1901</v>
      </c>
      <c r="B11" s="1817">
        <f>'Acct Summary 7-8'!C81</f>
        <v>4356998</v>
      </c>
      <c r="C11" s="1817">
        <f>'Acct Summary 7-8'!D81</f>
        <v>1543518</v>
      </c>
      <c r="D11" s="1817">
        <f>'Acct Summary 7-8'!F81</f>
        <v>651054</v>
      </c>
      <c r="E11" s="1817">
        <f>'Acct Summary 7-8'!I81</f>
        <v>1623583</v>
      </c>
      <c r="F11" s="1818">
        <f>SUM(B11:E11)</f>
        <v>8175153</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ht="22.5" x14ac:dyDescent="0.2">
      <c r="A82" s="877"/>
      <c r="B82" s="899">
        <v>15</v>
      </c>
      <c r="C82" s="909" t="s">
        <v>1882</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1965</v>
      </c>
      <c r="F1" s="1543" t="s">
        <v>1966</v>
      </c>
      <c r="G1" s="1900" t="s">
        <v>1976</v>
      </c>
    </row>
    <row r="2" spans="1:7" ht="15.75" x14ac:dyDescent="0.25">
      <c r="A2" t="s">
        <v>260</v>
      </c>
      <c r="B2" s="135">
        <f>COVER!A13</f>
        <v>9027005026</v>
      </c>
      <c r="E2" s="1542">
        <v>2020</v>
      </c>
      <c r="F2" s="1542">
        <v>1</v>
      </c>
      <c r="G2" s="1899">
        <v>101000300</v>
      </c>
    </row>
    <row r="3" spans="1:7" ht="15" x14ac:dyDescent="0.25">
      <c r="A3" t="s">
        <v>950</v>
      </c>
      <c r="B3" s="135" t="str">
        <f>COVER!A15</f>
        <v>FORD</v>
      </c>
      <c r="E3" s="1830" t="s">
        <v>1969</v>
      </c>
      <c r="F3" s="1830" t="s">
        <v>1968</v>
      </c>
      <c r="G3" s="1899">
        <v>101000400</v>
      </c>
    </row>
    <row r="4" spans="1:7" ht="15" x14ac:dyDescent="0.25">
      <c r="A4" t="s">
        <v>1000</v>
      </c>
      <c r="B4" s="135" t="str">
        <f>COVER!A17</f>
        <v xml:space="preserve">  Gibson City-Melvin-Sibley CUSD 5</v>
      </c>
      <c r="E4" s="1828">
        <v>44119</v>
      </c>
      <c r="F4" s="1829">
        <v>44151</v>
      </c>
      <c r="G4" s="1899">
        <v>101000600</v>
      </c>
    </row>
    <row r="5" spans="1:7" ht="15" x14ac:dyDescent="0.25">
      <c r="A5" t="s">
        <v>699</v>
      </c>
      <c r="B5" s="135" t="str">
        <f>COVER!A38</f>
        <v>Jeremy Darnell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2717400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4356998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4356998</v>
      </c>
      <c r="D92" s="2" t="str">
        <f t="shared" si="0"/>
        <v>Error?</v>
      </c>
      <c r="G92" s="1899">
        <v>102640600</v>
      </c>
    </row>
    <row r="93" spans="1:7" ht="15" x14ac:dyDescent="0.25">
      <c r="A93" s="5">
        <v>32</v>
      </c>
      <c r="B93" s="1832">
        <f>'Assets-Liab 5-6'!C41</f>
        <v>4356998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1543518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1493518</v>
      </c>
      <c r="D123" s="2" t="str">
        <f t="shared" si="0"/>
        <v>Error?</v>
      </c>
      <c r="G123" s="1899">
        <v>203000400</v>
      </c>
    </row>
    <row r="124" spans="1:7" ht="15" x14ac:dyDescent="0.25">
      <c r="A124" s="5">
        <v>63</v>
      </c>
      <c r="B124" s="1832">
        <f>'Assets-Liab 5-6'!D41</f>
        <v>1543518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120356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120356</v>
      </c>
      <c r="D140" s="2" t="str">
        <f t="shared" si="1"/>
        <v>Error?</v>
      </c>
    </row>
    <row r="141" spans="1:7" x14ac:dyDescent="0.2">
      <c r="A141" s="5">
        <v>80</v>
      </c>
      <c r="B141" s="1832">
        <f>'Assets-Liab 5-6'!E41</f>
        <v>120356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651054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651054</v>
      </c>
      <c r="D170" s="2" t="str">
        <f t="shared" si="1"/>
        <v>Error?</v>
      </c>
    </row>
    <row r="171" spans="1:4" x14ac:dyDescent="0.2">
      <c r="A171" s="5">
        <v>110</v>
      </c>
      <c r="B171" s="1832">
        <f>'Assets-Liab 5-6'!F41</f>
        <v>651054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134764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134764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8304091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8304091</v>
      </c>
      <c r="D212" s="2" t="str">
        <f t="shared" si="2"/>
        <v>Error?</v>
      </c>
    </row>
    <row r="213" spans="1:4" x14ac:dyDescent="0.2">
      <c r="A213" s="12">
        <v>152</v>
      </c>
      <c r="B213" s="1832">
        <f>'Assets-Liab 5-6'!H41</f>
        <v>8304091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12804</v>
      </c>
      <c r="D273" s="2" t="str">
        <f t="shared" si="3"/>
        <v>Error?</v>
      </c>
    </row>
    <row r="274" spans="1:4" x14ac:dyDescent="0.2">
      <c r="A274" s="5">
        <v>213</v>
      </c>
      <c r="B274" s="1832">
        <f>'Assets-Liab 5-6'!M17</f>
        <v>12263338</v>
      </c>
      <c r="D274" s="2" t="str">
        <f t="shared" si="3"/>
        <v>Error?</v>
      </c>
    </row>
    <row r="275" spans="1:4" x14ac:dyDescent="0.2">
      <c r="A275" s="5">
        <v>214</v>
      </c>
      <c r="B275" s="1832">
        <f>'Assets-Liab 5-6'!M18</f>
        <v>6275304</v>
      </c>
      <c r="D275" s="2" t="str">
        <f t="shared" si="3"/>
        <v>Error?</v>
      </c>
    </row>
    <row r="276" spans="1:4" x14ac:dyDescent="0.2">
      <c r="A276" s="5">
        <v>215</v>
      </c>
      <c r="B276" s="1832">
        <f>'Assets-Liab 5-6'!M19</f>
        <v>5090485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23641931</v>
      </c>
      <c r="C279" s="2" t="s">
        <v>569</v>
      </c>
      <c r="D279" s="2" t="str">
        <f t="shared" si="3"/>
        <v>Error?</v>
      </c>
    </row>
    <row r="280" spans="1:4" x14ac:dyDescent="0.2">
      <c r="A280" s="5">
        <v>219</v>
      </c>
      <c r="B280" s="1832">
        <f>'Assets-Liab 5-6'!M40</f>
        <v>23641931</v>
      </c>
      <c r="D280" s="2" t="str">
        <f t="shared" si="3"/>
        <v>Error?</v>
      </c>
    </row>
    <row r="281" spans="1:4" x14ac:dyDescent="0.2">
      <c r="A281" s="5">
        <v>220</v>
      </c>
      <c r="B281" s="1832">
        <f>'Assets-Liab 5-6'!M41</f>
        <v>23641931</v>
      </c>
      <c r="C281" s="2" t="s">
        <v>569</v>
      </c>
      <c r="D281" s="2" t="str">
        <f t="shared" si="3"/>
        <v>Error?</v>
      </c>
    </row>
    <row r="282" spans="1:4" x14ac:dyDescent="0.2">
      <c r="A282" s="5">
        <v>221</v>
      </c>
      <c r="B282" s="1832">
        <f>'Assets-Liab 5-6'!N21</f>
        <v>120356</v>
      </c>
      <c r="D282" s="2" t="str">
        <f t="shared" si="3"/>
        <v>Error?</v>
      </c>
    </row>
    <row r="283" spans="1:4" x14ac:dyDescent="0.2">
      <c r="A283" s="5">
        <v>222</v>
      </c>
      <c r="B283" s="1832">
        <f>'Assets-Liab 5-6'!N22</f>
        <v>12173944</v>
      </c>
      <c r="D283" s="2" t="str">
        <f t="shared" si="3"/>
        <v>Error?</v>
      </c>
    </row>
    <row r="284" spans="1:4" x14ac:dyDescent="0.2">
      <c r="A284" s="5">
        <v>223</v>
      </c>
      <c r="B284" s="1832">
        <f>'Assets-Liab 5-6'!N23</f>
        <v>12294300</v>
      </c>
      <c r="C284" s="2" t="s">
        <v>569</v>
      </c>
      <c r="D284" s="2" t="str">
        <f t="shared" si="3"/>
        <v>Error?</v>
      </c>
    </row>
    <row r="285" spans="1:4" x14ac:dyDescent="0.2">
      <c r="A285" s="5">
        <v>224</v>
      </c>
      <c r="B285" s="1832">
        <f>'Assets-Liab 5-6'!N36</f>
        <v>12294300</v>
      </c>
      <c r="D285" s="2" t="str">
        <f t="shared" si="3"/>
        <v>Error?</v>
      </c>
    </row>
    <row r="286" spans="1:4" x14ac:dyDescent="0.2">
      <c r="A286" s="10">
        <v>225</v>
      </c>
      <c r="B286" s="1832"/>
      <c r="D286" s="2" t="str">
        <f t="shared" si="3"/>
        <v>OK</v>
      </c>
    </row>
    <row r="287" spans="1:4" x14ac:dyDescent="0.2">
      <c r="A287" s="5">
        <v>226</v>
      </c>
      <c r="B287" s="1832">
        <f>'Assets-Liab 5-6'!N37</f>
        <v>12294300</v>
      </c>
      <c r="C287" s="2" t="s">
        <v>569</v>
      </c>
      <c r="D287" s="2" t="str">
        <f t="shared" si="3"/>
        <v>Error?</v>
      </c>
    </row>
    <row r="288" spans="1:4" x14ac:dyDescent="0.2">
      <c r="A288" s="5">
        <v>227</v>
      </c>
      <c r="B288" s="1832">
        <f>'Assets-Liab 5-6'!N41</f>
        <v>12294300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8000000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3095898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280858</v>
      </c>
      <c r="D717" s="2" t="str">
        <f t="shared" si="10"/>
        <v>Error?</v>
      </c>
    </row>
    <row r="718" spans="1:4" x14ac:dyDescent="0.2">
      <c r="A718" s="5">
        <v>657</v>
      </c>
      <c r="B718" s="1832">
        <f>'Expenditures 15-22'!C14</f>
        <v>231870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4855855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211872</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211872</v>
      </c>
      <c r="C727" s="2" t="s">
        <v>569</v>
      </c>
      <c r="D727" s="2" t="str">
        <f t="shared" si="10"/>
        <v>Error?</v>
      </c>
    </row>
    <row r="728" spans="1:4" x14ac:dyDescent="0.2">
      <c r="A728" s="5">
        <v>667</v>
      </c>
      <c r="B728" s="1832">
        <f>'Expenditures 15-22'!C44</f>
        <v>39632</v>
      </c>
      <c r="D728" s="2" t="str">
        <f t="shared" si="10"/>
        <v>Error?</v>
      </c>
    </row>
    <row r="729" spans="1:4" x14ac:dyDescent="0.2">
      <c r="A729" s="5">
        <v>668</v>
      </c>
      <c r="B729" s="1832">
        <f>'Expenditures 15-22'!C45</f>
        <v>47154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86786</v>
      </c>
      <c r="C731" s="2" t="s">
        <v>569</v>
      </c>
      <c r="D731" s="2" t="str">
        <f t="shared" si="10"/>
        <v>Error?</v>
      </c>
    </row>
    <row r="732" spans="1:4" x14ac:dyDescent="0.2">
      <c r="A732" s="5">
        <v>671</v>
      </c>
      <c r="B732" s="1832">
        <f>'Expenditures 15-22'!C49</f>
        <v>7080</v>
      </c>
      <c r="D732" s="2" t="str">
        <f t="shared" si="10"/>
        <v>Error?</v>
      </c>
    </row>
    <row r="733" spans="1:4" x14ac:dyDescent="0.2">
      <c r="A733" s="5">
        <v>672</v>
      </c>
      <c r="B733" s="1832">
        <f>'Expenditures 15-22'!C50</f>
        <v>252784</v>
      </c>
      <c r="D733" s="2" t="str">
        <f t="shared" si="10"/>
        <v>Error?</v>
      </c>
    </row>
    <row r="734" spans="1:4" x14ac:dyDescent="0.2">
      <c r="A734" s="5">
        <v>673</v>
      </c>
      <c r="B734" s="1832">
        <f>'Expenditures 15-22'!C53</f>
        <v>259864</v>
      </c>
      <c r="C734" s="2" t="s">
        <v>569</v>
      </c>
      <c r="D734" s="2" t="str">
        <f t="shared" si="10"/>
        <v>Error?</v>
      </c>
    </row>
    <row r="735" spans="1:4" x14ac:dyDescent="0.2">
      <c r="A735" s="5">
        <v>674</v>
      </c>
      <c r="B735" s="1832">
        <f>'Expenditures 15-22'!C55</f>
        <v>574025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574025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98507</v>
      </c>
      <c r="D739" s="2" t="str">
        <f t="shared" si="10"/>
        <v>Error?</v>
      </c>
    </row>
    <row r="740" spans="1:4" x14ac:dyDescent="0.2">
      <c r="A740" s="5">
        <v>679</v>
      </c>
      <c r="B740" s="1832">
        <f>'Expenditures 15-22'!C61</f>
        <v>83352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174983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356842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1489389</v>
      </c>
      <c r="C755" s="2" t="s">
        <v>569</v>
      </c>
      <c r="D755" s="2" t="str">
        <f t="shared" si="10"/>
        <v>Error?</v>
      </c>
    </row>
    <row r="756" spans="1:4" x14ac:dyDescent="0.2">
      <c r="A756" s="5">
        <v>695</v>
      </c>
      <c r="B756" s="1832">
        <f>'Expenditures 15-22'!C75</f>
        <v>12800</v>
      </c>
      <c r="D756" s="2" t="str">
        <f t="shared" si="10"/>
        <v>Error?</v>
      </c>
    </row>
    <row r="757" spans="1:4" x14ac:dyDescent="0.2">
      <c r="A757" s="5">
        <v>696</v>
      </c>
      <c r="B757" s="1832">
        <f>'Expenditures 15-22'!C114</f>
        <v>6358044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512426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54670</v>
      </c>
      <c r="D775" s="2" t="str">
        <f t="shared" si="11"/>
        <v>Error?</v>
      </c>
    </row>
    <row r="776" spans="1:4" x14ac:dyDescent="0.2">
      <c r="A776" s="5">
        <v>715</v>
      </c>
      <c r="B776" s="1832">
        <f>'Expenditures 15-22'!D14</f>
        <v>3536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810619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32574</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32574</v>
      </c>
      <c r="C785" s="2" t="s">
        <v>569</v>
      </c>
      <c r="D785" s="2" t="str">
        <f t="shared" si="11"/>
        <v>Error?</v>
      </c>
    </row>
    <row r="786" spans="1:4" x14ac:dyDescent="0.2">
      <c r="A786" s="5">
        <v>725</v>
      </c>
      <c r="B786" s="1832">
        <f>'Expenditures 15-22'!D44</f>
        <v>646</v>
      </c>
      <c r="D786" s="2" t="str">
        <f t="shared" si="11"/>
        <v>Error?</v>
      </c>
    </row>
    <row r="787" spans="1:4" x14ac:dyDescent="0.2">
      <c r="A787" s="5">
        <v>726</v>
      </c>
      <c r="B787" s="1832">
        <f>'Expenditures 15-22'!D45</f>
        <v>10041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10687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7568</v>
      </c>
      <c r="D791" s="2" t="str">
        <f t="shared" si="11"/>
        <v>Error?</v>
      </c>
    </row>
    <row r="792" spans="1:4" x14ac:dyDescent="0.2">
      <c r="A792" s="5">
        <v>731</v>
      </c>
      <c r="B792" s="1832">
        <f>'Expenditures 15-22'!D53</f>
        <v>7568</v>
      </c>
      <c r="C792" s="2" t="s">
        <v>569</v>
      </c>
      <c r="D792" s="2" t="str">
        <f t="shared" si="11"/>
        <v>Error?</v>
      </c>
    </row>
    <row r="793" spans="1:4" x14ac:dyDescent="0.2">
      <c r="A793" s="5">
        <v>732</v>
      </c>
      <c r="B793" s="1832">
        <f>'Expenditures 15-22'!D55</f>
        <v>134101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134101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17674</v>
      </c>
      <c r="D797" s="2" t="str">
        <f t="shared" si="11"/>
        <v>Error?</v>
      </c>
    </row>
    <row r="798" spans="1:4" x14ac:dyDescent="0.2">
      <c r="A798" s="5">
        <v>737</v>
      </c>
      <c r="B798" s="1832">
        <f>'Expenditures 15-22'!D61</f>
        <v>623</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38859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57156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242086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1052705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6047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2476</v>
      </c>
      <c r="D833" s="2" t="str">
        <f t="shared" si="12"/>
        <v>Error?</v>
      </c>
    </row>
    <row r="834" spans="1:4" x14ac:dyDescent="0.2">
      <c r="A834" s="5">
        <v>773</v>
      </c>
      <c r="B834" s="1832">
        <f>'Expenditures 15-22'!E14</f>
        <v>47203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114427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57610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57610</v>
      </c>
      <c r="C843" s="2" t="s">
        <v>569</v>
      </c>
      <c r="D843" s="2" t="str">
        <f t="shared" si="12"/>
        <v>Error?</v>
      </c>
    </row>
    <row r="844" spans="1:4" x14ac:dyDescent="0.2">
      <c r="A844" s="5">
        <v>783</v>
      </c>
      <c r="B844" s="1832">
        <f>'Expenditures 15-22'!E44</f>
        <v>3797</v>
      </c>
      <c r="D844" s="2" t="str">
        <f t="shared" si="12"/>
        <v>Error?</v>
      </c>
    </row>
    <row r="845" spans="1:4" x14ac:dyDescent="0.2">
      <c r="A845" s="5">
        <v>784</v>
      </c>
      <c r="B845" s="1832">
        <f>'Expenditures 15-22'!E45</f>
        <v>58845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62642</v>
      </c>
      <c r="C847" s="2" t="s">
        <v>569</v>
      </c>
      <c r="D847" s="2" t="str">
        <f t="shared" si="12"/>
        <v>Error?</v>
      </c>
    </row>
    <row r="848" spans="1:4" x14ac:dyDescent="0.2">
      <c r="A848" s="5">
        <v>787</v>
      </c>
      <c r="B848" s="1832">
        <f>'Expenditures 15-22'!E49</f>
        <v>30145</v>
      </c>
      <c r="D848" s="2" t="str">
        <f t="shared" si="12"/>
        <v>Error?</v>
      </c>
    </row>
    <row r="849" spans="1:4" x14ac:dyDescent="0.2">
      <c r="A849" s="5">
        <v>788</v>
      </c>
      <c r="B849" s="1832">
        <f>'Expenditures 15-22'!E50</f>
        <v>16975</v>
      </c>
      <c r="D849" s="2" t="str">
        <f t="shared" si="12"/>
        <v>Error?</v>
      </c>
    </row>
    <row r="850" spans="1:4" x14ac:dyDescent="0.2">
      <c r="A850" s="5">
        <v>789</v>
      </c>
      <c r="B850" s="1832">
        <f>'Expenditures 15-22'!E53</f>
        <v>47120</v>
      </c>
      <c r="C850" s="2" t="s">
        <v>569</v>
      </c>
      <c r="D850" s="2" t="str">
        <f t="shared" si="12"/>
        <v>Error?</v>
      </c>
    </row>
    <row r="851" spans="1:4" x14ac:dyDescent="0.2">
      <c r="A851" s="5">
        <v>790</v>
      </c>
      <c r="B851" s="1832">
        <f>'Expenditures 15-22'!E55</f>
        <v>24552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24552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13117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13117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205041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960225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149881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23106</v>
      </c>
      <c r="D891" s="2" t="str">
        <f t="shared" si="12"/>
        <v>Error?</v>
      </c>
    </row>
    <row r="892" spans="1:4" x14ac:dyDescent="0.2">
      <c r="A892" s="5">
        <v>831</v>
      </c>
      <c r="B892" s="1832">
        <f>'Expenditures 15-22'!F14</f>
        <v>33571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353620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3644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3644</v>
      </c>
      <c r="C901" s="2" t="s">
        <v>569</v>
      </c>
      <c r="D901" s="2" t="str">
        <f t="shared" si="13"/>
        <v>Error?</v>
      </c>
    </row>
    <row r="902" spans="1:4" x14ac:dyDescent="0.2">
      <c r="A902" s="5">
        <v>841</v>
      </c>
      <c r="B902" s="1832">
        <f>'Expenditures 15-22'!F44</f>
        <v>2860</v>
      </c>
      <c r="D902" s="2" t="str">
        <f t="shared" si="13"/>
        <v>Error?</v>
      </c>
    </row>
    <row r="903" spans="1:4" x14ac:dyDescent="0.2">
      <c r="A903" s="5">
        <v>842</v>
      </c>
      <c r="B903" s="1832">
        <f>'Expenditures 15-22'!F45</f>
        <v>46870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49730</v>
      </c>
      <c r="C905" s="2" t="s">
        <v>569</v>
      </c>
      <c r="D905" s="2" t="str">
        <f t="shared" si="13"/>
        <v>Error?</v>
      </c>
    </row>
    <row r="906" spans="1:4" x14ac:dyDescent="0.2">
      <c r="A906" s="5">
        <v>845</v>
      </c>
      <c r="B906" s="1832">
        <f>'Expenditures 15-22'!F49</f>
        <v>1702</v>
      </c>
      <c r="D906" s="2" t="str">
        <f t="shared" si="13"/>
        <v>Error?</v>
      </c>
    </row>
    <row r="907" spans="1:4" x14ac:dyDescent="0.2">
      <c r="A907" s="5">
        <v>846</v>
      </c>
      <c r="B907" s="1832">
        <f>'Expenditures 15-22'!F50</f>
        <v>2714</v>
      </c>
      <c r="D907" s="2" t="str">
        <f t="shared" si="13"/>
        <v>Error?</v>
      </c>
    </row>
    <row r="908" spans="1:4" x14ac:dyDescent="0.2">
      <c r="A908" s="5">
        <v>847</v>
      </c>
      <c r="B908" s="1832">
        <f>'Expenditures 15-22'!F53</f>
        <v>4416</v>
      </c>
      <c r="C908" s="2" t="s">
        <v>569</v>
      </c>
      <c r="D908" s="2" t="str">
        <f t="shared" si="13"/>
        <v>Error?</v>
      </c>
    </row>
    <row r="909" spans="1:4" x14ac:dyDescent="0.2">
      <c r="A909" s="5">
        <v>848</v>
      </c>
      <c r="B909" s="1832">
        <f>'Expenditures 15-22'!F55</f>
        <v>15187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15187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125985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125985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198962</v>
      </c>
      <c r="C929" s="2" t="s">
        <v>569</v>
      </c>
      <c r="D929" s="2" t="str">
        <f t="shared" si="13"/>
        <v>Error?</v>
      </c>
    </row>
    <row r="930" spans="1:4" x14ac:dyDescent="0.2">
      <c r="A930" s="5">
        <v>869</v>
      </c>
      <c r="B930" s="1832">
        <f>'Expenditures 15-22'!F75</f>
        <v>261</v>
      </c>
      <c r="D930" s="2" t="str">
        <f t="shared" si="13"/>
        <v>Error?</v>
      </c>
    </row>
    <row r="931" spans="1:4" x14ac:dyDescent="0.2">
      <c r="A931" s="5">
        <v>870</v>
      </c>
      <c r="B931" s="1832">
        <f>'Expenditures 15-22'!F114</f>
        <v>552843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11340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11340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81835</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81835</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81835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93175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5076</v>
      </c>
      <c r="D1022" s="2" t="str">
        <f t="shared" si="14"/>
        <v>Error?</v>
      </c>
    </row>
    <row r="1023" spans="1:4" x14ac:dyDescent="0.2">
      <c r="A1023" s="5">
        <v>962</v>
      </c>
      <c r="B1023" s="1832">
        <f>'Expenditures 15-22'!H50</f>
        <v>2337</v>
      </c>
      <c r="D1023" s="2" t="str">
        <f t="shared" ref="D1023:D1086" si="15">IF(ISBLANK(B1023),"OK",IF(A1023-B1023=0,"OK","Error?"))</f>
        <v>Error?</v>
      </c>
    </row>
    <row r="1024" spans="1:4" x14ac:dyDescent="0.2">
      <c r="A1024" s="5">
        <v>963</v>
      </c>
      <c r="B1024" s="1832">
        <f>'Expenditures 15-22'!H53</f>
        <v>7413</v>
      </c>
      <c r="C1024" s="2" t="s">
        <v>569</v>
      </c>
      <c r="D1024" s="2" t="str">
        <f t="shared" si="15"/>
        <v>Error?</v>
      </c>
    </row>
    <row r="1025" spans="1:4" x14ac:dyDescent="0.2">
      <c r="A1025" s="5">
        <v>964</v>
      </c>
      <c r="B1025" s="1832">
        <f>'Expenditures 15-22'!H55</f>
        <v>1956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1956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9369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9369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1995</v>
      </c>
      <c r="E1056" s="4" t="s">
        <v>1994</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3775592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361110</v>
      </c>
      <c r="C1105" s="2" t="s">
        <v>569</v>
      </c>
      <c r="D1105" s="2" t="str">
        <f t="shared" si="16"/>
        <v>Error?</v>
      </c>
    </row>
    <row r="1106" spans="1:4" x14ac:dyDescent="0.2">
      <c r="A1106" s="5">
        <v>1045</v>
      </c>
      <c r="B1106" s="1832">
        <f>'Expenditures 15-22'!K14</f>
        <v>316180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6145861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244446</v>
      </c>
      <c r="C1110" s="2" t="s">
        <v>569</v>
      </c>
      <c r="D1110" s="2" t="str">
        <f t="shared" si="16"/>
        <v>Error?</v>
      </c>
    </row>
    <row r="1111" spans="1:4" x14ac:dyDescent="0.2">
      <c r="A1111" s="5">
        <v>1050</v>
      </c>
      <c r="B1111" s="1832">
        <f>'Expenditures 15-22'!K38</f>
        <v>61254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305700</v>
      </c>
      <c r="C1115" s="2" t="s">
        <v>569</v>
      </c>
      <c r="D1115" s="2" t="str">
        <f t="shared" si="16"/>
        <v>Error?</v>
      </c>
    </row>
    <row r="1116" spans="1:4" x14ac:dyDescent="0.2">
      <c r="A1116" s="5">
        <v>1055</v>
      </c>
      <c r="B1116" s="1832">
        <f>'Expenditures 15-22'!K44</f>
        <v>46935</v>
      </c>
      <c r="C1116" s="2" t="s">
        <v>569</v>
      </c>
      <c r="D1116" s="2" t="str">
        <f t="shared" si="16"/>
        <v>Error?</v>
      </c>
    </row>
    <row r="1117" spans="1:4" x14ac:dyDescent="0.2">
      <c r="A1117" s="5">
        <v>1056</v>
      </c>
      <c r="B1117" s="1832">
        <f>'Expenditures 15-22'!K45</f>
        <v>244745</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291680</v>
      </c>
      <c r="C1119" s="2" t="s">
        <v>569</v>
      </c>
      <c r="D1119" s="2" t="str">
        <f t="shared" si="16"/>
        <v>Error?</v>
      </c>
    </row>
    <row r="1120" spans="1:4" x14ac:dyDescent="0.2">
      <c r="A1120" s="5">
        <v>1059</v>
      </c>
      <c r="B1120" s="1832">
        <f>'Expenditures 15-22'!K49</f>
        <v>44003</v>
      </c>
      <c r="C1120" s="2" t="s">
        <v>569</v>
      </c>
      <c r="D1120" s="2" t="str">
        <f t="shared" si="16"/>
        <v>Error?</v>
      </c>
    </row>
    <row r="1121" spans="1:4" x14ac:dyDescent="0.2">
      <c r="A1121" s="5">
        <v>1060</v>
      </c>
      <c r="B1121" s="1832">
        <f>'Expenditures 15-22'!K50</f>
        <v>282378</v>
      </c>
      <c r="C1121" s="2" t="s">
        <v>569</v>
      </c>
      <c r="D1121" s="2" t="str">
        <f t="shared" si="16"/>
        <v>Error?</v>
      </c>
    </row>
    <row r="1122" spans="1:4" x14ac:dyDescent="0.2">
      <c r="A1122" s="5">
        <v>1061</v>
      </c>
      <c r="B1122" s="1832">
        <f>'Expenditures 15-22'!K53</f>
        <v>326381</v>
      </c>
      <c r="C1122" s="2" t="s">
        <v>569</v>
      </c>
      <c r="D1122" s="2" t="str">
        <f t="shared" si="16"/>
        <v>Error?</v>
      </c>
    </row>
    <row r="1123" spans="1:4" x14ac:dyDescent="0.2">
      <c r="A1123" s="5">
        <v>1062</v>
      </c>
      <c r="B1123" s="1832">
        <f>'Expenditures 15-22'!K55</f>
        <v>749821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749821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116181</v>
      </c>
      <c r="C1127" s="2" t="s">
        <v>569</v>
      </c>
      <c r="D1127" s="2" t="str">
        <f t="shared" si="16"/>
        <v>Error?</v>
      </c>
    </row>
    <row r="1128" spans="1:4" x14ac:dyDescent="0.2">
      <c r="A1128" s="5">
        <v>1067</v>
      </c>
      <c r="B1128" s="1832">
        <f>'Expenditures 15-22'!K61</f>
        <v>83975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352944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553100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2226682</v>
      </c>
      <c r="C1143" s="2" t="s">
        <v>569</v>
      </c>
      <c r="D1143" s="2" t="str">
        <f t="shared" si="16"/>
        <v>Error?</v>
      </c>
    </row>
    <row r="1144" spans="1:4" x14ac:dyDescent="0.2">
      <c r="A1144" s="5">
        <v>1083</v>
      </c>
      <c r="B1144" s="1832">
        <f>'Expenditures 15-22'!K75</f>
        <v>13061</v>
      </c>
      <c r="C1144" s="2" t="s">
        <v>569</v>
      </c>
      <c r="D1144" s="2" t="str">
        <f t="shared" si="16"/>
        <v>Error?</v>
      </c>
    </row>
    <row r="1145" spans="1:4" x14ac:dyDescent="0.2">
      <c r="A1145" s="5">
        <v>1084</v>
      </c>
      <c r="B1145" s="1832">
        <f>'Expenditures 15-22'!K102</f>
        <v>640757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9026361</v>
      </c>
      <c r="C1152" s="2" t="s">
        <v>569</v>
      </c>
      <c r="D1152" s="2" t="str">
        <f t="shared" si="17"/>
        <v>Error?</v>
      </c>
    </row>
    <row r="1153" spans="1:4" x14ac:dyDescent="0.2">
      <c r="A1153" s="5">
        <v>1092</v>
      </c>
      <c r="B1153" s="1832">
        <f>'Expenditures 15-22'!K115</f>
        <v>736354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311885</v>
      </c>
      <c r="D1221" s="2" t="str">
        <f t="shared" si="18"/>
        <v>Error?</v>
      </c>
    </row>
    <row r="1222" spans="1:4" x14ac:dyDescent="0.2">
      <c r="A1222" s="10">
        <v>1161</v>
      </c>
      <c r="B1222" s="1832"/>
      <c r="D1222" s="2" t="str">
        <f t="shared" si="18"/>
        <v>OK</v>
      </c>
    </row>
    <row r="1223" spans="1:4" x14ac:dyDescent="0.2">
      <c r="A1223" s="5">
        <v>1162</v>
      </c>
      <c r="B1223" s="1832">
        <f>'Expenditures 15-22'!C127</f>
        <v>311885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311885</v>
      </c>
      <c r="C1225" s="2" t="s">
        <v>569</v>
      </c>
      <c r="D1225" s="2" t="str">
        <f t="shared" si="18"/>
        <v>Error?</v>
      </c>
    </row>
    <row r="1226" spans="1:4" x14ac:dyDescent="0.2">
      <c r="A1226" s="5">
        <v>1165</v>
      </c>
      <c r="B1226" s="1832">
        <f>'Expenditures 15-22'!C151</f>
        <v>311885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71100</v>
      </c>
      <c r="D1229" s="2" t="str">
        <f t="shared" si="18"/>
        <v>Error?</v>
      </c>
    </row>
    <row r="1230" spans="1:4" x14ac:dyDescent="0.2">
      <c r="A1230" s="10">
        <v>1169</v>
      </c>
      <c r="B1230" s="1832"/>
      <c r="D1230" s="2" t="str">
        <f t="shared" si="18"/>
        <v>OK</v>
      </c>
    </row>
    <row r="1231" spans="1:4" x14ac:dyDescent="0.2">
      <c r="A1231" s="5">
        <v>1170</v>
      </c>
      <c r="B1231" s="1832">
        <f>'Expenditures 15-22'!D127</f>
        <v>71100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71100</v>
      </c>
      <c r="C1233" s="2" t="s">
        <v>569</v>
      </c>
      <c r="D1233" s="2" t="str">
        <f t="shared" si="18"/>
        <v>Error?</v>
      </c>
    </row>
    <row r="1234" spans="1:4" x14ac:dyDescent="0.2">
      <c r="A1234" s="5">
        <v>1173</v>
      </c>
      <c r="B1234" s="1832">
        <f>'Expenditures 15-22'!D151</f>
        <v>71100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1510</v>
      </c>
      <c r="D1236" s="2" t="str">
        <f t="shared" si="18"/>
        <v>Error?</v>
      </c>
    </row>
    <row r="1237" spans="1:4" x14ac:dyDescent="0.2">
      <c r="A1237" s="5">
        <v>1176</v>
      </c>
      <c r="B1237" s="1832">
        <f>'Expenditures 15-22'!E124</f>
        <v>181620</v>
      </c>
      <c r="D1237" s="2" t="str">
        <f t="shared" si="18"/>
        <v>Error?</v>
      </c>
    </row>
    <row r="1238" spans="1:4" x14ac:dyDescent="0.2">
      <c r="A1238" s="10">
        <v>1177</v>
      </c>
      <c r="B1238" s="1832"/>
      <c r="D1238" s="2" t="str">
        <f t="shared" si="18"/>
        <v>OK</v>
      </c>
    </row>
    <row r="1239" spans="1:4" x14ac:dyDescent="0.2">
      <c r="A1239" s="5">
        <v>1178</v>
      </c>
      <c r="B1239" s="1832">
        <f>'Expenditures 15-22'!E127</f>
        <v>183130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183130</v>
      </c>
      <c r="C1241" s="2" t="s">
        <v>569</v>
      </c>
      <c r="D1241" s="2" t="str">
        <f t="shared" si="18"/>
        <v>Error?</v>
      </c>
    </row>
    <row r="1242" spans="1:4" x14ac:dyDescent="0.2">
      <c r="A1242" s="5">
        <v>1181</v>
      </c>
      <c r="B1242" s="1832">
        <f>'Expenditures 15-22'!E151</f>
        <v>183130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252300</v>
      </c>
      <c r="D1245" s="2" t="str">
        <f t="shared" si="18"/>
        <v>Error?</v>
      </c>
    </row>
    <row r="1246" spans="1:4" x14ac:dyDescent="0.2">
      <c r="A1246" s="10">
        <v>1185</v>
      </c>
      <c r="B1246" s="1832"/>
      <c r="D1246" s="2" t="str">
        <f t="shared" si="18"/>
        <v>OK</v>
      </c>
    </row>
    <row r="1247" spans="1:4" x14ac:dyDescent="0.2">
      <c r="A1247" s="5">
        <v>1186</v>
      </c>
      <c r="B1247" s="1832">
        <f>'Expenditures 15-22'!F127</f>
        <v>252300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252300</v>
      </c>
      <c r="C1249" s="2" t="s">
        <v>569</v>
      </c>
      <c r="D1249" s="2" t="str">
        <f t="shared" si="18"/>
        <v>Error?</v>
      </c>
    </row>
    <row r="1250" spans="1:4" x14ac:dyDescent="0.2">
      <c r="A1250" s="5">
        <v>1189</v>
      </c>
      <c r="B1250" s="1832">
        <f>'Expenditures 15-22'!F151</f>
        <v>252300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40744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40744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40744</v>
      </c>
      <c r="C1258" s="2" t="s">
        <v>569</v>
      </c>
      <c r="D1258" s="2" t="str">
        <f t="shared" si="18"/>
        <v>Error?</v>
      </c>
    </row>
    <row r="1259" spans="1:4" x14ac:dyDescent="0.2">
      <c r="A1259" s="5">
        <v>1198</v>
      </c>
      <c r="B1259" s="1832">
        <f>'Expenditures 15-22'!G151</f>
        <v>40744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289</v>
      </c>
      <c r="D1262" s="2" t="str">
        <f t="shared" si="18"/>
        <v>Error?</v>
      </c>
    </row>
    <row r="1263" spans="1:4" x14ac:dyDescent="0.2">
      <c r="A1263" s="10">
        <v>1202</v>
      </c>
      <c r="B1263" s="1832"/>
      <c r="D1263" s="2" t="str">
        <f t="shared" si="18"/>
        <v>OK</v>
      </c>
    </row>
    <row r="1264" spans="1:4" x14ac:dyDescent="0.2">
      <c r="A1264" s="5">
        <v>1203</v>
      </c>
      <c r="B1264" s="1832">
        <f>'Expenditures 15-22'!H127</f>
        <v>289</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289</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4803</v>
      </c>
      <c r="C1272" s="2" t="s">
        <v>569</v>
      </c>
      <c r="D1272" s="2" t="str">
        <f t="shared" si="18"/>
        <v>Error?</v>
      </c>
    </row>
    <row r="1273" spans="1:4" x14ac:dyDescent="0.2">
      <c r="A1273" s="5">
        <v>1212</v>
      </c>
      <c r="B1273" s="1832">
        <f>'Expenditures 15-22'!H151</f>
        <v>5092</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1510</v>
      </c>
      <c r="C1275" s="2" t="s">
        <v>569</v>
      </c>
      <c r="D1275" s="2" t="str">
        <f t="shared" si="18"/>
        <v>Error?</v>
      </c>
    </row>
    <row r="1276" spans="1:4" x14ac:dyDescent="0.2">
      <c r="A1276" s="5">
        <v>1215</v>
      </c>
      <c r="B1276" s="1832">
        <f>'Expenditures 15-22'!K124</f>
        <v>857938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859448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859448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4803</v>
      </c>
      <c r="C1287" s="2" t="s">
        <v>569</v>
      </c>
      <c r="D1287" s="2" t="str">
        <f t="shared" si="19"/>
        <v>Error?</v>
      </c>
    </row>
    <row r="1288" spans="1:4" x14ac:dyDescent="0.2">
      <c r="A1288" s="5">
        <v>1227</v>
      </c>
      <c r="B1288" s="1832">
        <f>'Expenditures 15-22'!K151</f>
        <v>864251</v>
      </c>
      <c r="C1288" s="2" t="s">
        <v>569</v>
      </c>
      <c r="D1288" s="2" t="str">
        <f t="shared" si="19"/>
        <v>Error?</v>
      </c>
    </row>
    <row r="1289" spans="1:4" x14ac:dyDescent="0.2">
      <c r="A1289" s="5">
        <v>1228</v>
      </c>
      <c r="B1289" s="1832">
        <f>'Expenditures 15-22'!K152</f>
        <v>445842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183561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480100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663661</v>
      </c>
      <c r="C1317" s="2" t="s">
        <v>569</v>
      </c>
      <c r="D1317" s="2" t="str">
        <f t="shared" si="19"/>
        <v>Error?</v>
      </c>
    </row>
    <row r="1318" spans="1:4" x14ac:dyDescent="0.2">
      <c r="A1318" s="5">
        <v>1257</v>
      </c>
      <c r="B1318" s="1832">
        <f>'Expenditures 15-22'!H174</f>
        <v>663661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183561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480100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663661</v>
      </c>
      <c r="C1331" s="2" t="s">
        <v>569</v>
      </c>
      <c r="D1331" s="2" t="str">
        <f t="shared" si="19"/>
        <v>Error?</v>
      </c>
    </row>
    <row r="1332" spans="1:4" x14ac:dyDescent="0.2">
      <c r="A1332" s="5">
        <v>1271</v>
      </c>
      <c r="B1332" s="1832">
        <f>'Expenditures 15-22'!K174</f>
        <v>663661</v>
      </c>
      <c r="C1332" s="2" t="s">
        <v>569</v>
      </c>
      <c r="D1332" s="2" t="str">
        <f t="shared" si="19"/>
        <v>Error?</v>
      </c>
    </row>
    <row r="1333" spans="1:4" x14ac:dyDescent="0.2">
      <c r="A1333" s="5">
        <v>1272</v>
      </c>
      <c r="B1333" s="1832">
        <f>'Expenditures 15-22'!K175</f>
        <v>-150991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17488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17488</v>
      </c>
      <c r="C1339" s="2" t="s">
        <v>569</v>
      </c>
      <c r="D1339" s="2" t="str">
        <f t="shared" si="19"/>
        <v>Error?</v>
      </c>
    </row>
    <row r="1340" spans="1:4" x14ac:dyDescent="0.2">
      <c r="A1340" s="5">
        <v>1279</v>
      </c>
      <c r="B1340" s="1832">
        <f>'Expenditures 15-22'!C210</f>
        <v>17488</v>
      </c>
      <c r="C1340" s="2" t="s">
        <v>569</v>
      </c>
      <c r="D1340" s="2" t="str">
        <f t="shared" si="19"/>
        <v>Error?</v>
      </c>
    </row>
    <row r="1341" spans="1:4" x14ac:dyDescent="0.2">
      <c r="A1341" s="5">
        <v>1280</v>
      </c>
      <c r="B1341" s="1832">
        <f>'Expenditures 15-22'!D182</f>
        <v>118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118</v>
      </c>
      <c r="C1345" s="2" t="s">
        <v>569</v>
      </c>
      <c r="D1345" s="2" t="str">
        <f t="shared" si="20"/>
        <v>Error?</v>
      </c>
    </row>
    <row r="1346" spans="1:4" x14ac:dyDescent="0.2">
      <c r="A1346" s="5">
        <v>1285</v>
      </c>
      <c r="B1346" s="1832">
        <f>'Expenditures 15-22'!D210</f>
        <v>118</v>
      </c>
      <c r="C1346" s="2" t="s">
        <v>569</v>
      </c>
      <c r="D1346" s="2" t="str">
        <f t="shared" si="20"/>
        <v>Error?</v>
      </c>
    </row>
    <row r="1347" spans="1:4" x14ac:dyDescent="0.2">
      <c r="A1347" s="5">
        <v>1286</v>
      </c>
      <c r="B1347" s="1832">
        <f>'Expenditures 15-22'!E182</f>
        <v>437650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437650</v>
      </c>
      <c r="C1351" s="2" t="s">
        <v>569</v>
      </c>
      <c r="D1351" s="2" t="str">
        <f t="shared" si="20"/>
        <v>Error?</v>
      </c>
    </row>
    <row r="1352" spans="1:4" x14ac:dyDescent="0.2">
      <c r="A1352" s="5">
        <v>1291</v>
      </c>
      <c r="B1352" s="1832">
        <f>'Expenditures 15-22'!E196</f>
        <v>167647</v>
      </c>
      <c r="C1352" s="2" t="s">
        <v>569</v>
      </c>
      <c r="D1352" s="2" t="str">
        <f t="shared" si="20"/>
        <v>Error?</v>
      </c>
    </row>
    <row r="1353" spans="1:4" x14ac:dyDescent="0.2">
      <c r="A1353" s="5">
        <v>1292</v>
      </c>
      <c r="B1353" s="1832">
        <f>'Expenditures 15-22'!E210</f>
        <v>605297</v>
      </c>
      <c r="C1353" s="2" t="s">
        <v>569</v>
      </c>
      <c r="D1353" s="2" t="str">
        <f t="shared" si="20"/>
        <v>Error?</v>
      </c>
    </row>
    <row r="1354" spans="1:4" x14ac:dyDescent="0.2">
      <c r="A1354" s="5">
        <v>1293</v>
      </c>
      <c r="B1354" s="1832">
        <f>'Expenditures 15-22'!F182</f>
        <v>59152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59152</v>
      </c>
      <c r="C1358" s="2" t="s">
        <v>569</v>
      </c>
      <c r="D1358" s="2" t="str">
        <f t="shared" si="20"/>
        <v>Error?</v>
      </c>
    </row>
    <row r="1359" spans="1:4" x14ac:dyDescent="0.2">
      <c r="A1359" s="5">
        <v>1298</v>
      </c>
      <c r="B1359" s="1832">
        <f>'Expenditures 15-22'!F210</f>
        <v>59152</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514408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514408</v>
      </c>
      <c r="C1381" s="2" t="s">
        <v>569</v>
      </c>
      <c r="D1381" s="2" t="str">
        <f t="shared" si="20"/>
        <v>Error?</v>
      </c>
    </row>
    <row r="1382" spans="1:4" x14ac:dyDescent="0.2">
      <c r="A1382" s="5">
        <v>1321</v>
      </c>
      <c r="B1382" s="1832">
        <f>'Expenditures 15-22'!K196</f>
        <v>167647</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682055</v>
      </c>
      <c r="C1388" s="2" t="s">
        <v>569</v>
      </c>
      <c r="D1388" s="2" t="str">
        <f t="shared" si="20"/>
        <v>Error?</v>
      </c>
    </row>
    <row r="1389" spans="1:4" x14ac:dyDescent="0.2">
      <c r="A1389" s="5">
        <v>1328</v>
      </c>
      <c r="B1389" s="1832">
        <f>'Expenditures 15-22'!K211</f>
        <v>119489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4047</v>
      </c>
      <c r="D1407" s="2" t="str">
        <f t="shared" ref="D1407:D1470" si="21">IF(ISBLANK(B1407),"OK",IF(A1407-B1407=0,"OK","Error?"))</f>
        <v>Error?</v>
      </c>
    </row>
    <row r="1408" spans="1:4" x14ac:dyDescent="0.2">
      <c r="A1408" s="5">
        <v>1347</v>
      </c>
      <c r="B1408" s="1832">
        <f>'Expenditures 15-22'!D223</f>
        <v>6218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134101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3043</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3043</v>
      </c>
      <c r="C1417" s="2" t="s">
        <v>569</v>
      </c>
      <c r="D1417" s="2" t="str">
        <f t="shared" si="21"/>
        <v>Error?</v>
      </c>
    </row>
    <row r="1418" spans="1:4" x14ac:dyDescent="0.2">
      <c r="A1418" s="5">
        <v>1357</v>
      </c>
      <c r="B1418" s="1832">
        <f>'Expenditures 15-22'!D240</f>
        <v>551</v>
      </c>
      <c r="D1418" s="2" t="str">
        <f t="shared" si="21"/>
        <v>Error?</v>
      </c>
    </row>
    <row r="1419" spans="1:4" x14ac:dyDescent="0.2">
      <c r="A1419" s="5">
        <v>1358</v>
      </c>
      <c r="B1419" s="1832">
        <f>'Expenditures 15-22'!D241</f>
        <v>690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1241</v>
      </c>
      <c r="C1421" s="2" t="s">
        <v>569</v>
      </c>
      <c r="D1421" s="2" t="str">
        <f t="shared" si="21"/>
        <v>Error?</v>
      </c>
    </row>
    <row r="1422" spans="1:4" x14ac:dyDescent="0.2">
      <c r="A1422" s="5">
        <v>1361</v>
      </c>
      <c r="B1422" s="1832">
        <f>'Expenditures 15-22'!D245</f>
        <v>871</v>
      </c>
      <c r="D1422" s="2" t="str">
        <f t="shared" si="21"/>
        <v>Error?</v>
      </c>
    </row>
    <row r="1423" spans="1:4" x14ac:dyDescent="0.2">
      <c r="A1423" s="5">
        <v>1362</v>
      </c>
      <c r="B1423" s="1832">
        <f>'Expenditures 15-22'!D246</f>
        <v>6709</v>
      </c>
      <c r="D1423" s="2" t="str">
        <f t="shared" si="21"/>
        <v>Error?</v>
      </c>
    </row>
    <row r="1424" spans="1:4" x14ac:dyDescent="0.2">
      <c r="A1424" s="5">
        <v>1363</v>
      </c>
      <c r="B1424" s="1832">
        <f>'Expenditures 15-22'!D257</f>
        <v>50929</v>
      </c>
      <c r="C1424" s="2" t="s">
        <v>569</v>
      </c>
      <c r="D1424" s="2" t="str">
        <f t="shared" si="21"/>
        <v>Error?</v>
      </c>
    </row>
    <row r="1425" spans="1:4" x14ac:dyDescent="0.2">
      <c r="A1425" s="5">
        <v>1364</v>
      </c>
      <c r="B1425" s="1832">
        <f>'Expenditures 15-22'!D259</f>
        <v>33886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33886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15988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67249</v>
      </c>
      <c r="D1431" s="2" t="str">
        <f t="shared" si="21"/>
        <v>Error?</v>
      </c>
    </row>
    <row r="1432" spans="1:4" x14ac:dyDescent="0.2">
      <c r="A1432" s="5">
        <v>1371</v>
      </c>
      <c r="B1432" s="1832">
        <f>'Expenditures 15-22'!D267</f>
        <v>2006</v>
      </c>
      <c r="D1432" s="2" t="str">
        <f t="shared" si="21"/>
        <v>Error?</v>
      </c>
    </row>
    <row r="1433" spans="1:4" x14ac:dyDescent="0.2">
      <c r="A1433" s="5">
        <v>1372</v>
      </c>
      <c r="B1433" s="1832">
        <f>'Expenditures 15-22'!D268</f>
        <v>29818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115061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204160</v>
      </c>
      <c r="C1446" s="2" t="s">
        <v>569</v>
      </c>
      <c r="D1446" s="2" t="str">
        <f t="shared" si="21"/>
        <v>Error?</v>
      </c>
    </row>
    <row r="1447" spans="1:4" x14ac:dyDescent="0.2">
      <c r="A1447" s="5">
        <v>1386</v>
      </c>
      <c r="B1447" s="1832">
        <f>'Expenditures 15-22'!D280</f>
        <v>979</v>
      </c>
      <c r="D1447" s="2" t="str">
        <f t="shared" si="21"/>
        <v>Error?</v>
      </c>
    </row>
    <row r="1448" spans="1:4" x14ac:dyDescent="0.2">
      <c r="A1448" s="5">
        <v>1387</v>
      </c>
      <c r="B1448" s="1832">
        <f>'Expenditures 15-22'!D295</f>
        <v>339240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4047</v>
      </c>
      <c r="C1471" s="2" t="s">
        <v>569</v>
      </c>
      <c r="D1471" s="2" t="str">
        <f t="shared" ref="D1471:D1534" si="22">IF(ISBLANK(B1471),"OK",IF(A1471-B1471=0,"OK","Error?"))</f>
        <v>Error?</v>
      </c>
    </row>
    <row r="1472" spans="1:4" x14ac:dyDescent="0.2">
      <c r="A1472" s="5">
        <v>1411</v>
      </c>
      <c r="B1472" s="1832">
        <f>'Expenditures 15-22'!K223</f>
        <v>6218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134101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3043</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3043</v>
      </c>
      <c r="C1481" s="2" t="s">
        <v>569</v>
      </c>
      <c r="D1481" s="2" t="str">
        <f t="shared" si="22"/>
        <v>Error?</v>
      </c>
    </row>
    <row r="1482" spans="1:4" x14ac:dyDescent="0.2">
      <c r="A1482" s="5">
        <v>1421</v>
      </c>
      <c r="B1482" s="1832">
        <f>'Expenditures 15-22'!K240</f>
        <v>551</v>
      </c>
      <c r="C1482" s="2" t="s">
        <v>569</v>
      </c>
      <c r="D1482" s="2" t="str">
        <f t="shared" si="22"/>
        <v>Error?</v>
      </c>
    </row>
    <row r="1483" spans="1:4" x14ac:dyDescent="0.2">
      <c r="A1483" s="5">
        <v>1422</v>
      </c>
      <c r="B1483" s="1832">
        <f>'Expenditures 15-22'!K241</f>
        <v>690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1241</v>
      </c>
      <c r="C1485" s="2" t="s">
        <v>569</v>
      </c>
      <c r="D1485" s="2" t="str">
        <f t="shared" si="22"/>
        <v>Error?</v>
      </c>
    </row>
    <row r="1486" spans="1:4" x14ac:dyDescent="0.2">
      <c r="A1486" s="5">
        <v>1425</v>
      </c>
      <c r="B1486" s="1832">
        <f>'Expenditures 15-22'!K245</f>
        <v>871</v>
      </c>
      <c r="C1486" s="2" t="s">
        <v>569</v>
      </c>
      <c r="D1486" s="2" t="str">
        <f t="shared" si="22"/>
        <v>Error?</v>
      </c>
    </row>
    <row r="1487" spans="1:4" x14ac:dyDescent="0.2">
      <c r="A1487" s="5">
        <v>1426</v>
      </c>
      <c r="B1487" s="1832">
        <f>'Expenditures 15-22'!K246</f>
        <v>6709</v>
      </c>
      <c r="C1487" s="2" t="s">
        <v>569</v>
      </c>
      <c r="D1487" s="2" t="str">
        <f t="shared" si="22"/>
        <v>Error?</v>
      </c>
    </row>
    <row r="1488" spans="1:4" x14ac:dyDescent="0.2">
      <c r="A1488" s="5">
        <v>1427</v>
      </c>
      <c r="B1488" s="1832">
        <f>'Expenditures 15-22'!K257</f>
        <v>50929</v>
      </c>
      <c r="C1488" s="2" t="s">
        <v>569</v>
      </c>
      <c r="D1488" s="2" t="str">
        <f t="shared" si="22"/>
        <v>Error?</v>
      </c>
    </row>
    <row r="1489" spans="1:4" x14ac:dyDescent="0.2">
      <c r="A1489" s="5">
        <v>1428</v>
      </c>
      <c r="B1489" s="1832">
        <f>'Expenditures 15-22'!K259</f>
        <v>33886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33886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15988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67249</v>
      </c>
      <c r="C1495" s="2" t="s">
        <v>569</v>
      </c>
      <c r="D1495" s="2" t="str">
        <f t="shared" si="22"/>
        <v>Error?</v>
      </c>
    </row>
    <row r="1496" spans="1:4" x14ac:dyDescent="0.2">
      <c r="A1496" s="5">
        <v>1435</v>
      </c>
      <c r="B1496" s="1832">
        <f>'Expenditures 15-22'!K267</f>
        <v>2006</v>
      </c>
      <c r="C1496" s="2" t="s">
        <v>569</v>
      </c>
      <c r="D1496" s="2" t="str">
        <f t="shared" si="22"/>
        <v>Error?</v>
      </c>
    </row>
    <row r="1497" spans="1:4" x14ac:dyDescent="0.2">
      <c r="A1497" s="5">
        <v>1436</v>
      </c>
      <c r="B1497" s="1832">
        <f>'Expenditures 15-22'!K268</f>
        <v>29818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115061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204160</v>
      </c>
      <c r="C1510" s="2" t="s">
        <v>569</v>
      </c>
      <c r="D1510" s="2" t="str">
        <f t="shared" si="22"/>
        <v>Error?</v>
      </c>
    </row>
    <row r="1511" spans="1:4" x14ac:dyDescent="0.2">
      <c r="A1511" s="5">
        <v>1450</v>
      </c>
      <c r="B1511" s="1832">
        <f>'Expenditures 15-22'!K280</f>
        <v>979</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339240</v>
      </c>
      <c r="C1517" s="2" t="s">
        <v>569</v>
      </c>
      <c r="D1517" s="2" t="str">
        <f t="shared" si="22"/>
        <v>Error?</v>
      </c>
    </row>
    <row r="1518" spans="1:4" x14ac:dyDescent="0.2">
      <c r="A1518" s="5">
        <v>1457</v>
      </c>
      <c r="B1518" s="1832">
        <f>'Expenditures 15-22'!K296</f>
        <v>-62451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42670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42670</v>
      </c>
      <c r="C1547" s="2" t="s">
        <v>569</v>
      </c>
      <c r="D1547" s="2" t="str">
        <f t="shared" si="23"/>
        <v>Error?</v>
      </c>
    </row>
    <row r="1548" spans="1:4" x14ac:dyDescent="0.2">
      <c r="A1548" s="5">
        <v>1487</v>
      </c>
      <c r="B1548" s="1832">
        <f>'Expenditures 15-22'!G312</f>
        <v>42670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42670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42670</v>
      </c>
      <c r="C1559" s="2" t="s">
        <v>569</v>
      </c>
      <c r="D1559" s="2" t="str">
        <f t="shared" si="23"/>
        <v>Error?</v>
      </c>
    </row>
    <row r="1560" spans="1:4" x14ac:dyDescent="0.2">
      <c r="A1560" s="5">
        <v>1499</v>
      </c>
      <c r="B1560" s="1832">
        <f>'Expenditures 15-22'!K312</f>
        <v>42670</v>
      </c>
      <c r="C1560" s="2" t="s">
        <v>569</v>
      </c>
      <c r="D1560" s="2" t="str">
        <f t="shared" si="23"/>
        <v>Error?</v>
      </c>
    </row>
    <row r="1561" spans="1:4" x14ac:dyDescent="0.2">
      <c r="A1561" s="5">
        <v>1500</v>
      </c>
      <c r="B1561" s="1832">
        <f>'Expenditures 15-22'!K313</f>
        <v>-19927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3620644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4356998</v>
      </c>
      <c r="C1630" s="2" t="s">
        <v>569</v>
      </c>
      <c r="D1630" s="2" t="str">
        <f t="shared" si="24"/>
        <v>Error?</v>
      </c>
    </row>
    <row r="1631" spans="1:4" x14ac:dyDescent="0.2">
      <c r="A1631" s="5">
        <v>1570</v>
      </c>
      <c r="B1631" s="1832">
        <f>'Acct Summary 7-8'!D79</f>
        <v>1247676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1543518</v>
      </c>
      <c r="C1644" s="2" t="s">
        <v>569</v>
      </c>
      <c r="D1644" s="2" t="str">
        <f t="shared" si="24"/>
        <v>Error?</v>
      </c>
    </row>
    <row r="1645" spans="1:4" x14ac:dyDescent="0.2">
      <c r="A1645" s="5">
        <v>1584</v>
      </c>
      <c r="B1645" s="1832">
        <f>'Acct Summary 7-8'!E79</f>
        <v>121347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120356</v>
      </c>
      <c r="C1658" s="2" t="s">
        <v>569</v>
      </c>
      <c r="D1658" s="2" t="str">
        <f t="shared" si="24"/>
        <v>Error?</v>
      </c>
    </row>
    <row r="1659" spans="1:4" x14ac:dyDescent="0.2">
      <c r="A1659" s="5">
        <v>1598</v>
      </c>
      <c r="B1659" s="1832">
        <f>'Acct Summary 7-8'!F79</f>
        <v>531565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651054</v>
      </c>
      <c r="C1672" s="2" t="s">
        <v>569</v>
      </c>
      <c r="D1672" s="2" t="str">
        <f t="shared" si="25"/>
        <v>Error?</v>
      </c>
    </row>
    <row r="1673" spans="1:4" x14ac:dyDescent="0.2">
      <c r="A1673" s="5">
        <v>1612</v>
      </c>
      <c r="B1673" s="1832">
        <f>'Acct Summary 7-8'!G79</f>
        <v>197215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134764</v>
      </c>
      <c r="C1686" s="2" t="s">
        <v>569</v>
      </c>
      <c r="D1686" s="2" t="str">
        <f t="shared" si="25"/>
        <v>Error?</v>
      </c>
    </row>
    <row r="1687" spans="1:4" x14ac:dyDescent="0.2">
      <c r="A1687" s="5">
        <v>1626</v>
      </c>
      <c r="B1687" s="1832">
        <f>'Acct Summary 7-8'!H79</f>
        <v>324018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8304091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4790327</v>
      </c>
      <c r="C1744" s="2" t="s">
        <v>569</v>
      </c>
      <c r="D1744" s="2" t="str">
        <f t="shared" si="26"/>
        <v>Error?</v>
      </c>
    </row>
    <row r="1745" spans="1:5" x14ac:dyDescent="0.2">
      <c r="A1745" s="5">
        <v>1684</v>
      </c>
      <c r="B1745" s="1832">
        <f>'Tax Sched 23'!B5</f>
        <v>665323</v>
      </c>
      <c r="C1745" s="2" t="s">
        <v>569</v>
      </c>
      <c r="D1745" s="2" t="str">
        <f t="shared" si="26"/>
        <v>Error?</v>
      </c>
    </row>
    <row r="1746" spans="1:5" x14ac:dyDescent="0.2">
      <c r="A1746" s="5">
        <v>1685</v>
      </c>
      <c r="B1746" s="1832">
        <f>'Tax Sched 23'!B6</f>
        <v>510484</v>
      </c>
      <c r="C1746" s="2" t="s">
        <v>569</v>
      </c>
      <c r="D1746" s="2" t="str">
        <f t="shared" si="26"/>
        <v>Error?</v>
      </c>
    </row>
    <row r="1747" spans="1:5" x14ac:dyDescent="0.2">
      <c r="A1747" s="5">
        <v>1686</v>
      </c>
      <c r="B1747" s="1832">
        <f>'Tax Sched 23'!B7</f>
        <v>266129</v>
      </c>
      <c r="C1747" s="2" t="s">
        <v>569</v>
      </c>
      <c r="D1747" s="2" t="str">
        <f t="shared" si="26"/>
        <v>Error?</v>
      </c>
    </row>
    <row r="1748" spans="1:5" x14ac:dyDescent="0.2">
      <c r="A1748" s="5">
        <v>1687</v>
      </c>
      <c r="B1748" s="1832">
        <f>'Tax Sched 23'!B8</f>
        <v>124653</v>
      </c>
      <c r="C1748" s="2" t="s">
        <v>569</v>
      </c>
      <c r="D1748" s="2" t="str">
        <f t="shared" si="26"/>
        <v>Error?</v>
      </c>
    </row>
    <row r="1749" spans="1:5" x14ac:dyDescent="0.2">
      <c r="A1749" s="5">
        <v>1688</v>
      </c>
      <c r="B1749" s="1832">
        <f>'Tax Sched 23'!B10</f>
        <v>66533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869732</v>
      </c>
      <c r="C1752" s="2" t="s">
        <v>569</v>
      </c>
      <c r="D1752" s="2" t="str">
        <f t="shared" si="26"/>
        <v>Error?</v>
      </c>
    </row>
    <row r="1753" spans="1:5" x14ac:dyDescent="0.2">
      <c r="A1753" s="5">
        <v>1692</v>
      </c>
      <c r="B1753" s="1832">
        <f>'Tax Sched 23'!B12</f>
        <v>66532</v>
      </c>
      <c r="C1753" s="2" t="s">
        <v>569</v>
      </c>
      <c r="D1753" s="2" t="str">
        <f t="shared" si="26"/>
        <v>Error?</v>
      </c>
    </row>
    <row r="1754" spans="1:5" x14ac:dyDescent="0.2">
      <c r="A1754" s="5">
        <v>1693</v>
      </c>
      <c r="B1754" s="1832">
        <f>'Tax Sched 23'!B14</f>
        <v>53226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7578825</v>
      </c>
      <c r="C1759" s="2" t="s">
        <v>569</v>
      </c>
      <c r="D1759" s="2" t="str">
        <f t="shared" si="26"/>
        <v>Error?</v>
      </c>
    </row>
    <row r="1760" spans="1:5" x14ac:dyDescent="0.2">
      <c r="A1760" s="5">
        <v>1699</v>
      </c>
      <c r="B1760" s="1832">
        <f>'Tax Sched 23'!D4</f>
        <v>4721382</v>
      </c>
      <c r="C1760" s="2" t="s">
        <v>569</v>
      </c>
      <c r="D1760" s="2" t="str">
        <f t="shared" si="26"/>
        <v>Error?</v>
      </c>
    </row>
    <row r="1761" spans="1:7" x14ac:dyDescent="0.2">
      <c r="A1761" s="5">
        <v>1700</v>
      </c>
      <c r="B1761" s="1832">
        <f>'Tax Sched 23'!D5</f>
        <v>655747</v>
      </c>
      <c r="C1761" s="2" t="s">
        <v>569</v>
      </c>
      <c r="D1761" s="2" t="str">
        <f t="shared" si="26"/>
        <v>Error?</v>
      </c>
    </row>
    <row r="1762" spans="1:7" s="8" customFormat="1" x14ac:dyDescent="0.2">
      <c r="A1762" s="5">
        <v>1701</v>
      </c>
      <c r="B1762" s="1832">
        <f>'Tax Sched 23'!D6</f>
        <v>503191</v>
      </c>
      <c r="C1762" s="2" t="s">
        <v>569</v>
      </c>
      <c r="D1762" s="2" t="str">
        <f t="shared" si="26"/>
        <v>Error?</v>
      </c>
      <c r="E1762" s="9"/>
      <c r="G1762"/>
    </row>
    <row r="1763" spans="1:7" x14ac:dyDescent="0.2">
      <c r="A1763" s="5">
        <v>1702</v>
      </c>
      <c r="B1763" s="1832">
        <f>'Tax Sched 23'!D7</f>
        <v>262299</v>
      </c>
      <c r="C1763" s="2" t="s">
        <v>569</v>
      </c>
      <c r="D1763" s="2" t="str">
        <f t="shared" si="26"/>
        <v>Error?</v>
      </c>
    </row>
    <row r="1764" spans="1:7" x14ac:dyDescent="0.2">
      <c r="A1764" s="5">
        <v>1703</v>
      </c>
      <c r="B1764" s="1832">
        <f>'Tax Sched 23'!D8</f>
        <v>122521</v>
      </c>
      <c r="C1764" s="2" t="s">
        <v>569</v>
      </c>
      <c r="D1764" s="2" t="str">
        <f t="shared" si="26"/>
        <v>Error?</v>
      </c>
    </row>
    <row r="1765" spans="1:7" x14ac:dyDescent="0.2">
      <c r="A1765" s="5">
        <v>1704</v>
      </c>
      <c r="B1765" s="1832">
        <f>'Tax Sched 23'!D10</f>
        <v>65575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856940</v>
      </c>
      <c r="C1768" s="2" t="s">
        <v>569</v>
      </c>
      <c r="D1768" s="2" t="str">
        <f t="shared" si="26"/>
        <v>Error?</v>
      </c>
    </row>
    <row r="1769" spans="1:7" x14ac:dyDescent="0.2">
      <c r="A1769" s="5">
        <v>1708</v>
      </c>
      <c r="B1769" s="1832">
        <f>'Tax Sched 23'!D12</f>
        <v>65574</v>
      </c>
      <c r="C1769" s="2" t="s">
        <v>569</v>
      </c>
      <c r="D1769" s="2" t="str">
        <f t="shared" si="26"/>
        <v>Error?</v>
      </c>
    </row>
    <row r="1770" spans="1:7" x14ac:dyDescent="0.2">
      <c r="A1770" s="5">
        <v>1709</v>
      </c>
      <c r="B1770" s="1832">
        <f>'Tax Sched 23'!D14</f>
        <v>52460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7469196</v>
      </c>
      <c r="C1775" s="2" t="s">
        <v>569</v>
      </c>
      <c r="D1775" s="2" t="str">
        <f t="shared" si="26"/>
        <v>Error?</v>
      </c>
    </row>
    <row r="1776" spans="1:7" x14ac:dyDescent="0.2">
      <c r="A1776" s="5">
        <v>1715</v>
      </c>
      <c r="B1776" s="1832">
        <f>'Tax Sched 23'!C4</f>
        <v>68945</v>
      </c>
      <c r="D1776" s="2" t="str">
        <f t="shared" si="26"/>
        <v>Error?</v>
      </c>
    </row>
    <row r="1777" spans="1:4" x14ac:dyDescent="0.2">
      <c r="A1777" s="5">
        <v>1716</v>
      </c>
      <c r="B1777" s="1832">
        <f>'Tax Sched 23'!C5</f>
        <v>9576</v>
      </c>
      <c r="D1777" s="2" t="str">
        <f t="shared" si="26"/>
        <v>Error?</v>
      </c>
    </row>
    <row r="1778" spans="1:4" x14ac:dyDescent="0.2">
      <c r="A1778" s="5">
        <v>1717</v>
      </c>
      <c r="B1778" s="1832">
        <f>'Tax Sched 23'!C6</f>
        <v>7293</v>
      </c>
      <c r="D1778" s="2" t="str">
        <f t="shared" si="26"/>
        <v>Error?</v>
      </c>
    </row>
    <row r="1779" spans="1:4" x14ac:dyDescent="0.2">
      <c r="A1779" s="5">
        <v>1718</v>
      </c>
      <c r="B1779" s="1832">
        <f>'Tax Sched 23'!C7</f>
        <v>3830</v>
      </c>
      <c r="D1779" s="2" t="str">
        <f t="shared" si="26"/>
        <v>Error?</v>
      </c>
    </row>
    <row r="1780" spans="1:4" x14ac:dyDescent="0.2">
      <c r="A1780" s="5">
        <v>1719</v>
      </c>
      <c r="B1780" s="1832">
        <f>'Tax Sched 23'!C8</f>
        <v>2132</v>
      </c>
      <c r="D1780" s="2" t="str">
        <f t="shared" si="26"/>
        <v>Error?</v>
      </c>
    </row>
    <row r="1781" spans="1:4" x14ac:dyDescent="0.2">
      <c r="A1781" s="5">
        <v>1720</v>
      </c>
      <c r="B1781" s="1832">
        <f>'Tax Sched 23'!C10</f>
        <v>958</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12792</v>
      </c>
      <c r="D1784" s="2" t="str">
        <f t="shared" si="26"/>
        <v>Error?</v>
      </c>
    </row>
    <row r="1785" spans="1:4" x14ac:dyDescent="0.2">
      <c r="A1785" s="5">
        <v>1724</v>
      </c>
      <c r="B1785" s="1832">
        <f>'Tax Sched 23'!C12</f>
        <v>958</v>
      </c>
      <c r="D1785" s="2" t="str">
        <f t="shared" si="26"/>
        <v>Error?</v>
      </c>
    </row>
    <row r="1786" spans="1:4" x14ac:dyDescent="0.2">
      <c r="A1786" s="5">
        <v>1725</v>
      </c>
      <c r="B1786" s="1832">
        <f>'Tax Sched 23'!C14</f>
        <v>766</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109629</v>
      </c>
      <c r="C1791" s="2" t="s">
        <v>569</v>
      </c>
      <c r="D1791" s="2" t="str">
        <f t="shared" ref="D1791:D1854" si="27">IF(ISBLANK(B1791),"OK",IF(A1791-B1791=0,"OK","Error?"))</f>
        <v>Error?</v>
      </c>
    </row>
    <row r="1792" spans="1:4" x14ac:dyDescent="0.2">
      <c r="A1792" s="5">
        <v>1731</v>
      </c>
      <c r="B1792" s="1832">
        <f>'Tax Sched 23'!F4</f>
        <v>4974337</v>
      </c>
      <c r="C1792" s="2" t="s">
        <v>569</v>
      </c>
      <c r="D1792" s="2" t="str">
        <f t="shared" si="27"/>
        <v>Error?</v>
      </c>
    </row>
    <row r="1793" spans="1:4" x14ac:dyDescent="0.2">
      <c r="A1793" s="5">
        <v>1732</v>
      </c>
      <c r="B1793" s="1832">
        <f>'Tax Sched 23'!F5</f>
        <v>690880</v>
      </c>
      <c r="C1793" s="2" t="s">
        <v>569</v>
      </c>
      <c r="D1793" s="2" t="str">
        <f t="shared" si="27"/>
        <v>Error?</v>
      </c>
    </row>
    <row r="1794" spans="1:4" x14ac:dyDescent="0.2">
      <c r="A1794" s="5">
        <v>1733</v>
      </c>
      <c r="B1794" s="1832">
        <f>'Tax Sched 23'!F6</f>
        <v>506365</v>
      </c>
      <c r="C1794" s="2" t="s">
        <v>569</v>
      </c>
      <c r="D1794" s="2" t="str">
        <f t="shared" si="27"/>
        <v>Error?</v>
      </c>
    </row>
    <row r="1795" spans="1:4" x14ac:dyDescent="0.2">
      <c r="A1795" s="5">
        <v>1734</v>
      </c>
      <c r="B1795" s="1832">
        <f>'Tax Sched 23'!F7</f>
        <v>276352</v>
      </c>
      <c r="C1795" s="2" t="s">
        <v>569</v>
      </c>
      <c r="D1795" s="2" t="str">
        <f t="shared" si="27"/>
        <v>Error?</v>
      </c>
    </row>
    <row r="1796" spans="1:4" x14ac:dyDescent="0.2">
      <c r="A1796" s="5">
        <v>1735</v>
      </c>
      <c r="B1796" s="1832">
        <f>'Tax Sched 23'!F8</f>
        <v>147864</v>
      </c>
      <c r="C1796" s="2" t="s">
        <v>569</v>
      </c>
      <c r="D1796" s="2" t="str">
        <f t="shared" si="27"/>
        <v>Error?</v>
      </c>
    </row>
    <row r="1797" spans="1:4" x14ac:dyDescent="0.2">
      <c r="A1797" s="5">
        <v>1736</v>
      </c>
      <c r="B1797" s="1832">
        <f>'Tax Sched 23'!F10</f>
        <v>69088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887210</v>
      </c>
      <c r="C1800" s="2" t="s">
        <v>569</v>
      </c>
      <c r="D1800" s="2" t="str">
        <f t="shared" si="27"/>
        <v>Error?</v>
      </c>
    </row>
    <row r="1801" spans="1:4" x14ac:dyDescent="0.2">
      <c r="A1801" s="5">
        <v>1740</v>
      </c>
      <c r="B1801" s="1832">
        <f>'Tax Sched 23'!F12</f>
        <v>69088</v>
      </c>
      <c r="C1801" s="2" t="s">
        <v>569</v>
      </c>
      <c r="D1801" s="2" t="str">
        <f t="shared" si="27"/>
        <v>Error?</v>
      </c>
    </row>
    <row r="1802" spans="1:4" x14ac:dyDescent="0.2">
      <c r="A1802" s="5">
        <v>1741</v>
      </c>
      <c r="B1802" s="1832">
        <f>'Tax Sched 23'!F14</f>
        <v>55270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7844118</v>
      </c>
      <c r="C1807" s="2" t="s">
        <v>569</v>
      </c>
      <c r="D1807" s="2" t="str">
        <f t="shared" si="27"/>
        <v>Error?</v>
      </c>
    </row>
    <row r="1808" spans="1:4" x14ac:dyDescent="0.2">
      <c r="A1808" s="5">
        <v>1747</v>
      </c>
      <c r="B1808" s="1832">
        <f>'Tax Sched 23'!E4</f>
        <v>5043282</v>
      </c>
      <c r="D1808" s="2" t="str">
        <f t="shared" si="27"/>
        <v>Error?</v>
      </c>
    </row>
    <row r="1809" spans="1:4" x14ac:dyDescent="0.2">
      <c r="A1809" s="5">
        <v>1748</v>
      </c>
      <c r="B1809" s="1832">
        <f>'Tax Sched 23'!E5</f>
        <v>700456</v>
      </c>
      <c r="D1809" s="2" t="str">
        <f t="shared" si="27"/>
        <v>Error?</v>
      </c>
    </row>
    <row r="1810" spans="1:4" x14ac:dyDescent="0.2">
      <c r="A1810" s="5">
        <v>1749</v>
      </c>
      <c r="B1810" s="1832">
        <f>'Tax Sched 23'!E6</f>
        <v>513658</v>
      </c>
      <c r="D1810" s="2" t="str">
        <f t="shared" si="27"/>
        <v>Error?</v>
      </c>
    </row>
    <row r="1811" spans="1:4" x14ac:dyDescent="0.2">
      <c r="A1811" s="5">
        <v>1750</v>
      </c>
      <c r="B1811" s="1832">
        <f>'Tax Sched 23'!E7</f>
        <v>280182</v>
      </c>
      <c r="D1811" s="2" t="str">
        <f t="shared" si="27"/>
        <v>Error?</v>
      </c>
    </row>
    <row r="1812" spans="1:4" x14ac:dyDescent="0.2">
      <c r="A1812" s="5">
        <v>1751</v>
      </c>
      <c r="B1812" s="1832">
        <f>'Tax Sched 23'!E8</f>
        <v>149996</v>
      </c>
      <c r="D1812" s="2" t="str">
        <f t="shared" si="27"/>
        <v>Error?</v>
      </c>
    </row>
    <row r="1813" spans="1:4" x14ac:dyDescent="0.2">
      <c r="A1813" s="5">
        <v>1752</v>
      </c>
      <c r="B1813" s="1832">
        <f>'Tax Sched 23'!E10</f>
        <v>70046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900002</v>
      </c>
      <c r="D1816" s="2" t="str">
        <f t="shared" si="27"/>
        <v>Error?</v>
      </c>
    </row>
    <row r="1817" spans="1:4" x14ac:dyDescent="0.2">
      <c r="A1817" s="5">
        <v>1756</v>
      </c>
      <c r="B1817" s="1832">
        <f>'Tax Sched 23'!E12</f>
        <v>70046</v>
      </c>
      <c r="D1817" s="2" t="str">
        <f t="shared" si="27"/>
        <v>Error?</v>
      </c>
    </row>
    <row r="1818" spans="1:4" x14ac:dyDescent="0.2">
      <c r="A1818" s="5">
        <v>1757</v>
      </c>
      <c r="B1818" s="1832">
        <f>'Tax Sched 23'!E14</f>
        <v>56036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7953747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4774400</v>
      </c>
      <c r="C1939" s="2" t="s">
        <v>569</v>
      </c>
      <c r="D1939" s="2" t="str">
        <f t="shared" si="29"/>
        <v>Error?</v>
      </c>
    </row>
    <row r="1940" spans="1:5" x14ac:dyDescent="0.2">
      <c r="A1940" s="5">
        <v>1879</v>
      </c>
      <c r="B1940" s="1832">
        <f>'Short-Term Long-Term Debt 24'!F49</f>
        <v>8000000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53226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53226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53226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12804</v>
      </c>
      <c r="D2008" s="2" t="str">
        <f t="shared" si="30"/>
        <v>Error?</v>
      </c>
    </row>
    <row r="2009" spans="1:4" x14ac:dyDescent="0.2">
      <c r="A2009" s="5">
        <v>1948</v>
      </c>
      <c r="B2009" s="1832">
        <f>'Cap Outlay Deprec 26'!C8</f>
        <v>12263338</v>
      </c>
      <c r="D2009" s="2" t="str">
        <f t="shared" si="30"/>
        <v>Error?</v>
      </c>
    </row>
    <row r="2010" spans="1:4" x14ac:dyDescent="0.2">
      <c r="A2010" s="5">
        <v>1949</v>
      </c>
      <c r="B2010" s="1832">
        <f>'Cap Outlay Deprec 26'!C10</f>
        <v>6232634</v>
      </c>
      <c r="D2010" s="2" t="str">
        <f t="shared" si="30"/>
        <v>Error?</v>
      </c>
    </row>
    <row r="2011" spans="1:4" x14ac:dyDescent="0.2">
      <c r="A2011" s="5">
        <v>1950</v>
      </c>
      <c r="B2011" s="1832">
        <f>'Cap Outlay Deprec 26'!C12</f>
        <v>4333408</v>
      </c>
      <c r="D2011" s="2" t="str">
        <f t="shared" si="30"/>
        <v>Error?</v>
      </c>
    </row>
    <row r="2012" spans="1:4" x14ac:dyDescent="0.2">
      <c r="A2012" s="5">
        <v>1951</v>
      </c>
      <c r="B2012" s="1832">
        <f>'Cap Outlay Deprec 26'!C13</f>
        <v>623158</v>
      </c>
      <c r="D2012" s="2" t="str">
        <f t="shared" si="30"/>
        <v>Error?</v>
      </c>
    </row>
    <row r="2013" spans="1:4" x14ac:dyDescent="0.2">
      <c r="A2013" s="5">
        <v>1952</v>
      </c>
      <c r="B2013" s="1832">
        <f>'Cap Outlay Deprec 26'!C16</f>
        <v>23465342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42670</v>
      </c>
      <c r="D2016" s="2" t="str">
        <f t="shared" si="30"/>
        <v>Error?</v>
      </c>
    </row>
    <row r="2017" spans="1:4" x14ac:dyDescent="0.2">
      <c r="A2017" s="5">
        <v>1956</v>
      </c>
      <c r="B2017" s="1832">
        <f>'Cap Outlay Deprec 26'!D12</f>
        <v>133919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176589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12804</v>
      </c>
      <c r="C2026" s="2" t="s">
        <v>569</v>
      </c>
      <c r="D2026" s="2" t="str">
        <f t="shared" si="30"/>
        <v>Error?</v>
      </c>
    </row>
    <row r="2027" spans="1:4" x14ac:dyDescent="0.2">
      <c r="A2027" s="5">
        <v>1966</v>
      </c>
      <c r="B2027" s="1832">
        <f>'Cap Outlay Deprec 26'!F8</f>
        <v>12263338</v>
      </c>
      <c r="C2027" s="2" t="s">
        <v>569</v>
      </c>
      <c r="D2027" s="2" t="str">
        <f t="shared" si="30"/>
        <v>Error?</v>
      </c>
    </row>
    <row r="2028" spans="1:4" x14ac:dyDescent="0.2">
      <c r="A2028" s="5">
        <v>1967</v>
      </c>
      <c r="B2028" s="1832">
        <f>'Cap Outlay Deprec 26'!F10</f>
        <v>6275304</v>
      </c>
      <c r="C2028" s="2" t="s">
        <v>569</v>
      </c>
      <c r="D2028" s="2" t="str">
        <f t="shared" si="30"/>
        <v>Error?</v>
      </c>
    </row>
    <row r="2029" spans="1:4" x14ac:dyDescent="0.2">
      <c r="A2029" s="5">
        <v>1968</v>
      </c>
      <c r="B2029" s="1832">
        <f>'Cap Outlay Deprec 26'!F12</f>
        <v>4467327</v>
      </c>
      <c r="C2029" s="2" t="s">
        <v>569</v>
      </c>
      <c r="D2029" s="2" t="str">
        <f t="shared" si="30"/>
        <v>Error?</v>
      </c>
    </row>
    <row r="2030" spans="1:4" x14ac:dyDescent="0.2">
      <c r="A2030" s="5">
        <v>1969</v>
      </c>
      <c r="B2030" s="1832">
        <f>'Cap Outlay Deprec 26'!F13</f>
        <v>623158</v>
      </c>
      <c r="C2030" s="2" t="s">
        <v>569</v>
      </c>
      <c r="D2030" s="2" t="str">
        <f t="shared" si="30"/>
        <v>Error?</v>
      </c>
    </row>
    <row r="2031" spans="1:4" x14ac:dyDescent="0.2">
      <c r="A2031" s="5">
        <v>1970</v>
      </c>
      <c r="B2031" s="1832">
        <f>'Cap Outlay Deprec 26'!F16</f>
        <v>23641931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6914298</v>
      </c>
      <c r="D2033" s="2" t="str">
        <f t="shared" si="30"/>
        <v>Error?</v>
      </c>
    </row>
    <row r="2034" spans="1:4" x14ac:dyDescent="0.2">
      <c r="A2034" s="5">
        <v>1973</v>
      </c>
      <c r="B2034" s="1832">
        <f>'Cap Outlay Deprec 26'!H10</f>
        <v>2464599</v>
      </c>
      <c r="D2034" s="2" t="str">
        <f t="shared" si="30"/>
        <v>Error?</v>
      </c>
    </row>
    <row r="2035" spans="1:4" x14ac:dyDescent="0.2">
      <c r="A2035" s="5">
        <v>1974</v>
      </c>
      <c r="B2035" s="1832">
        <f>'Cap Outlay Deprec 26'!H12</f>
        <v>3906764</v>
      </c>
      <c r="D2035" s="2" t="str">
        <f t="shared" si="30"/>
        <v>Error?</v>
      </c>
    </row>
    <row r="2036" spans="1:4" x14ac:dyDescent="0.2">
      <c r="A2036" s="5">
        <v>1975</v>
      </c>
      <c r="B2036" s="1832">
        <f>'Cap Outlay Deprec 26'!H13</f>
        <v>332589</v>
      </c>
      <c r="D2036" s="2" t="str">
        <f t="shared" si="30"/>
        <v>Error?</v>
      </c>
    </row>
    <row r="2037" spans="1:4" x14ac:dyDescent="0.2">
      <c r="A2037" s="5">
        <v>1976</v>
      </c>
      <c r="B2037" s="1832">
        <f>'Cap Outlay Deprec 26'!H16</f>
        <v>13618250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245267</v>
      </c>
      <c r="D2039" s="2" t="str">
        <f t="shared" si="30"/>
        <v>Error?</v>
      </c>
    </row>
    <row r="2040" spans="1:4" x14ac:dyDescent="0.2">
      <c r="A2040" s="5">
        <v>1979</v>
      </c>
      <c r="B2040" s="1832">
        <f>'Cap Outlay Deprec 26'!I10</f>
        <v>278752</v>
      </c>
      <c r="D2040" s="2" t="str">
        <f t="shared" si="30"/>
        <v>Error?</v>
      </c>
    </row>
    <row r="2041" spans="1:4" x14ac:dyDescent="0.2">
      <c r="A2041" s="5">
        <v>1980</v>
      </c>
      <c r="B2041" s="1832">
        <f>'Cap Outlay Deprec 26'!I12</f>
        <v>81444</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605463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7159565</v>
      </c>
      <c r="C2051" s="2" t="s">
        <v>569</v>
      </c>
      <c r="D2051" s="2" t="str">
        <f t="shared" si="31"/>
        <v>Error?</v>
      </c>
    </row>
    <row r="2052" spans="1:4" x14ac:dyDescent="0.2">
      <c r="A2052" s="5">
        <v>1991</v>
      </c>
      <c r="B2052" s="1832">
        <f>'Cap Outlay Deprec 26'!K10</f>
        <v>2743351</v>
      </c>
      <c r="C2052" s="2" t="s">
        <v>569</v>
      </c>
      <c r="D2052" s="2" t="str">
        <f t="shared" si="31"/>
        <v>Error?</v>
      </c>
    </row>
    <row r="2053" spans="1:4" x14ac:dyDescent="0.2">
      <c r="A2053" s="5">
        <v>1992</v>
      </c>
      <c r="B2053" s="1832">
        <f>'Cap Outlay Deprec 26'!K12</f>
        <v>3988208</v>
      </c>
      <c r="C2053" s="2" t="s">
        <v>569</v>
      </c>
      <c r="D2053" s="2" t="str">
        <f t="shared" si="31"/>
        <v>Error?</v>
      </c>
    </row>
    <row r="2054" spans="1:4" x14ac:dyDescent="0.2">
      <c r="A2054" s="5">
        <v>1993</v>
      </c>
      <c r="B2054" s="1832">
        <f>'Cap Outlay Deprec 26'!K13</f>
        <v>332589</v>
      </c>
      <c r="C2054" s="2" t="s">
        <v>569</v>
      </c>
      <c r="D2054" s="2" t="str">
        <f t="shared" si="31"/>
        <v>Error?</v>
      </c>
    </row>
    <row r="2055" spans="1:4" x14ac:dyDescent="0.2">
      <c r="A2055" s="5">
        <v>1994</v>
      </c>
      <c r="B2055" s="1832">
        <f>'Cap Outlay Deprec 26'!K16</f>
        <v>14223713</v>
      </c>
      <c r="C2055" s="2" t="s">
        <v>569</v>
      </c>
      <c r="D2055" s="2" t="str">
        <f t="shared" si="31"/>
        <v>Error?</v>
      </c>
    </row>
    <row r="2056" spans="1:4" x14ac:dyDescent="0.2">
      <c r="A2056" s="5">
        <v>1995</v>
      </c>
      <c r="B2056" s="1832">
        <f>'Cap Outlay Deprec 26'!L5</f>
        <v>12804</v>
      </c>
      <c r="C2056" s="2" t="s">
        <v>569</v>
      </c>
      <c r="D2056" s="2" t="str">
        <f t="shared" si="31"/>
        <v>Error?</v>
      </c>
    </row>
    <row r="2057" spans="1:4" x14ac:dyDescent="0.2">
      <c r="A2057" s="5">
        <v>1996</v>
      </c>
      <c r="B2057" s="1832">
        <f>'Cap Outlay Deprec 26'!L8</f>
        <v>5103773</v>
      </c>
      <c r="C2057" s="2" t="s">
        <v>569</v>
      </c>
      <c r="D2057" s="2" t="str">
        <f t="shared" si="31"/>
        <v>Error?</v>
      </c>
    </row>
    <row r="2058" spans="1:4" x14ac:dyDescent="0.2">
      <c r="A2058" s="5">
        <v>1997</v>
      </c>
      <c r="B2058" s="1832">
        <f>'Cap Outlay Deprec 26'!L10</f>
        <v>3531953</v>
      </c>
      <c r="C2058" s="2" t="s">
        <v>569</v>
      </c>
      <c r="D2058" s="2" t="str">
        <f t="shared" si="31"/>
        <v>Error?</v>
      </c>
    </row>
    <row r="2059" spans="1:4" x14ac:dyDescent="0.2">
      <c r="A2059" s="5">
        <v>1998</v>
      </c>
      <c r="B2059" s="1832">
        <f>'Cap Outlay Deprec 26'!L12</f>
        <v>479119</v>
      </c>
      <c r="C2059" s="2" t="s">
        <v>569</v>
      </c>
      <c r="D2059" s="2" t="str">
        <f t="shared" si="31"/>
        <v>Error?</v>
      </c>
    </row>
    <row r="2060" spans="1:4" x14ac:dyDescent="0.2">
      <c r="A2060" s="5">
        <v>1999</v>
      </c>
      <c r="B2060" s="1832">
        <f>'Cap Outlay Deprec 26'!L13</f>
        <v>290569</v>
      </c>
      <c r="C2060" s="2" t="s">
        <v>569</v>
      </c>
      <c r="D2060" s="2" t="str">
        <f t="shared" si="31"/>
        <v>Error?</v>
      </c>
    </row>
    <row r="2061" spans="1:4" x14ac:dyDescent="0.2">
      <c r="A2061" s="5">
        <v>2000</v>
      </c>
      <c r="B2061" s="1832">
        <f>'Cap Outlay Deprec 26'!L16</f>
        <v>9418218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640757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134764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6052755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2878764</v>
      </c>
      <c r="C2553" s="2" t="s">
        <v>569</v>
      </c>
      <c r="D2553" s="2" t="str">
        <f t="shared" si="38"/>
        <v>Error?</v>
      </c>
    </row>
    <row r="2554" spans="1:4" x14ac:dyDescent="0.2">
      <c r="A2554" s="5">
        <v>2493</v>
      </c>
      <c r="B2554" s="1832">
        <f>'Acct Summary 7-8'!C7</f>
        <v>812734</v>
      </c>
      <c r="C2554" s="2" t="s">
        <v>569</v>
      </c>
      <c r="D2554" s="2" t="str">
        <f t="shared" si="38"/>
        <v>Error?</v>
      </c>
    </row>
    <row r="2555" spans="1:4" x14ac:dyDescent="0.2">
      <c r="A2555" s="5">
        <v>2494</v>
      </c>
      <c r="B2555" s="1832">
        <f>'Acct Summary 7-8'!C8</f>
        <v>9762715</v>
      </c>
      <c r="C2555" s="2" t="s">
        <v>569</v>
      </c>
      <c r="D2555" s="2" t="str">
        <f t="shared" si="38"/>
        <v>Error?</v>
      </c>
    </row>
    <row r="2556" spans="1:4" x14ac:dyDescent="0.2">
      <c r="A2556" s="5">
        <v>2495</v>
      </c>
      <c r="B2556" s="1832">
        <f>'Acct Summary 7-8'!C12</f>
        <v>6145861</v>
      </c>
      <c r="C2556" s="2" t="s">
        <v>569</v>
      </c>
      <c r="D2556" s="2" t="str">
        <f t="shared" si="38"/>
        <v>Error?</v>
      </c>
    </row>
    <row r="2557" spans="1:4" x14ac:dyDescent="0.2">
      <c r="A2557" s="5">
        <v>2496</v>
      </c>
      <c r="B2557" s="1832">
        <f>'Acct Summary 7-8'!C13</f>
        <v>2226682</v>
      </c>
      <c r="C2557" s="2" t="s">
        <v>569</v>
      </c>
      <c r="D2557" s="2" t="str">
        <f t="shared" si="38"/>
        <v>Error?</v>
      </c>
    </row>
    <row r="2558" spans="1:4" x14ac:dyDescent="0.2">
      <c r="A2558" s="5">
        <v>2497</v>
      </c>
      <c r="B2558" s="1832">
        <f>'Acct Summary 7-8'!C14</f>
        <v>13061</v>
      </c>
      <c r="C2558" s="2" t="s">
        <v>569</v>
      </c>
      <c r="D2558" s="2" t="str">
        <f t="shared" si="38"/>
        <v>Error?</v>
      </c>
    </row>
    <row r="2559" spans="1:4" x14ac:dyDescent="0.2">
      <c r="A2559" s="5">
        <v>2498</v>
      </c>
      <c r="B2559" s="1832">
        <f>'Acct Summary 7-8'!C15</f>
        <v>640757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9026361</v>
      </c>
      <c r="C2561" s="2" t="s">
        <v>569</v>
      </c>
      <c r="D2561" s="2" t="str">
        <f t="shared" si="39"/>
        <v>Error?</v>
      </c>
    </row>
    <row r="2562" spans="1:4" x14ac:dyDescent="0.2">
      <c r="A2562" s="5">
        <v>2501</v>
      </c>
      <c r="B2562" s="1832">
        <f>'Acct Summary 7-8'!C20</f>
        <v>736354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1260093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1310093</v>
      </c>
      <c r="C2568" s="2" t="s">
        <v>569</v>
      </c>
      <c r="D2568" s="2" t="str">
        <f t="shared" si="39"/>
        <v>Error?</v>
      </c>
    </row>
    <row r="2569" spans="1:4" x14ac:dyDescent="0.2">
      <c r="A2569" s="5">
        <v>2508</v>
      </c>
      <c r="B2569" s="1832">
        <f>'Acct Summary 7-8'!D13</f>
        <v>859448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4803</v>
      </c>
      <c r="C2572" s="2" t="s">
        <v>569</v>
      </c>
      <c r="D2572" s="2" t="str">
        <f t="shared" si="39"/>
        <v>Error?</v>
      </c>
    </row>
    <row r="2573" spans="1:4" x14ac:dyDescent="0.2">
      <c r="A2573" s="5">
        <v>2512</v>
      </c>
      <c r="B2573" s="1832">
        <f>'Acct Summary 7-8'!D17</f>
        <v>864251</v>
      </c>
      <c r="C2573" s="2" t="s">
        <v>569</v>
      </c>
      <c r="D2573" s="2" t="str">
        <f t="shared" si="39"/>
        <v>Error?</v>
      </c>
    </row>
    <row r="2574" spans="1:4" x14ac:dyDescent="0.2">
      <c r="A2574" s="5">
        <v>2513</v>
      </c>
      <c r="B2574" s="1832">
        <f>'Acct Summary 7-8'!D20</f>
        <v>445842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369658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431886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801544</v>
      </c>
      <c r="C2595" s="2" t="s">
        <v>569</v>
      </c>
      <c r="D2595" s="2" t="str">
        <f t="shared" si="39"/>
        <v>Error?</v>
      </c>
    </row>
    <row r="2596" spans="1:4" x14ac:dyDescent="0.2">
      <c r="A2596" s="5">
        <v>2535</v>
      </c>
      <c r="B2596" s="1832">
        <f>'Acct Summary 7-8'!F13</f>
        <v>514408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167647</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682055</v>
      </c>
      <c r="C2600" s="2" t="s">
        <v>569</v>
      </c>
      <c r="D2600" s="2" t="str">
        <f t="shared" si="39"/>
        <v>Error?</v>
      </c>
    </row>
    <row r="2601" spans="1:4" x14ac:dyDescent="0.2">
      <c r="A2601" s="5">
        <v>2540</v>
      </c>
      <c r="B2601" s="1832">
        <f>'Acct Summary 7-8'!F20</f>
        <v>119489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276789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276789</v>
      </c>
      <c r="C2606" s="2" t="s">
        <v>569</v>
      </c>
      <c r="D2606" s="2" t="str">
        <f t="shared" si="39"/>
        <v>Error?</v>
      </c>
    </row>
    <row r="2607" spans="1:4" x14ac:dyDescent="0.2">
      <c r="A2607" s="5">
        <v>2546</v>
      </c>
      <c r="B2607" s="1832">
        <f>'Acct Summary 7-8'!G12</f>
        <v>134101</v>
      </c>
      <c r="C2607" s="2" t="s">
        <v>569</v>
      </c>
      <c r="D2607" s="2" t="str">
        <f t="shared" si="39"/>
        <v>Error?</v>
      </c>
    </row>
    <row r="2608" spans="1:4" x14ac:dyDescent="0.2">
      <c r="A2608" s="5">
        <v>2547</v>
      </c>
      <c r="B2608" s="1832">
        <f>'Acct Summary 7-8'!G13</f>
        <v>204160</v>
      </c>
      <c r="C2608" s="2" t="s">
        <v>569</v>
      </c>
      <c r="D2608" s="2" t="str">
        <f t="shared" si="39"/>
        <v>Error?</v>
      </c>
    </row>
    <row r="2609" spans="1:4" x14ac:dyDescent="0.2">
      <c r="A2609" s="5">
        <v>2548</v>
      </c>
      <c r="B2609" s="1832">
        <f>'Acct Summary 7-8'!G14</f>
        <v>979</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339240</v>
      </c>
      <c r="C2612" s="2" t="s">
        <v>569</v>
      </c>
      <c r="D2612" s="2" t="str">
        <f t="shared" si="39"/>
        <v>Error?</v>
      </c>
    </row>
    <row r="2613" spans="1:4" x14ac:dyDescent="0.2">
      <c r="A2613" s="5">
        <v>2552</v>
      </c>
      <c r="B2613" s="1832">
        <f>'Acct Summary 7-8'!G20</f>
        <v>-62451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512670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512670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663661</v>
      </c>
      <c r="C2634" s="2" t="s">
        <v>569</v>
      </c>
      <c r="D2634" s="2" t="str">
        <f t="shared" si="40"/>
        <v>Error?</v>
      </c>
    </row>
    <row r="2635" spans="1:4" x14ac:dyDescent="0.2">
      <c r="A2635" s="5">
        <v>2574</v>
      </c>
      <c r="B2635" s="1832">
        <f>'Acct Summary 7-8'!E17</f>
        <v>663661</v>
      </c>
      <c r="C2635" s="2" t="s">
        <v>569</v>
      </c>
      <c r="D2635" s="2" t="str">
        <f t="shared" si="40"/>
        <v>Error?</v>
      </c>
    </row>
    <row r="2636" spans="1:4" x14ac:dyDescent="0.2">
      <c r="A2636" s="5">
        <v>2575</v>
      </c>
      <c r="B2636" s="1832">
        <f>'Acct Summary 7-8'!E20</f>
        <v>-150991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22743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22743</v>
      </c>
      <c r="C2658" s="2" t="s">
        <v>569</v>
      </c>
      <c r="D2658" s="2" t="str">
        <f t="shared" si="40"/>
        <v>Error?</v>
      </c>
    </row>
    <row r="2659" spans="1:4" x14ac:dyDescent="0.2">
      <c r="A2659" s="5">
        <v>2598</v>
      </c>
      <c r="B2659" s="1832">
        <f>'Acct Summary 7-8'!H13</f>
        <v>42670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42670</v>
      </c>
      <c r="C2661" s="2" t="s">
        <v>569</v>
      </c>
      <c r="D2661" s="2" t="str">
        <f t="shared" si="40"/>
        <v>Error?</v>
      </c>
    </row>
    <row r="2662" spans="1:4" x14ac:dyDescent="0.2">
      <c r="A2662" s="5">
        <v>2601</v>
      </c>
      <c r="B2662" s="1832">
        <f>'Acct Summary 7-8'!H20</f>
        <v>-19927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1995</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640757</v>
      </c>
      <c r="C2789" s="2" t="s">
        <v>569</v>
      </c>
      <c r="D2789" s="2" t="str">
        <f t="shared" si="42"/>
        <v>Error?</v>
      </c>
    </row>
    <row r="2790" spans="1:4" x14ac:dyDescent="0.2">
      <c r="A2790" s="5">
        <v>2729</v>
      </c>
      <c r="B2790" s="1832">
        <f>'Expenditures 15-22'!E102</f>
        <v>640757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167647</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167647</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1421900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1623583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10952</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286147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1623583</v>
      </c>
      <c r="D2912" s="2" t="str">
        <f t="shared" si="44"/>
        <v>Error?</v>
      </c>
    </row>
    <row r="2913" spans="1:4" x14ac:dyDescent="0.2">
      <c r="A2913" s="5">
        <v>2852</v>
      </c>
      <c r="B2913" s="1832">
        <f>'Assets-Liab 5-6'!I41</f>
        <v>1623583</v>
      </c>
      <c r="C2913" s="2" t="s">
        <v>569</v>
      </c>
      <c r="D2913" s="2" t="str">
        <f t="shared" si="44"/>
        <v>Error?</v>
      </c>
    </row>
    <row r="2914" spans="1:4" x14ac:dyDescent="0.2">
      <c r="A2914" s="5">
        <v>2853</v>
      </c>
      <c r="B2914" s="1832">
        <f>'Assets-Liab 5-6'!L33</f>
        <v>286147</v>
      </c>
      <c r="D2914" s="2" t="str">
        <f t="shared" si="44"/>
        <v>Error?</v>
      </c>
    </row>
    <row r="2915" spans="1:4" x14ac:dyDescent="0.2">
      <c r="A2915" s="10">
        <v>2854</v>
      </c>
      <c r="B2915" s="1832"/>
      <c r="D2915" s="2" t="str">
        <f t="shared" si="44"/>
        <v>OK</v>
      </c>
    </row>
    <row r="2916" spans="1:4" x14ac:dyDescent="0.2">
      <c r="A2916" s="5">
        <v>2855</v>
      </c>
      <c r="B2916" s="1832">
        <f>'Assets-Liab 5-6'!L34</f>
        <v>286147</v>
      </c>
      <c r="C2916" s="2" t="s">
        <v>569</v>
      </c>
      <c r="D2916" s="2" t="str">
        <f t="shared" si="44"/>
        <v>Error?</v>
      </c>
    </row>
    <row r="2917" spans="1:4" x14ac:dyDescent="0.2">
      <c r="A2917" s="5">
        <v>2856</v>
      </c>
      <c r="B2917" s="1832">
        <f>'Assets-Liab 5-6'!L41</f>
        <v>286147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2346</v>
      </c>
      <c r="D2949" s="2" t="str">
        <f t="shared" si="45"/>
        <v>Error?</v>
      </c>
    </row>
    <row r="2950" spans="1:4" x14ac:dyDescent="0.2">
      <c r="A2950" s="5">
        <v>2889</v>
      </c>
      <c r="B2950" s="1832">
        <f>'Expenditures 15-22'!E79</f>
        <v>637357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1054</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2346</v>
      </c>
      <c r="C2973" s="2" t="s">
        <v>569</v>
      </c>
      <c r="D2973" s="2" t="str">
        <f t="shared" si="45"/>
        <v>Error?</v>
      </c>
    </row>
    <row r="2974" spans="1:4" x14ac:dyDescent="0.2">
      <c r="A2974" s="5">
        <v>2913</v>
      </c>
      <c r="B2974" s="1832">
        <f>'Expenditures 15-22'!K79</f>
        <v>637357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1054</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167647</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167647</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1995</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110921</v>
      </c>
      <c r="D3055" s="2" t="str">
        <f t="shared" si="46"/>
        <v>Error?</v>
      </c>
    </row>
    <row r="3056" spans="1:4" x14ac:dyDescent="0.2">
      <c r="A3056" s="5">
        <v>2995</v>
      </c>
      <c r="B3056" s="1832">
        <f>'Expenditures 15-22'!D10</f>
        <v>16677</v>
      </c>
      <c r="D3056" s="2" t="str">
        <f t="shared" si="46"/>
        <v>Error?</v>
      </c>
    </row>
    <row r="3057" spans="1:4" x14ac:dyDescent="0.2">
      <c r="A3057" s="5">
        <v>2996</v>
      </c>
      <c r="B3057" s="1832">
        <f>'Expenditures 15-22'!E10</f>
        <v>58701</v>
      </c>
      <c r="D3057" s="2" t="str">
        <f t="shared" si="46"/>
        <v>Error?</v>
      </c>
    </row>
    <row r="3058" spans="1:4" x14ac:dyDescent="0.2">
      <c r="A3058" s="5">
        <v>2997</v>
      </c>
      <c r="B3058" s="1832">
        <f>'Expenditures 15-22'!F10</f>
        <v>143877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330176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18713</v>
      </c>
      <c r="D3064" s="2" t="str">
        <f t="shared" si="46"/>
        <v>Error?</v>
      </c>
    </row>
    <row r="3065" spans="1:4" x14ac:dyDescent="0.2">
      <c r="A3065" s="5">
        <v>3004</v>
      </c>
      <c r="B3065" s="1832">
        <f>'Expenditures 15-22'!K219</f>
        <v>18713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66533</v>
      </c>
      <c r="C3225" s="2" t="s">
        <v>569</v>
      </c>
      <c r="D3225" s="2" t="str">
        <f t="shared" si="49"/>
        <v>Error?</v>
      </c>
    </row>
    <row r="3226" spans="1:4" x14ac:dyDescent="0.2">
      <c r="A3226" s="5">
        <v>3165</v>
      </c>
      <c r="B3226" s="1832">
        <f>'Acct Summary 7-8'!I8</f>
        <v>66533</v>
      </c>
      <c r="C3226" s="2" t="s">
        <v>569</v>
      </c>
      <c r="D3226" s="2" t="str">
        <f t="shared" si="49"/>
        <v>Error?</v>
      </c>
    </row>
    <row r="3227" spans="1:4" x14ac:dyDescent="0.2">
      <c r="A3227" s="5">
        <v>3166</v>
      </c>
      <c r="B3227" s="1832">
        <f>'Acct Summary 7-8'!I20</f>
        <v>66533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736354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150000</v>
      </c>
      <c r="C3237" s="2" t="s">
        <v>569</v>
      </c>
      <c r="D3237" s="2" t="str">
        <f t="shared" si="49"/>
        <v>Error?</v>
      </c>
    </row>
    <row r="3238" spans="1:4" x14ac:dyDescent="0.2">
      <c r="A3238" s="5">
        <v>3177</v>
      </c>
      <c r="B3238" s="1832">
        <f>'Acct Summary 7-8'!D77</f>
        <v>-150000</v>
      </c>
      <c r="C3238" s="2" t="s">
        <v>569</v>
      </c>
      <c r="D3238" s="2" t="str">
        <f t="shared" si="49"/>
        <v>Error?</v>
      </c>
    </row>
    <row r="3239" spans="1:4" x14ac:dyDescent="0.2">
      <c r="A3239" s="5">
        <v>3178</v>
      </c>
      <c r="B3239" s="1832">
        <f>'Acct Summary 7-8'!D78</f>
        <v>295842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119489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-62451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150000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150000</v>
      </c>
      <c r="C3277" s="2" t="s">
        <v>569</v>
      </c>
      <c r="D3277" s="2" t="str">
        <f t="shared" si="50"/>
        <v>Error?</v>
      </c>
    </row>
    <row r="3278" spans="1:4" x14ac:dyDescent="0.2">
      <c r="A3278" s="5">
        <v>3217</v>
      </c>
      <c r="B3278" s="1832">
        <f>'Acct Summary 7-8'!E78</f>
        <v>-991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8000000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8000000</v>
      </c>
      <c r="C3299" s="2" t="s">
        <v>569</v>
      </c>
      <c r="D3299" s="2" t="str">
        <f t="shared" si="50"/>
        <v>Error?</v>
      </c>
    </row>
    <row r="3300" spans="1:4" x14ac:dyDescent="0.2">
      <c r="A3300" s="5">
        <v>3239</v>
      </c>
      <c r="B3300" s="1832">
        <f>'Acct Summary 7-8'!H78</f>
        <v>7980073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66533</v>
      </c>
      <c r="C3320" s="2" t="s">
        <v>569</v>
      </c>
      <c r="D3320" s="2" t="str">
        <f t="shared" si="50"/>
        <v>Error?</v>
      </c>
    </row>
    <row r="3321" spans="1:4" x14ac:dyDescent="0.2">
      <c r="A3321" s="5">
        <v>3260</v>
      </c>
      <c r="B3321" s="1832">
        <f>'Acct Summary 7-8'!I79</f>
        <v>1557050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1623583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1136308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223310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3185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1362803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43643</v>
      </c>
      <c r="D3387" s="2" t="str">
        <f t="shared" si="51"/>
        <v>Error?</v>
      </c>
    </row>
    <row r="3388" spans="1:4" x14ac:dyDescent="0.2">
      <c r="A3388" s="5">
        <v>3327</v>
      </c>
      <c r="B3388" s="1832">
        <f>'Expenditures 15-22'!D217</f>
        <v>61480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43643</v>
      </c>
      <c r="C3390" s="2" t="s">
        <v>569</v>
      </c>
      <c r="D3390" s="2" t="str">
        <f t="shared" si="51"/>
        <v>Error?</v>
      </c>
    </row>
    <row r="3391" spans="1:4" x14ac:dyDescent="0.2">
      <c r="A3391" s="5">
        <v>3330</v>
      </c>
      <c r="B3391" s="1832">
        <f>'Expenditures 15-22'!K217</f>
        <v>61480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18462</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1506048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1543518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120356</v>
      </c>
      <c r="D3417" s="2" t="str">
        <f t="shared" si="52"/>
        <v>Error?</v>
      </c>
    </row>
    <row r="3418" spans="1:4" x14ac:dyDescent="0.2">
      <c r="A3418" s="10">
        <v>3357</v>
      </c>
      <c r="B3418" s="1832"/>
      <c r="D3418" s="2" t="str">
        <f t="shared" si="52"/>
        <v>OK</v>
      </c>
    </row>
    <row r="3419" spans="1:4" x14ac:dyDescent="0.2">
      <c r="A3419" s="5">
        <v>3358</v>
      </c>
      <c r="B3419" s="1832">
        <f>'Assets-Liab 5-6'!F4</f>
        <v>651054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134764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8304091</v>
      </c>
      <c r="D3425" s="2" t="str">
        <f t="shared" si="52"/>
        <v>Error?</v>
      </c>
    </row>
    <row r="3426" spans="1:4" x14ac:dyDescent="0.2">
      <c r="A3426" s="10">
        <v>3365</v>
      </c>
      <c r="B3426" s="1832"/>
      <c r="D3426" s="2" t="str">
        <f t="shared" si="52"/>
        <v>OK</v>
      </c>
    </row>
    <row r="3427" spans="1:4" x14ac:dyDescent="0.2">
      <c r="A3427" s="5">
        <v>3366</v>
      </c>
      <c r="B3427" s="1832">
        <f>'Assets-Liab 5-6'!I4</f>
        <v>201683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275195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99354</v>
      </c>
      <c r="C3446" s="2" t="s">
        <v>569</v>
      </c>
      <c r="D3446" s="2" t="str">
        <f t="shared" si="52"/>
        <v>Error?</v>
      </c>
    </row>
    <row r="3447" spans="1:4" x14ac:dyDescent="0.2">
      <c r="A3447" s="5">
        <v>3386</v>
      </c>
      <c r="B3447" s="1832">
        <f>'Tax Sched 23'!D16</f>
        <v>97933</v>
      </c>
      <c r="C3447" s="2" t="s">
        <v>569</v>
      </c>
      <c r="D3447" s="2" t="str">
        <f t="shared" si="52"/>
        <v>Error?</v>
      </c>
    </row>
    <row r="3448" spans="1:4" x14ac:dyDescent="0.2">
      <c r="A3448" s="5">
        <v>3387</v>
      </c>
      <c r="B3448" s="1832">
        <f>'Tax Sched 23'!C16</f>
        <v>1421</v>
      </c>
      <c r="D3448" s="2" t="str">
        <f t="shared" si="52"/>
        <v>Error?</v>
      </c>
    </row>
    <row r="3449" spans="1:4" x14ac:dyDescent="0.2">
      <c r="A3449" s="5">
        <v>3388</v>
      </c>
      <c r="B3449" s="1832">
        <f>'Tax Sched 23'!F16</f>
        <v>98576</v>
      </c>
      <c r="C3449" s="2" t="s">
        <v>569</v>
      </c>
      <c r="D3449" s="2" t="str">
        <f t="shared" si="52"/>
        <v>Error?</v>
      </c>
    </row>
    <row r="3450" spans="1:4" x14ac:dyDescent="0.2">
      <c r="A3450" s="5">
        <v>3389</v>
      </c>
      <c r="B3450" s="1832">
        <f>'Tax Sched 23'!E16</f>
        <v>99997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1995</v>
      </c>
      <c r="E3521" s="4" t="s">
        <v>134</v>
      </c>
    </row>
    <row r="3522" spans="1:5" x14ac:dyDescent="0.2">
      <c r="A3522" s="10">
        <v>3461</v>
      </c>
      <c r="B3522" s="1832"/>
      <c r="D3522" s="4" t="s">
        <v>1995</v>
      </c>
      <c r="E3522" s="4" t="s">
        <v>134</v>
      </c>
    </row>
    <row r="3523" spans="1:5" x14ac:dyDescent="0.2">
      <c r="A3523" s="10">
        <v>3462</v>
      </c>
      <c r="B3523" s="1832"/>
      <c r="D3523" s="4" t="s">
        <v>1995</v>
      </c>
      <c r="E3523" s="4" t="s">
        <v>134</v>
      </c>
    </row>
    <row r="3524" spans="1:5" x14ac:dyDescent="0.2">
      <c r="A3524" s="10">
        <v>3463</v>
      </c>
      <c r="B3524" s="1832"/>
      <c r="D3524" s="4" t="s">
        <v>1995</v>
      </c>
      <c r="E3524" s="4" t="s">
        <v>134</v>
      </c>
    </row>
    <row r="3525" spans="1:5" x14ac:dyDescent="0.2">
      <c r="A3525" s="10">
        <v>3464</v>
      </c>
      <c r="B3525" s="1832"/>
      <c r="D3525" s="4" t="s">
        <v>1995</v>
      </c>
      <c r="E3525" s="4" t="s">
        <v>134</v>
      </c>
    </row>
    <row r="3526" spans="1:5" x14ac:dyDescent="0.2">
      <c r="A3526" s="10">
        <v>3465</v>
      </c>
      <c r="B3526" s="1832"/>
      <c r="D3526" s="4" t="s">
        <v>1995</v>
      </c>
      <c r="E3526" s="4" t="s">
        <v>134</v>
      </c>
    </row>
    <row r="3527" spans="1:5" x14ac:dyDescent="0.2">
      <c r="A3527" s="10">
        <v>3466</v>
      </c>
      <c r="B3527" s="1832"/>
      <c r="D3527" s="4" t="s">
        <v>1995</v>
      </c>
      <c r="E3527" s="4" t="s">
        <v>134</v>
      </c>
    </row>
    <row r="3528" spans="1:5" x14ac:dyDescent="0.2">
      <c r="A3528" s="10">
        <v>3467</v>
      </c>
      <c r="B3528" s="1832"/>
      <c r="D3528" s="4" t="s">
        <v>1995</v>
      </c>
      <c r="E3528" s="4" t="s">
        <v>134</v>
      </c>
    </row>
    <row r="3529" spans="1:5" x14ac:dyDescent="0.2">
      <c r="A3529" s="10">
        <v>3468</v>
      </c>
      <c r="B3529" s="1832"/>
      <c r="D3529" s="4" t="s">
        <v>1995</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183287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183287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183287</v>
      </c>
      <c r="D3567" s="2" t="str">
        <f t="shared" si="54"/>
        <v>Error?</v>
      </c>
    </row>
    <row r="3568" spans="1:4" x14ac:dyDescent="0.2">
      <c r="A3568" s="5">
        <v>3507</v>
      </c>
      <c r="B3568" s="1832">
        <f>'Assets-Liab 5-6'!K41</f>
        <v>183287</v>
      </c>
      <c r="C3568" s="2" t="s">
        <v>569</v>
      </c>
      <c r="D3568" s="2" t="str">
        <f t="shared" si="54"/>
        <v>Error?</v>
      </c>
    </row>
    <row r="3569" spans="1:4" x14ac:dyDescent="0.2">
      <c r="A3569" s="5">
        <v>3508</v>
      </c>
      <c r="B3569" s="1832">
        <f>'Acct Summary 7-8'!K4</f>
        <v>68383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68383</v>
      </c>
      <c r="C3571" s="2" t="s">
        <v>569</v>
      </c>
      <c r="D3571" s="2" t="str">
        <f t="shared" si="54"/>
        <v>Error?</v>
      </c>
    </row>
    <row r="3572" spans="1:4" x14ac:dyDescent="0.2">
      <c r="A3572" s="5">
        <v>3511</v>
      </c>
      <c r="B3572" s="1832">
        <f>'Acct Summary 7-8'!K13</f>
        <v>17544</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17544</v>
      </c>
      <c r="C3575" s="2" t="s">
        <v>569</v>
      </c>
      <c r="D3575" s="2" t="str">
        <f t="shared" si="54"/>
        <v>Error?</v>
      </c>
    </row>
    <row r="3576" spans="1:4" x14ac:dyDescent="0.2">
      <c r="A3576" s="5">
        <v>3515</v>
      </c>
      <c r="B3576" s="1832">
        <f>'Acct Summary 7-8'!K20</f>
        <v>50839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50839</v>
      </c>
      <c r="C3588" s="2" t="s">
        <v>569</v>
      </c>
      <c r="D3588" s="2" t="str">
        <f t="shared" si="55"/>
        <v>Error?</v>
      </c>
    </row>
    <row r="3589" spans="1:4" x14ac:dyDescent="0.2">
      <c r="A3589" s="5">
        <v>3528</v>
      </c>
      <c r="B3589" s="1832">
        <f>'Acct Summary 7-8'!K79</f>
        <v>132448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183287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17544</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17544</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17544</v>
      </c>
      <c r="C3642" s="2" t="s">
        <v>569</v>
      </c>
      <c r="D3642" s="2" t="str">
        <f t="shared" si="55"/>
        <v>Error?</v>
      </c>
    </row>
    <row r="3643" spans="1:4" x14ac:dyDescent="0.2">
      <c r="A3643" s="5">
        <v>3582</v>
      </c>
      <c r="B3643" s="1832">
        <f>'Expenditures 15-22'!F367</f>
        <v>17544</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17544</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17544</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17544</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17544</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50839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66532</v>
      </c>
      <c r="C3725" s="2" t="s">
        <v>569</v>
      </c>
      <c r="D3725" s="2" t="str">
        <f t="shared" si="57"/>
        <v>Error?</v>
      </c>
    </row>
    <row r="3726" spans="1:4" x14ac:dyDescent="0.2">
      <c r="A3726" s="5">
        <v>3665</v>
      </c>
      <c r="B3726" s="1832">
        <f>'Tax Sched 23'!D13</f>
        <v>65574</v>
      </c>
      <c r="C3726" s="2" t="s">
        <v>569</v>
      </c>
      <c r="D3726" s="2" t="str">
        <f t="shared" si="57"/>
        <v>Error?</v>
      </c>
    </row>
    <row r="3727" spans="1:4" x14ac:dyDescent="0.2">
      <c r="A3727" s="5">
        <v>3666</v>
      </c>
      <c r="B3727" s="1832">
        <f>'Tax Sched 23'!C13</f>
        <v>958</v>
      </c>
      <c r="D3727" s="2" t="str">
        <f t="shared" si="57"/>
        <v>Error?</v>
      </c>
    </row>
    <row r="3728" spans="1:4" x14ac:dyDescent="0.2">
      <c r="A3728" s="5">
        <v>3667</v>
      </c>
      <c r="B3728" s="1832">
        <f>'Tax Sched 23'!F13</f>
        <v>69088</v>
      </c>
      <c r="C3728" s="2" t="s">
        <v>569</v>
      </c>
      <c r="D3728" s="2" t="str">
        <f t="shared" si="57"/>
        <v>Error?</v>
      </c>
    </row>
    <row r="3729" spans="1:4" x14ac:dyDescent="0.2">
      <c r="A3729" s="5">
        <v>3668</v>
      </c>
      <c r="B3729" s="1832">
        <f>'Tax Sched 23'!E13</f>
        <v>70046</v>
      </c>
      <c r="D3729" s="2" t="str">
        <f t="shared" si="57"/>
        <v>Error?</v>
      </c>
    </row>
    <row r="3730" spans="1:4" x14ac:dyDescent="0.2">
      <c r="A3730" s="5">
        <v>3669</v>
      </c>
      <c r="B3730" s="1832">
        <f>'ICR Computation 30'!E10</f>
        <v>139102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4764371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14527086</v>
      </c>
      <c r="C4122" s="2" t="s">
        <v>569</v>
      </c>
      <c r="D4122" s="2" t="str">
        <f t="shared" si="63"/>
        <v>Error?</v>
      </c>
    </row>
    <row r="4123" spans="1:4" x14ac:dyDescent="0.2">
      <c r="A4123" s="5">
        <v>4062</v>
      </c>
      <c r="B4123" s="1832">
        <f>'Acct Summary 7-8'!D10</f>
        <v>1310093</v>
      </c>
      <c r="C4123" s="2" t="s">
        <v>569</v>
      </c>
      <c r="D4123" s="2" t="str">
        <f t="shared" si="63"/>
        <v>Error?</v>
      </c>
    </row>
    <row r="4124" spans="1:4" x14ac:dyDescent="0.2">
      <c r="A4124" s="5">
        <v>4063</v>
      </c>
      <c r="B4124" s="1832">
        <f>'Acct Summary 7-8'!E10</f>
        <v>512670</v>
      </c>
      <c r="C4124" s="2" t="s">
        <v>569</v>
      </c>
      <c r="D4124" s="2" t="str">
        <f t="shared" si="63"/>
        <v>Error?</v>
      </c>
    </row>
    <row r="4125" spans="1:4" x14ac:dyDescent="0.2">
      <c r="A4125" s="5">
        <v>4064</v>
      </c>
      <c r="B4125" s="1832">
        <f>'Acct Summary 7-8'!F10</f>
        <v>801544</v>
      </c>
      <c r="C4125" s="2" t="s">
        <v>569</v>
      </c>
      <c r="D4125" s="2" t="str">
        <f t="shared" si="63"/>
        <v>Error?</v>
      </c>
    </row>
    <row r="4126" spans="1:4" x14ac:dyDescent="0.2">
      <c r="A4126" s="5">
        <v>4065</v>
      </c>
      <c r="B4126" s="1832">
        <f>'Acct Summary 7-8'!G10</f>
        <v>276789</v>
      </c>
      <c r="C4126" s="2" t="s">
        <v>569</v>
      </c>
      <c r="D4126" s="2" t="str">
        <f t="shared" si="63"/>
        <v>Error?</v>
      </c>
    </row>
    <row r="4127" spans="1:4" x14ac:dyDescent="0.2">
      <c r="A4127" s="5">
        <v>4066</v>
      </c>
      <c r="B4127" s="1832">
        <f>'Acct Summary 7-8'!H10</f>
        <v>22743</v>
      </c>
      <c r="C4127" s="2" t="s">
        <v>569</v>
      </c>
      <c r="D4127" s="2" t="str">
        <f t="shared" si="63"/>
        <v>Error?</v>
      </c>
    </row>
    <row r="4128" spans="1:4" x14ac:dyDescent="0.2">
      <c r="A4128" s="5">
        <v>4067</v>
      </c>
      <c r="B4128" s="1832">
        <f>'Acct Summary 7-8'!I10</f>
        <v>66533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68383</v>
      </c>
      <c r="C4130" s="2" t="s">
        <v>569</v>
      </c>
      <c r="D4130" s="2" t="str">
        <f t="shared" si="63"/>
        <v>Error?</v>
      </c>
    </row>
    <row r="4131" spans="1:4" x14ac:dyDescent="0.2">
      <c r="A4131" s="5">
        <v>4070</v>
      </c>
      <c r="B4131" s="1832">
        <f>'Acct Summary 7-8'!C18</f>
        <v>4764371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13790732</v>
      </c>
      <c r="C4136" s="2" t="s">
        <v>569</v>
      </c>
      <c r="D4136" s="2" t="str">
        <f t="shared" si="63"/>
        <v>Error?</v>
      </c>
    </row>
    <row r="4137" spans="1:4" x14ac:dyDescent="0.2">
      <c r="A4137" s="5">
        <v>4076</v>
      </c>
      <c r="B4137" s="1832">
        <f>'Acct Summary 7-8'!D19</f>
        <v>864251</v>
      </c>
      <c r="C4137" s="2" t="s">
        <v>569</v>
      </c>
      <c r="D4137" s="2" t="str">
        <f t="shared" si="63"/>
        <v>Error?</v>
      </c>
    </row>
    <row r="4138" spans="1:4" x14ac:dyDescent="0.2">
      <c r="A4138" s="5">
        <v>4077</v>
      </c>
      <c r="B4138" s="1832">
        <f>'Acct Summary 7-8'!E19</f>
        <v>663661</v>
      </c>
      <c r="C4138" s="2" t="s">
        <v>569</v>
      </c>
      <c r="D4138" s="2" t="str">
        <f t="shared" si="63"/>
        <v>Error?</v>
      </c>
    </row>
    <row r="4139" spans="1:4" x14ac:dyDescent="0.2">
      <c r="A4139" s="5">
        <v>4078</v>
      </c>
      <c r="B4139" s="1832">
        <f>'Acct Summary 7-8'!F19</f>
        <v>682055</v>
      </c>
      <c r="C4139" s="2" t="s">
        <v>569</v>
      </c>
      <c r="D4139" s="2" t="str">
        <f t="shared" si="63"/>
        <v>Error?</v>
      </c>
    </row>
    <row r="4140" spans="1:4" x14ac:dyDescent="0.2">
      <c r="A4140" s="5">
        <v>4079</v>
      </c>
      <c r="B4140" s="1832">
        <f>'Acct Summary 7-8'!G19</f>
        <v>339240</v>
      </c>
      <c r="C4140" s="2" t="s">
        <v>569</v>
      </c>
      <c r="D4140" s="2" t="str">
        <f t="shared" si="63"/>
        <v>Error?</v>
      </c>
    </row>
    <row r="4141" spans="1:4" x14ac:dyDescent="0.2">
      <c r="A4141" s="5">
        <v>4080</v>
      </c>
      <c r="B4141" s="1832">
        <f>'Acct Summary 7-8'!H19</f>
        <v>42670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17544</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12294300</v>
      </c>
      <c r="C4171" s="2" t="s">
        <v>569</v>
      </c>
      <c r="D4171" s="2" t="str">
        <f t="shared" si="64"/>
        <v>Error?</v>
      </c>
    </row>
    <row r="4172" spans="1:4" x14ac:dyDescent="0.2">
      <c r="A4172" s="5">
        <v>4111</v>
      </c>
      <c r="B4172" s="1832">
        <f>'Short-Term Long-Term Debt 24'!J49</f>
        <v>12173944</v>
      </c>
      <c r="C4172" s="2" t="s">
        <v>569</v>
      </c>
      <c r="D4172" s="2" t="str">
        <f t="shared" si="64"/>
        <v>Error?</v>
      </c>
    </row>
    <row r="4173" spans="1:4" x14ac:dyDescent="0.2">
      <c r="A4173" s="5">
        <v>4112</v>
      </c>
      <c r="B4173" s="1832">
        <f>'Short-Term Long-Term Debt 24'!H49</f>
        <v>480100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1897</v>
      </c>
    </row>
    <row r="4236" spans="1:5" x14ac:dyDescent="0.2">
      <c r="A4236" s="10">
        <v>4175</v>
      </c>
      <c r="B4236" s="1832"/>
      <c r="D4236" s="2" t="str">
        <f t="shared" si="65"/>
        <v>OK</v>
      </c>
      <c r="E4236" s="4" t="s">
        <v>1897</v>
      </c>
    </row>
    <row r="4237" spans="1:5" x14ac:dyDescent="0.2">
      <c r="A4237" s="10">
        <v>4176</v>
      </c>
      <c r="B4237" s="1832"/>
      <c r="D4237" s="2" t="str">
        <f t="shared" si="65"/>
        <v>OK</v>
      </c>
      <c r="E4237" s="4" t="s">
        <v>1897</v>
      </c>
    </row>
    <row r="4238" spans="1:5" x14ac:dyDescent="0.2">
      <c r="A4238" s="10">
        <v>4177</v>
      </c>
      <c r="B4238" s="1832"/>
      <c r="D4238" s="2" t="str">
        <f t="shared" si="65"/>
        <v>OK</v>
      </c>
      <c r="E4238" s="4" t="s">
        <v>1897</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3599.9999999999995</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4300</v>
      </c>
      <c r="C4268" s="2" t="s">
        <v>569</v>
      </c>
      <c r="D4268" s="2" t="str">
        <f t="shared" si="65"/>
        <v>Error?</v>
      </c>
    </row>
    <row r="4269" spans="1:5" x14ac:dyDescent="0.2">
      <c r="A4269" s="12">
        <v>4208</v>
      </c>
      <c r="B4269" s="1832">
        <f>'FP Info 3'!J16</f>
        <v>8175153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4144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9952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1897</v>
      </c>
    </row>
    <row r="4400" spans="1:5" x14ac:dyDescent="0.2">
      <c r="A4400" s="10">
        <v>4339</v>
      </c>
      <c r="B4400" s="1832"/>
      <c r="D4400" s="2" t="str">
        <f t="shared" si="67"/>
        <v>OK</v>
      </c>
      <c r="E4400" s="4" t="s">
        <v>1897</v>
      </c>
    </row>
    <row r="4401" spans="1:5" x14ac:dyDescent="0.2">
      <c r="A4401" s="10">
        <v>4340</v>
      </c>
      <c r="B4401" s="1832"/>
      <c r="D4401" s="2" t="str">
        <f t="shared" si="67"/>
        <v>OK</v>
      </c>
      <c r="E4401" s="4" t="s">
        <v>1897</v>
      </c>
    </row>
    <row r="4402" spans="1:5" x14ac:dyDescent="0.2">
      <c r="A4402" s="10">
        <v>4341</v>
      </c>
      <c r="B4402" s="1832"/>
      <c r="D4402" s="2" t="str">
        <f t="shared" si="67"/>
        <v>OK</v>
      </c>
      <c r="E4402" s="4" t="s">
        <v>1897</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23756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48611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140091176</v>
      </c>
      <c r="D4995" s="2" t="str">
        <f t="shared" si="77"/>
        <v>Error?</v>
      </c>
    </row>
    <row r="4996" spans="1:4" x14ac:dyDescent="0.2">
      <c r="A4996" s="12">
        <v>4935</v>
      </c>
      <c r="B4996" s="1832">
        <f>'FP Info 3'!H31</f>
        <v>19332582.288000003</v>
      </c>
      <c r="D4996" s="2" t="str">
        <f t="shared" si="77"/>
        <v>Error?</v>
      </c>
    </row>
    <row r="4997" spans="1:4" x14ac:dyDescent="0.2">
      <c r="A4997" s="12">
        <v>4936</v>
      </c>
      <c r="B4997" s="1832">
        <f>'FP Info 3'!H37</f>
        <v>12294300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66532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4790327</v>
      </c>
      <c r="D5061" s="2" t="str">
        <f t="shared" si="78"/>
        <v>Error?</v>
      </c>
    </row>
    <row r="5062" spans="1:4" x14ac:dyDescent="0.2">
      <c r="A5062" s="10">
        <v>5001</v>
      </c>
      <c r="B5062" s="1832"/>
      <c r="D5062" s="2" t="str">
        <f t="shared" si="78"/>
        <v>OK</v>
      </c>
    </row>
    <row r="5063" spans="1:4" x14ac:dyDescent="0.2">
      <c r="A5063" s="5">
        <v>5002</v>
      </c>
      <c r="B5063" s="1832">
        <f>'Revenues 9-14'!C7</f>
        <v>53226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4910085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428368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428368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75</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75</v>
      </c>
      <c r="C5087" s="2" t="s">
        <v>569</v>
      </c>
      <c r="D5087" s="2" t="str">
        <f t="shared" si="78"/>
        <v>Error?</v>
      </c>
    </row>
    <row r="5088" spans="1:4" x14ac:dyDescent="0.2">
      <c r="A5088" s="5">
        <v>5027</v>
      </c>
      <c r="B5088" s="1832">
        <f>'Revenues 9-14'!C65</f>
        <v>253355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253355</v>
      </c>
      <c r="C5090" s="2" t="s">
        <v>569</v>
      </c>
      <c r="D5090" s="2" t="str">
        <f t="shared" si="78"/>
        <v>Error?</v>
      </c>
    </row>
    <row r="5091" spans="1:4" x14ac:dyDescent="0.2">
      <c r="A5091" s="5">
        <v>5030</v>
      </c>
      <c r="B5091" s="1832">
        <f>'Revenues 9-14'!C70</f>
        <v>4416</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1759</v>
      </c>
      <c r="D5094" s="2" t="str">
        <f t="shared" si="78"/>
        <v>Error?</v>
      </c>
    </row>
    <row r="5095" spans="1:4" x14ac:dyDescent="0.2">
      <c r="A5095" s="5">
        <v>5034</v>
      </c>
      <c r="B5095" s="1832">
        <f>'Revenues 9-14'!C74</f>
        <v>8088</v>
      </c>
      <c r="D5095" s="2" t="str">
        <f t="shared" si="78"/>
        <v>Error?</v>
      </c>
    </row>
    <row r="5096" spans="1:4" x14ac:dyDescent="0.2">
      <c r="A5096" s="5">
        <v>5035</v>
      </c>
      <c r="B5096" s="1832">
        <f>'Revenues 9-14'!C75</f>
        <v>73205</v>
      </c>
      <c r="C5096" s="2" t="s">
        <v>569</v>
      </c>
      <c r="D5096" s="2" t="str">
        <f t="shared" si="78"/>
        <v>Error?</v>
      </c>
    </row>
    <row r="5097" spans="1:4" x14ac:dyDescent="0.2">
      <c r="A5097" s="5">
        <v>5036</v>
      </c>
      <c r="B5097" s="1832">
        <f>'Revenues 9-14'!C77</f>
        <v>37740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15990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53730</v>
      </c>
      <c r="C5102" s="2" t="s">
        <v>569</v>
      </c>
      <c r="D5102" s="2" t="str">
        <f t="shared" si="78"/>
        <v>Error?</v>
      </c>
    </row>
    <row r="5103" spans="1:4" x14ac:dyDescent="0.2">
      <c r="A5103" s="5">
        <v>5042</v>
      </c>
      <c r="B5103" s="1832">
        <f>'Revenues 9-14'!C84</f>
        <v>68458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68458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4000</v>
      </c>
      <c r="D5114" s="2" t="str">
        <f t="shared" si="78"/>
        <v>Error?</v>
      </c>
    </row>
    <row r="5115" spans="1:4" x14ac:dyDescent="0.2">
      <c r="A5115" s="5">
        <v>5054</v>
      </c>
      <c r="B5115" s="1832">
        <f>'Revenues 9-14'!C98</f>
        <v>18913</v>
      </c>
      <c r="D5115" s="2" t="str">
        <f t="shared" si="78"/>
        <v>Error?</v>
      </c>
    </row>
    <row r="5116" spans="1:4" x14ac:dyDescent="0.2">
      <c r="A5116" s="5">
        <v>5055</v>
      </c>
      <c r="B5116" s="1832">
        <f>'Revenues 9-14'!C99</f>
        <v>88254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712</v>
      </c>
      <c r="D5119" s="2" t="str">
        <f t="shared" ref="D5119:D5182" si="79">IF(ISBLANK(B5119),"OK",IF(A5119-B5119=0,"OK","Error?"))</f>
        <v>Error?</v>
      </c>
    </row>
    <row r="5120" spans="1:4" x14ac:dyDescent="0.2">
      <c r="A5120" s="5">
        <v>5059</v>
      </c>
      <c r="B5120" s="1832">
        <f>'Revenues 9-14'!C108</f>
        <v>265479</v>
      </c>
      <c r="C5120" s="2" t="s">
        <v>569</v>
      </c>
      <c r="D5120" s="2" t="str">
        <f t="shared" si="79"/>
        <v>Error?</v>
      </c>
    </row>
    <row r="5121" spans="1:4" x14ac:dyDescent="0.2">
      <c r="A5121" s="5">
        <v>5060</v>
      </c>
      <c r="B5121" s="1832">
        <f>'Revenues 9-14'!C109</f>
        <v>6052755</v>
      </c>
      <c r="C5121" s="2" t="s">
        <v>569</v>
      </c>
      <c r="D5121" s="2" t="str">
        <f t="shared" si="79"/>
        <v>Error?</v>
      </c>
    </row>
    <row r="5122" spans="1:4" x14ac:dyDescent="0.2">
      <c r="A5122" s="5">
        <v>5061</v>
      </c>
      <c r="B5122" s="1832">
        <f>'Revenues 9-14'!C111</f>
        <v>18462</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18462</v>
      </c>
      <c r="C5125" s="2" t="s">
        <v>569</v>
      </c>
      <c r="D5125" s="2" t="str">
        <f t="shared" si="79"/>
        <v>Error?</v>
      </c>
    </row>
    <row r="5126" spans="1:4" x14ac:dyDescent="0.2">
      <c r="A5126" s="5">
        <v>5065</v>
      </c>
      <c r="B5126" s="1832">
        <f>'Revenues 9-14'!C117</f>
        <v>2694323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2694323</v>
      </c>
      <c r="C5132" s="2" t="s">
        <v>569</v>
      </c>
      <c r="D5132" s="2" t="str">
        <f t="shared" si="79"/>
        <v>Error?</v>
      </c>
    </row>
    <row r="5133" spans="1:4" x14ac:dyDescent="0.2">
      <c r="A5133" s="5">
        <v>5072</v>
      </c>
      <c r="B5133" s="1832">
        <f>'Revenues 9-14'!C125</f>
        <v>156316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6794</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163110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10946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1938</v>
      </c>
      <c r="D5167" s="2" t="str">
        <f t="shared" si="79"/>
        <v>Error?</v>
      </c>
    </row>
    <row r="5168" spans="1:4" x14ac:dyDescent="0.2">
      <c r="A5168" s="5">
        <v>5107</v>
      </c>
      <c r="B5168" s="1832">
        <f>'Revenues 9-14'!C148</f>
        <v>8447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1897</v>
      </c>
    </row>
    <row r="5200" spans="1:5" x14ac:dyDescent="0.2">
      <c r="A5200" s="10">
        <v>5139</v>
      </c>
      <c r="B5200" s="1832"/>
      <c r="D5200" s="2" t="str">
        <f t="shared" si="80"/>
        <v>OK</v>
      </c>
      <c r="E5200" s="4" t="s">
        <v>1897</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184441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2878764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103936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28464</v>
      </c>
      <c r="D5241" s="2" t="str">
        <f t="shared" si="80"/>
        <v>Error?</v>
      </c>
    </row>
    <row r="5242" spans="1:4" x14ac:dyDescent="0.2">
      <c r="A5242" s="5">
        <v>5181</v>
      </c>
      <c r="B5242" s="1832">
        <f>'Revenues 9-14'!C194</f>
        <v>50915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183315</v>
      </c>
      <c r="C5246" s="2" t="s">
        <v>569</v>
      </c>
      <c r="D5246" s="2" t="str">
        <f t="shared" si="80"/>
        <v>Error?</v>
      </c>
    </row>
    <row r="5247" spans="1:4" x14ac:dyDescent="0.2">
      <c r="A5247" s="5">
        <v>5186</v>
      </c>
      <c r="B5247" s="1832">
        <f>'Revenues 9-14'!C200</f>
        <v>327289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1897</v>
      </c>
    </row>
    <row r="5255" spans="1:5" x14ac:dyDescent="0.2">
      <c r="A5255" s="5">
        <v>5194</v>
      </c>
      <c r="B5255" s="1832">
        <f>'Revenues 9-14'!C202</f>
        <v>0</v>
      </c>
      <c r="D5255" s="2" t="str">
        <f t="shared" si="81"/>
        <v>Error?</v>
      </c>
    </row>
    <row r="5256" spans="1:5" x14ac:dyDescent="0.2">
      <c r="A5256" s="5">
        <v>5195</v>
      </c>
      <c r="B5256" s="1832">
        <f>'Revenues 9-14'!C206</f>
        <v>23756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327289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8172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207495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215667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1897</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812734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812734</v>
      </c>
      <c r="C5326" s="2" t="s">
        <v>569</v>
      </c>
      <c r="D5326" s="2" t="str">
        <f t="shared" si="82"/>
        <v>Error?</v>
      </c>
    </row>
    <row r="5327" spans="1:5" x14ac:dyDescent="0.2">
      <c r="A5327" s="5">
        <v>5266</v>
      </c>
      <c r="B5327" s="1832">
        <f>'Revenues 9-14'!C268</f>
        <v>9762715</v>
      </c>
      <c r="C5327" s="2" t="s">
        <v>569</v>
      </c>
      <c r="D5327" s="2" t="str">
        <f t="shared" si="82"/>
        <v>Error?</v>
      </c>
    </row>
    <row r="5328" spans="1:5" x14ac:dyDescent="0.2">
      <c r="A5328" s="5">
        <v>5267</v>
      </c>
      <c r="B5328" s="1832">
        <f>'Revenues 9-14'!D5</f>
        <v>665323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665323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41182</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41182</v>
      </c>
      <c r="C5339" s="2" t="s">
        <v>569</v>
      </c>
      <c r="D5339" s="2" t="str">
        <f t="shared" si="82"/>
        <v>Error?</v>
      </c>
    </row>
    <row r="5340" spans="1:4" x14ac:dyDescent="0.2">
      <c r="A5340" s="5">
        <v>5279</v>
      </c>
      <c r="B5340" s="1832">
        <f>'Revenues 9-14'!D65</f>
        <v>6804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6804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1500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33288</v>
      </c>
      <c r="D5354" s="2" t="str">
        <f t="shared" si="82"/>
        <v>Error?</v>
      </c>
    </row>
    <row r="5355" spans="1:4" x14ac:dyDescent="0.2">
      <c r="A5355" s="5">
        <v>5294</v>
      </c>
      <c r="B5355" s="1832">
        <f>'Revenues 9-14'!D108</f>
        <v>546784</v>
      </c>
      <c r="C5355" s="2" t="s">
        <v>569</v>
      </c>
      <c r="D5355" s="2" t="str">
        <f t="shared" si="82"/>
        <v>Error?</v>
      </c>
    </row>
    <row r="5356" spans="1:4" x14ac:dyDescent="0.2">
      <c r="A5356" s="5">
        <v>5295</v>
      </c>
      <c r="B5356" s="1832">
        <f>'Revenues 9-14'!D109</f>
        <v>1260093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1897</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1310093</v>
      </c>
      <c r="C5508" s="2" t="s">
        <v>569</v>
      </c>
      <c r="D5508" s="2" t="str">
        <f t="shared" si="85"/>
        <v>Error?</v>
      </c>
    </row>
    <row r="5509" spans="1:4" x14ac:dyDescent="0.2">
      <c r="A5509" s="5">
        <v>5448</v>
      </c>
      <c r="B5509" s="1832">
        <f>'Revenues 9-14'!E5</f>
        <v>510484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510484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2186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2186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512670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512670</v>
      </c>
      <c r="C5552" s="2" t="s">
        <v>569</v>
      </c>
      <c r="D5552" s="2" t="str">
        <f t="shared" si="85"/>
        <v>Error?</v>
      </c>
    </row>
    <row r="5553" spans="1:4" x14ac:dyDescent="0.2">
      <c r="A5553" s="5">
        <v>5492</v>
      </c>
      <c r="B5553" s="1832">
        <f>'Revenues 9-14'!F5</f>
        <v>266129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266129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100000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100000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3529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3529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369658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313227</v>
      </c>
      <c r="D5615" s="2" t="str">
        <f t="shared" si="86"/>
        <v>Error?</v>
      </c>
    </row>
    <row r="5616" spans="1:4" x14ac:dyDescent="0.2">
      <c r="A5616" s="10">
        <v>5555</v>
      </c>
      <c r="B5616" s="1832"/>
      <c r="D5616" s="2" t="str">
        <f t="shared" si="86"/>
        <v>OK</v>
      </c>
    </row>
    <row r="5617" spans="1:5" x14ac:dyDescent="0.2">
      <c r="A5617" s="5">
        <v>5556</v>
      </c>
      <c r="B5617" s="1832">
        <f>'Revenues 9-14'!F153</f>
        <v>118659</v>
      </c>
      <c r="D5617" s="2" t="str">
        <f t="shared" si="86"/>
        <v>Error?</v>
      </c>
    </row>
    <row r="5618" spans="1:5" x14ac:dyDescent="0.2">
      <c r="A5618" s="5">
        <v>5557</v>
      </c>
      <c r="B5618" s="1832">
        <f>'Revenues 9-14'!F155</f>
        <v>431886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1897</v>
      </c>
    </row>
    <row r="5631" spans="1:5" x14ac:dyDescent="0.2">
      <c r="A5631" s="10">
        <v>5570</v>
      </c>
      <c r="B5631" s="1832"/>
      <c r="D5631" s="2" t="str">
        <f t="shared" ref="D5631:D5694" si="87">IF(ISBLANK(B5631),"OK",IF(A5631-B5631=0,"OK","Error?"))</f>
        <v>OK</v>
      </c>
      <c r="E5631" s="4" t="s">
        <v>1897</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431886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431886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1897</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1897</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801544</v>
      </c>
      <c r="C5720" s="2" t="s">
        <v>569</v>
      </c>
      <c r="D5720" s="2" t="str">
        <f t="shared" si="88"/>
        <v>Error?</v>
      </c>
    </row>
    <row r="5721" spans="1:4" x14ac:dyDescent="0.2">
      <c r="A5721" s="5">
        <v>5660</v>
      </c>
      <c r="B5721" s="1832">
        <f>'Revenues 9-14'!G5</f>
        <v>124653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99354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224007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50000</v>
      </c>
      <c r="C5730" s="2" t="s">
        <v>569</v>
      </c>
      <c r="D5730" s="2" t="str">
        <f t="shared" si="88"/>
        <v>Error?</v>
      </c>
    </row>
    <row r="5731" spans="1:4" x14ac:dyDescent="0.2">
      <c r="A5731" s="5">
        <v>5670</v>
      </c>
      <c r="B5731" s="1832">
        <f>'Revenues 9-14'!G65</f>
        <v>2782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2782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1897</v>
      </c>
    </row>
    <row r="5768" spans="1:5" x14ac:dyDescent="0.2">
      <c r="A5768" s="10">
        <v>5707</v>
      </c>
      <c r="B5768" s="1832"/>
      <c r="D5768" s="2" t="str">
        <f t="shared" si="89"/>
        <v>OK</v>
      </c>
      <c r="E5768" s="4" t="s">
        <v>1897</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1897</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1897</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276789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2286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2286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20457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22743</v>
      </c>
      <c r="C5915" s="2" t="s">
        <v>569</v>
      </c>
      <c r="D5915" s="2" t="str">
        <f t="shared" si="91"/>
        <v>Error?</v>
      </c>
    </row>
    <row r="5916" spans="1:4" x14ac:dyDescent="0.2">
      <c r="A5916" s="5">
        <v>5855</v>
      </c>
      <c r="B5916" s="1832">
        <f>'Revenues 9-14'!I5</f>
        <v>66533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66533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66533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66532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66532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1851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1851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68383</v>
      </c>
      <c r="C6023" s="2" t="s">
        <v>569</v>
      </c>
      <c r="D6023" s="2" t="str">
        <f t="shared" si="93"/>
        <v>Error?</v>
      </c>
    </row>
    <row r="6024" spans="1:5" x14ac:dyDescent="0.2">
      <c r="A6024" s="5">
        <v>5963</v>
      </c>
      <c r="B6024" s="1832">
        <f>'Revenues 9-14'!G109</f>
        <v>276789</v>
      </c>
      <c r="C6024" s="2" t="s">
        <v>569</v>
      </c>
      <c r="D6024" s="2" t="str">
        <f t="shared" si="93"/>
        <v>Error?</v>
      </c>
    </row>
    <row r="6025" spans="1:5" x14ac:dyDescent="0.2">
      <c r="A6025" s="5">
        <v>5964</v>
      </c>
      <c r="B6025" s="1832">
        <f>'Revenues 9-14'!H109</f>
        <v>22743</v>
      </c>
      <c r="C6025" s="2" t="s">
        <v>569</v>
      </c>
      <c r="D6025" s="2" t="str">
        <f t="shared" si="93"/>
        <v>Error?</v>
      </c>
    </row>
    <row r="6026" spans="1:5" x14ac:dyDescent="0.2">
      <c r="A6026" s="5">
        <v>5965</v>
      </c>
      <c r="B6026" s="1832">
        <f>'Revenues 9-14'!I109</f>
        <v>66533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68383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58942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25232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982.1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36714</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96836</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6680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959046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36714</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36714</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922332</v>
      </c>
      <c r="D6215" s="2" t="str">
        <f t="shared" si="96"/>
        <v>Error?</v>
      </c>
      <c r="E6215" s="2" t="s">
        <v>189</v>
      </c>
    </row>
    <row r="6216" spans="1:5" x14ac:dyDescent="0.2">
      <c r="A6216">
        <v>6155</v>
      </c>
      <c r="B6216" s="1832">
        <f>'Assets-Liab 5-6'!J41</f>
        <v>959046</v>
      </c>
      <c r="D6216" s="2" t="str">
        <f t="shared" si="96"/>
        <v>Error?</v>
      </c>
      <c r="E6216" s="2" t="s">
        <v>189</v>
      </c>
    </row>
    <row r="6217" spans="1:5" x14ac:dyDescent="0.2">
      <c r="A6217">
        <v>6156</v>
      </c>
      <c r="B6217" s="1832">
        <f>'Assets-Liab 5-6'!J4</f>
        <v>952366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870426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870426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870426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878940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878940</v>
      </c>
      <c r="D6229" s="2" t="str">
        <f t="shared" si="96"/>
        <v>Error?</v>
      </c>
      <c r="E6229" s="2" t="s">
        <v>189</v>
      </c>
    </row>
    <row r="6230" spans="1:5" x14ac:dyDescent="0.2">
      <c r="A6230">
        <v>6169</v>
      </c>
      <c r="B6230" s="1832">
        <f>'Acct Summary 7-8'!J20</f>
        <v>-8514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-8514</v>
      </c>
      <c r="D6263" s="2" t="str">
        <f t="shared" si="96"/>
        <v>Error?</v>
      </c>
      <c r="E6263" s="2" t="s">
        <v>189</v>
      </c>
    </row>
    <row r="6264" spans="1:5" x14ac:dyDescent="0.2">
      <c r="A6264">
        <v>6203</v>
      </c>
      <c r="B6264" s="1832">
        <f>'Acct Summary 7-8'!J79</f>
        <v>930846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922332</v>
      </c>
      <c r="D6266" s="2" t="str">
        <f t="shared" si="96"/>
        <v>Error?</v>
      </c>
      <c r="E6266" s="2" t="s">
        <v>189</v>
      </c>
    </row>
    <row r="6267" spans="1:5" x14ac:dyDescent="0.2">
      <c r="A6267">
        <v>6206</v>
      </c>
      <c r="B6267" s="1832">
        <f>'Acct Summary 7-8'!C82</f>
        <v>736354</v>
      </c>
      <c r="D6267" s="2" t="str">
        <f t="shared" si="96"/>
        <v>Error?</v>
      </c>
      <c r="E6267" s="2" t="s">
        <v>189</v>
      </c>
    </row>
    <row r="6268" spans="1:5" x14ac:dyDescent="0.2">
      <c r="A6268">
        <v>6207</v>
      </c>
      <c r="B6268" s="1832">
        <f>'Acct Summary 7-8'!D82</f>
        <v>295842</v>
      </c>
      <c r="D6268" s="2" t="str">
        <f t="shared" si="96"/>
        <v>Error?</v>
      </c>
      <c r="E6268" s="2" t="s">
        <v>189</v>
      </c>
    </row>
    <row r="6269" spans="1:5" x14ac:dyDescent="0.2">
      <c r="A6269">
        <v>6208</v>
      </c>
      <c r="B6269" s="1832">
        <f>'Acct Summary 7-8'!E82</f>
        <v>-991</v>
      </c>
      <c r="D6269" s="2" t="str">
        <f t="shared" si="96"/>
        <v>Error?</v>
      </c>
      <c r="E6269" s="2" t="s">
        <v>189</v>
      </c>
    </row>
    <row r="6270" spans="1:5" x14ac:dyDescent="0.2">
      <c r="A6270">
        <v>6209</v>
      </c>
      <c r="B6270" s="1832">
        <f>'Acct Summary 7-8'!F82</f>
        <v>119489</v>
      </c>
      <c r="D6270" s="2" t="str">
        <f t="shared" si="96"/>
        <v>Error?</v>
      </c>
      <c r="E6270" s="2" t="s">
        <v>189</v>
      </c>
    </row>
    <row r="6271" spans="1:5" x14ac:dyDescent="0.2">
      <c r="A6271">
        <v>6210</v>
      </c>
      <c r="B6271" s="1832">
        <f>'Acct Summary 7-8'!G82</f>
        <v>-62451</v>
      </c>
      <c r="D6271" s="2" t="str">
        <f t="shared" ref="D6271:D6334" si="97">IF(ISBLANK(B6271),"OK",IF(A6271-B6271=0,"OK","Error?"))</f>
        <v>Error?</v>
      </c>
      <c r="E6271" s="2" t="s">
        <v>189</v>
      </c>
    </row>
    <row r="6272" spans="1:5" x14ac:dyDescent="0.2">
      <c r="A6272">
        <v>6211</v>
      </c>
      <c r="B6272" s="1832">
        <f>'Acct Summary 7-8'!H82</f>
        <v>7980073</v>
      </c>
      <c r="D6272" s="2" t="str">
        <f t="shared" si="97"/>
        <v>Error?</v>
      </c>
      <c r="E6272" s="2" t="s">
        <v>189</v>
      </c>
    </row>
    <row r="6273" spans="1:5" x14ac:dyDescent="0.2">
      <c r="A6273">
        <v>6212</v>
      </c>
      <c r="B6273" s="1832">
        <f>'Acct Summary 7-8'!I82</f>
        <v>66533</v>
      </c>
      <c r="D6273" s="2" t="str">
        <f t="shared" si="97"/>
        <v>Error?</v>
      </c>
      <c r="E6273" s="2" t="s">
        <v>189</v>
      </c>
    </row>
    <row r="6274" spans="1:5" x14ac:dyDescent="0.2">
      <c r="A6274">
        <v>6213</v>
      </c>
      <c r="B6274" s="1832">
        <f>'Acct Summary 7-8'!J82</f>
        <v>-8514</v>
      </c>
      <c r="D6274" s="2" t="str">
        <f t="shared" si="97"/>
        <v>Error?</v>
      </c>
      <c r="E6274" s="2" t="s">
        <v>189</v>
      </c>
    </row>
    <row r="6275" spans="1:5" x14ac:dyDescent="0.2">
      <c r="A6275">
        <v>6214</v>
      </c>
      <c r="B6275" s="1832">
        <f>'Acct Summary 7-8'!K82</f>
        <v>50839</v>
      </c>
      <c r="D6275" s="2" t="str">
        <f t="shared" si="97"/>
        <v>Error?</v>
      </c>
      <c r="E6275" s="2" t="s">
        <v>189</v>
      </c>
    </row>
    <row r="6276" spans="1:5" x14ac:dyDescent="0.2">
      <c r="A6276">
        <v>6215</v>
      </c>
      <c r="B6276" s="1832">
        <f>'Acct Summary 7-8'!C83</f>
        <v>0.16900489740872041</v>
      </c>
      <c r="D6276" s="2" t="str">
        <f t="shared" si="97"/>
        <v>Error?</v>
      </c>
      <c r="E6276" s="2" t="s">
        <v>189</v>
      </c>
    </row>
    <row r="6277" spans="1:5" x14ac:dyDescent="0.2">
      <c r="A6277">
        <v>6216</v>
      </c>
      <c r="B6277" s="1832">
        <f>'Acct Summary 7-8'!D83</f>
        <v>0.19166734693084239</v>
      </c>
      <c r="D6277" s="2" t="str">
        <f t="shared" si="97"/>
        <v>Error?</v>
      </c>
      <c r="E6277" s="2" t="s">
        <v>189</v>
      </c>
    </row>
    <row r="6278" spans="1:5" x14ac:dyDescent="0.2">
      <c r="A6278">
        <v>6217</v>
      </c>
      <c r="B6278" s="1832">
        <f>'Acct Summary 7-8'!E83</f>
        <v>-8.2339060786333872E-3</v>
      </c>
      <c r="D6278" s="2" t="str">
        <f t="shared" si="97"/>
        <v>Error?</v>
      </c>
      <c r="E6278" s="2" t="s">
        <v>189</v>
      </c>
    </row>
    <row r="6279" spans="1:5" x14ac:dyDescent="0.2">
      <c r="A6279">
        <v>6218</v>
      </c>
      <c r="B6279" s="1832">
        <f>'Acct Summary 7-8'!F83</f>
        <v>0.18353162717685476</v>
      </c>
      <c r="D6279" s="2" t="str">
        <f t="shared" si="97"/>
        <v>Error?</v>
      </c>
      <c r="E6279" s="2" t="s">
        <v>189</v>
      </c>
    </row>
    <row r="6280" spans="1:5" x14ac:dyDescent="0.2">
      <c r="A6280">
        <v>6219</v>
      </c>
      <c r="B6280" s="1832">
        <f>'Acct Summary 7-8'!G83</f>
        <v>-0.46341010952479889</v>
      </c>
      <c r="D6280" s="2" t="str">
        <f t="shared" si="97"/>
        <v>Error?</v>
      </c>
      <c r="E6280" s="2" t="s">
        <v>189</v>
      </c>
    </row>
    <row r="6281" spans="1:5" x14ac:dyDescent="0.2">
      <c r="A6281">
        <v>6220</v>
      </c>
      <c r="B6281" s="1832">
        <f>'Acct Summary 7-8'!H83</f>
        <v>0.96098091892297421</v>
      </c>
      <c r="D6281" s="2" t="str">
        <f t="shared" si="97"/>
        <v>Error?</v>
      </c>
      <c r="E6281" s="2" t="s">
        <v>189</v>
      </c>
    </row>
    <row r="6282" spans="1:5" x14ac:dyDescent="0.2">
      <c r="A6282">
        <v>6221</v>
      </c>
      <c r="B6282" s="1832">
        <f>'Acct Summary 7-8'!I83</f>
        <v>4.09791184066352E-2</v>
      </c>
      <c r="D6282" s="2" t="str">
        <f t="shared" si="97"/>
        <v>Error?</v>
      </c>
      <c r="E6282" s="2" t="s">
        <v>189</v>
      </c>
    </row>
    <row r="6283" spans="1:5" x14ac:dyDescent="0.2">
      <c r="A6283">
        <v>6222</v>
      </c>
      <c r="B6283" s="1832">
        <f>'Acct Summary 7-8'!J83</f>
        <v>-9.2309493761465501E-3</v>
      </c>
      <c r="D6283" s="2" t="str">
        <f t="shared" si="97"/>
        <v>Error?</v>
      </c>
      <c r="E6283" s="2" t="s">
        <v>189</v>
      </c>
    </row>
    <row r="6284" spans="1:5" x14ac:dyDescent="0.2">
      <c r="A6284">
        <v>6223</v>
      </c>
      <c r="B6284" s="1832">
        <f>'Acct Summary 7-8'!K83</f>
        <v>0.27737373627153045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150000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869732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869732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694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694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150000</v>
      </c>
      <c r="D6330" s="2" t="str">
        <f t="shared" si="97"/>
        <v>Error?</v>
      </c>
      <c r="E6330" s="2" t="s">
        <v>189</v>
      </c>
    </row>
    <row r="6331" spans="1:5" x14ac:dyDescent="0.2">
      <c r="A6331">
        <v>6270</v>
      </c>
      <c r="B6331" s="1832">
        <f>'Revenues 9-14'!D100</f>
        <v>511996</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3600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870426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10946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1896</v>
      </c>
    </row>
    <row r="6383" spans="1:6" x14ac:dyDescent="0.2">
      <c r="A6383" s="126">
        <v>6322</v>
      </c>
      <c r="B6383" s="1832"/>
      <c r="D6383" s="2" t="str">
        <f t="shared" si="98"/>
        <v>OK</v>
      </c>
      <c r="E6383" s="2" t="s">
        <v>189</v>
      </c>
      <c r="F6383" s="1" t="s">
        <v>1896</v>
      </c>
    </row>
    <row r="6384" spans="1:6" x14ac:dyDescent="0.2">
      <c r="A6384" s="126">
        <v>6323</v>
      </c>
      <c r="B6384" s="1832"/>
      <c r="D6384" s="2" t="str">
        <f t="shared" si="98"/>
        <v>OK</v>
      </c>
      <c r="E6384" s="2" t="s">
        <v>189</v>
      </c>
      <c r="F6384" s="1" t="s">
        <v>1896</v>
      </c>
    </row>
    <row r="6385" spans="1:6" x14ac:dyDescent="0.2">
      <c r="A6385" s="126">
        <v>6324</v>
      </c>
      <c r="B6385" s="1832"/>
      <c r="D6385" s="2" t="str">
        <f t="shared" si="98"/>
        <v>OK</v>
      </c>
      <c r="E6385" s="2" t="s">
        <v>189</v>
      </c>
      <c r="F6385" s="1" t="s">
        <v>1896</v>
      </c>
    </row>
    <row r="6386" spans="1:6" x14ac:dyDescent="0.2">
      <c r="A6386" s="126">
        <v>6325</v>
      </c>
      <c r="B6386" s="1832"/>
      <c r="D6386" s="2" t="str">
        <f t="shared" si="98"/>
        <v>OK</v>
      </c>
      <c r="E6386" s="2" t="s">
        <v>189</v>
      </c>
      <c r="F6386" s="1" t="s">
        <v>1896</v>
      </c>
    </row>
    <row r="6387" spans="1:6" x14ac:dyDescent="0.2">
      <c r="A6387" s="126">
        <v>6326</v>
      </c>
      <c r="B6387" s="1832"/>
      <c r="D6387" s="2" t="str">
        <f t="shared" si="98"/>
        <v>OK</v>
      </c>
      <c r="E6387" s="2" t="s">
        <v>189</v>
      </c>
      <c r="F6387" s="1" t="s">
        <v>1896</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1896</v>
      </c>
    </row>
    <row r="6411" spans="1:6" x14ac:dyDescent="0.2">
      <c r="A6411" s="126">
        <v>6350</v>
      </c>
      <c r="B6411" s="1832"/>
      <c r="D6411" s="2" t="str">
        <f t="shared" si="99"/>
        <v>OK</v>
      </c>
      <c r="E6411" s="2" t="s">
        <v>189</v>
      </c>
      <c r="F6411" s="1" t="s">
        <v>1896</v>
      </c>
    </row>
    <row r="6412" spans="1:6" x14ac:dyDescent="0.2">
      <c r="A6412" s="126">
        <v>6351</v>
      </c>
      <c r="B6412" s="1832"/>
      <c r="D6412" s="2" t="str">
        <f t="shared" si="99"/>
        <v>OK</v>
      </c>
      <c r="E6412" s="2" t="s">
        <v>189</v>
      </c>
      <c r="F6412" s="1" t="s">
        <v>1896</v>
      </c>
    </row>
    <row r="6413" spans="1:6" x14ac:dyDescent="0.2">
      <c r="A6413" s="126">
        <v>6352</v>
      </c>
      <c r="B6413" s="1832"/>
      <c r="D6413" s="2" t="str">
        <f t="shared" si="99"/>
        <v>OK</v>
      </c>
      <c r="E6413" s="2" t="s">
        <v>189</v>
      </c>
      <c r="F6413" s="1" t="s">
        <v>1896</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1992</v>
      </c>
    </row>
    <row r="6417" spans="1:5" x14ac:dyDescent="0.2">
      <c r="A6417" s="126">
        <v>6356</v>
      </c>
      <c r="B6417" s="1832"/>
      <c r="D6417" s="2" t="str">
        <f t="shared" si="99"/>
        <v>OK</v>
      </c>
      <c r="E6417" s="4" t="s">
        <v>1992</v>
      </c>
    </row>
    <row r="6418" spans="1:5" x14ac:dyDescent="0.2">
      <c r="A6418" s="126">
        <v>6357</v>
      </c>
      <c r="B6418" s="1832"/>
      <c r="D6418" s="2" t="str">
        <f t="shared" si="99"/>
        <v>OK</v>
      </c>
      <c r="E6418" s="4" t="s">
        <v>1992</v>
      </c>
    </row>
    <row r="6419" spans="1:5" x14ac:dyDescent="0.2">
      <c r="A6419" s="126">
        <v>6358</v>
      </c>
      <c r="B6419" s="1832"/>
      <c r="D6419" s="2" t="str">
        <f t="shared" si="99"/>
        <v>OK</v>
      </c>
      <c r="E6419" s="4" t="s">
        <v>1992</v>
      </c>
    </row>
    <row r="6420" spans="1:5" x14ac:dyDescent="0.2">
      <c r="A6420" s="126">
        <v>6359</v>
      </c>
      <c r="B6420" s="1832"/>
      <c r="D6420" s="2" t="str">
        <f t="shared" si="99"/>
        <v>OK</v>
      </c>
      <c r="E6420" s="4" t="s">
        <v>1992</v>
      </c>
    </row>
    <row r="6421" spans="1:5" x14ac:dyDescent="0.2">
      <c r="A6421" s="126">
        <v>6360</v>
      </c>
      <c r="B6421" s="1832"/>
      <c r="D6421" s="2" t="str">
        <f t="shared" si="99"/>
        <v>OK</v>
      </c>
      <c r="E6421" s="4" t="s">
        <v>1992</v>
      </c>
    </row>
    <row r="6422" spans="1:5" x14ac:dyDescent="0.2">
      <c r="A6422" s="126">
        <v>6361</v>
      </c>
      <c r="B6422" s="1832"/>
      <c r="D6422" s="2" t="str">
        <f t="shared" si="99"/>
        <v>OK</v>
      </c>
      <c r="E6422" s="4" t="s">
        <v>1992</v>
      </c>
    </row>
    <row r="6423" spans="1:5" x14ac:dyDescent="0.2">
      <c r="A6423" s="126">
        <v>6362</v>
      </c>
      <c r="B6423" s="1832"/>
      <c r="D6423" s="2" t="str">
        <f t="shared" si="99"/>
        <v>OK</v>
      </c>
      <c r="E6423" s="4" t="s">
        <v>1992</v>
      </c>
    </row>
    <row r="6424" spans="1:5" x14ac:dyDescent="0.2">
      <c r="A6424" s="126">
        <v>6363</v>
      </c>
      <c r="B6424" s="1832"/>
      <c r="D6424" s="2" t="str">
        <f t="shared" si="99"/>
        <v>OK</v>
      </c>
      <c r="E6424" s="4" t="s">
        <v>1992</v>
      </c>
    </row>
    <row r="6425" spans="1:5" x14ac:dyDescent="0.2">
      <c r="A6425" s="126">
        <v>6364</v>
      </c>
      <c r="B6425" s="1832"/>
      <c r="D6425" s="2" t="str">
        <f t="shared" si="99"/>
        <v>OK</v>
      </c>
      <c r="E6425" s="4" t="s">
        <v>1992</v>
      </c>
    </row>
    <row r="6426" spans="1:5" x14ac:dyDescent="0.2">
      <c r="A6426" s="126">
        <v>6365</v>
      </c>
      <c r="B6426" s="1832"/>
      <c r="D6426" s="2" t="str">
        <f t="shared" si="99"/>
        <v>OK</v>
      </c>
      <c r="E6426" s="4" t="s">
        <v>1992</v>
      </c>
    </row>
    <row r="6427" spans="1:5" x14ac:dyDescent="0.2">
      <c r="A6427" s="126">
        <v>6366</v>
      </c>
      <c r="B6427" s="1832"/>
      <c r="D6427" s="2" t="str">
        <f t="shared" si="99"/>
        <v>OK</v>
      </c>
      <c r="E6427" s="4" t="s">
        <v>1992</v>
      </c>
    </row>
    <row r="6428" spans="1:5" x14ac:dyDescent="0.2">
      <c r="A6428" s="126">
        <v>6367</v>
      </c>
      <c r="B6428" s="1832"/>
      <c r="D6428" s="2" t="str">
        <f t="shared" si="99"/>
        <v>OK</v>
      </c>
      <c r="E6428" s="4" t="s">
        <v>1992</v>
      </c>
    </row>
    <row r="6429" spans="1:5" x14ac:dyDescent="0.2">
      <c r="A6429" s="126">
        <v>6368</v>
      </c>
      <c r="B6429" s="1832"/>
      <c r="D6429" s="2" t="str">
        <f t="shared" si="99"/>
        <v>OK</v>
      </c>
      <c r="E6429" s="4" t="s">
        <v>1992</v>
      </c>
    </row>
    <row r="6430" spans="1:5" x14ac:dyDescent="0.2">
      <c r="A6430" s="126">
        <v>6369</v>
      </c>
      <c r="B6430" s="1832"/>
      <c r="D6430" s="2" t="str">
        <f t="shared" si="99"/>
        <v>OK</v>
      </c>
      <c r="E6430" s="4" t="s">
        <v>1992</v>
      </c>
    </row>
    <row r="6431" spans="1:5" x14ac:dyDescent="0.2">
      <c r="A6431" s="126">
        <v>6370</v>
      </c>
      <c r="B6431" s="1832"/>
      <c r="D6431" s="2" t="str">
        <f t="shared" si="99"/>
        <v>OK</v>
      </c>
      <c r="E6431" s="4" t="s">
        <v>1992</v>
      </c>
    </row>
    <row r="6432" spans="1:5" x14ac:dyDescent="0.2">
      <c r="A6432" s="126">
        <v>6371</v>
      </c>
      <c r="B6432" s="1832"/>
      <c r="D6432" s="2" t="str">
        <f t="shared" si="99"/>
        <v>OK</v>
      </c>
      <c r="E6432" s="4" t="s">
        <v>1992</v>
      </c>
    </row>
    <row r="6433" spans="1:5" x14ac:dyDescent="0.2">
      <c r="A6433" s="126">
        <v>6372</v>
      </c>
      <c r="B6433" s="1832"/>
      <c r="D6433" s="2" t="str">
        <f t="shared" si="99"/>
        <v>OK</v>
      </c>
      <c r="E6433" s="4" t="s">
        <v>1992</v>
      </c>
    </row>
    <row r="6434" spans="1:5" x14ac:dyDescent="0.2">
      <c r="A6434" s="126">
        <v>6373</v>
      </c>
      <c r="B6434" s="1832"/>
      <c r="D6434" s="2" t="str">
        <f t="shared" si="99"/>
        <v>OK</v>
      </c>
      <c r="E6434" s="4" t="s">
        <v>1992</v>
      </c>
    </row>
    <row r="6435" spans="1:5" x14ac:dyDescent="0.2">
      <c r="A6435" s="126">
        <v>6374</v>
      </c>
      <c r="B6435" s="1832"/>
      <c r="D6435" s="2" t="str">
        <f t="shared" si="99"/>
        <v>OK</v>
      </c>
      <c r="E6435" s="4" t="s">
        <v>1992</v>
      </c>
    </row>
    <row r="6436" spans="1:5" x14ac:dyDescent="0.2">
      <c r="A6436" s="126">
        <v>6375</v>
      </c>
      <c r="B6436" s="1832"/>
      <c r="D6436" s="2" t="str">
        <f t="shared" si="99"/>
        <v>OK</v>
      </c>
      <c r="E6436" s="4" t="s">
        <v>1992</v>
      </c>
    </row>
    <row r="6437" spans="1:5" x14ac:dyDescent="0.2">
      <c r="A6437" s="126">
        <v>6376</v>
      </c>
      <c r="B6437" s="1832"/>
      <c r="D6437" s="2" t="str">
        <f t="shared" si="99"/>
        <v>OK</v>
      </c>
      <c r="E6437" s="4" t="s">
        <v>1992</v>
      </c>
    </row>
    <row r="6438" spans="1:5" x14ac:dyDescent="0.2">
      <c r="A6438" s="126">
        <v>6377</v>
      </c>
      <c r="B6438" s="1832"/>
      <c r="D6438" s="2" t="str">
        <f t="shared" si="99"/>
        <v>OK</v>
      </c>
      <c r="E6438" s="4" t="s">
        <v>1992</v>
      </c>
    </row>
    <row r="6439" spans="1:5" x14ac:dyDescent="0.2">
      <c r="A6439" s="126">
        <v>6378</v>
      </c>
      <c r="B6439" s="1832"/>
      <c r="D6439" s="2" t="str">
        <f t="shared" si="99"/>
        <v>OK</v>
      </c>
      <c r="E6439" s="4" t="s">
        <v>1992</v>
      </c>
    </row>
    <row r="6440" spans="1:5" x14ac:dyDescent="0.2">
      <c r="A6440" s="126">
        <v>6379</v>
      </c>
      <c r="B6440" s="1832"/>
      <c r="D6440" s="2" t="str">
        <f t="shared" si="99"/>
        <v>OK</v>
      </c>
      <c r="E6440" s="4" t="s">
        <v>1992</v>
      </c>
    </row>
    <row r="6441" spans="1:5" x14ac:dyDescent="0.2">
      <c r="A6441" s="126">
        <v>6380</v>
      </c>
      <c r="B6441" s="1832"/>
      <c r="D6441" s="2" t="str">
        <f t="shared" si="99"/>
        <v>OK</v>
      </c>
      <c r="E6441" s="4" t="s">
        <v>1992</v>
      </c>
    </row>
    <row r="6442" spans="1:5" x14ac:dyDescent="0.2">
      <c r="A6442" s="126">
        <v>6381</v>
      </c>
      <c r="B6442" s="1832"/>
      <c r="D6442" s="2" t="str">
        <f t="shared" si="99"/>
        <v>OK</v>
      </c>
      <c r="E6442" s="4" t="s">
        <v>1992</v>
      </c>
    </row>
    <row r="6443" spans="1:5" x14ac:dyDescent="0.2">
      <c r="A6443" s="126">
        <v>6382</v>
      </c>
      <c r="B6443" s="1832"/>
      <c r="D6443" s="2" t="str">
        <f t="shared" si="99"/>
        <v>OK</v>
      </c>
      <c r="E6443" s="4" t="s">
        <v>1992</v>
      </c>
    </row>
    <row r="6444" spans="1:5" x14ac:dyDescent="0.2">
      <c r="A6444" s="126">
        <v>6383</v>
      </c>
      <c r="B6444" s="1832"/>
      <c r="D6444" s="2" t="str">
        <f t="shared" si="99"/>
        <v>OK</v>
      </c>
      <c r="E6444" s="4" t="s">
        <v>1992</v>
      </c>
    </row>
    <row r="6445" spans="1:5" x14ac:dyDescent="0.2">
      <c r="A6445" s="126">
        <v>6384</v>
      </c>
      <c r="B6445" s="1832"/>
      <c r="D6445" s="2" t="str">
        <f t="shared" si="99"/>
        <v>OK</v>
      </c>
      <c r="E6445" s="4" t="s">
        <v>1992</v>
      </c>
    </row>
    <row r="6446" spans="1:5" x14ac:dyDescent="0.2">
      <c r="A6446" s="126">
        <v>6385</v>
      </c>
      <c r="B6446" s="1832"/>
      <c r="D6446" s="2" t="str">
        <f t="shared" si="99"/>
        <v>OK</v>
      </c>
      <c r="E6446" s="4" t="s">
        <v>1992</v>
      </c>
    </row>
    <row r="6447" spans="1:5" x14ac:dyDescent="0.2">
      <c r="A6447" s="126">
        <v>6386</v>
      </c>
      <c r="B6447" s="1832"/>
      <c r="D6447" s="2" t="str">
        <f t="shared" si="99"/>
        <v>OK</v>
      </c>
      <c r="E6447" s="4" t="s">
        <v>1992</v>
      </c>
    </row>
    <row r="6448" spans="1:5" x14ac:dyDescent="0.2">
      <c r="A6448" s="126">
        <v>6387</v>
      </c>
      <c r="B6448" s="1832"/>
      <c r="D6448" s="2" t="str">
        <f t="shared" si="99"/>
        <v>OK</v>
      </c>
      <c r="E6448" s="4" t="s">
        <v>1992</v>
      </c>
    </row>
    <row r="6449" spans="1:5" x14ac:dyDescent="0.2">
      <c r="A6449" s="126">
        <v>6388</v>
      </c>
      <c r="B6449" s="1832"/>
      <c r="D6449" s="2" t="str">
        <f t="shared" si="99"/>
        <v>OK</v>
      </c>
      <c r="E6449" s="4" t="s">
        <v>1992</v>
      </c>
    </row>
    <row r="6450" spans="1:5" x14ac:dyDescent="0.2">
      <c r="A6450" s="126">
        <v>6389</v>
      </c>
      <c r="B6450" s="1832"/>
      <c r="D6450" s="2" t="str">
        <f t="shared" si="99"/>
        <v>OK</v>
      </c>
      <c r="E6450" s="4" t="s">
        <v>1992</v>
      </c>
    </row>
    <row r="6451" spans="1:5" x14ac:dyDescent="0.2">
      <c r="A6451" s="126">
        <v>6390</v>
      </c>
      <c r="B6451" s="1832"/>
      <c r="D6451" s="2" t="str">
        <f t="shared" si="99"/>
        <v>OK</v>
      </c>
      <c r="E6451" s="4" t="s">
        <v>1992</v>
      </c>
    </row>
    <row r="6452" spans="1:5" x14ac:dyDescent="0.2">
      <c r="A6452" s="126">
        <v>6391</v>
      </c>
      <c r="B6452" s="1832"/>
      <c r="D6452" s="2" t="str">
        <f t="shared" si="99"/>
        <v>OK</v>
      </c>
      <c r="E6452" s="4" t="s">
        <v>1992</v>
      </c>
    </row>
    <row r="6453" spans="1:5" x14ac:dyDescent="0.2">
      <c r="A6453" s="126">
        <v>6392</v>
      </c>
      <c r="B6453" s="1832"/>
      <c r="D6453" s="2" t="str">
        <f t="shared" si="99"/>
        <v>OK</v>
      </c>
      <c r="E6453" s="4" t="s">
        <v>1992</v>
      </c>
    </row>
    <row r="6454" spans="1:5" x14ac:dyDescent="0.2">
      <c r="A6454" s="126">
        <v>6393</v>
      </c>
      <c r="B6454" s="1832"/>
      <c r="D6454" s="2" t="str">
        <f t="shared" si="99"/>
        <v>OK</v>
      </c>
      <c r="E6454" s="4" t="s">
        <v>1992</v>
      </c>
    </row>
    <row r="6455" spans="1:5" x14ac:dyDescent="0.2">
      <c r="A6455" s="126">
        <v>6394</v>
      </c>
      <c r="B6455" s="1832"/>
      <c r="D6455" s="2" t="str">
        <f t="shared" si="99"/>
        <v>OK</v>
      </c>
      <c r="E6455" s="4" t="s">
        <v>1992</v>
      </c>
    </row>
    <row r="6456" spans="1:5" x14ac:dyDescent="0.2">
      <c r="A6456" s="126">
        <v>6395</v>
      </c>
      <c r="B6456" s="1832"/>
      <c r="D6456" s="2" t="str">
        <f t="shared" si="99"/>
        <v>OK</v>
      </c>
      <c r="E6456" s="4" t="s">
        <v>1992</v>
      </c>
    </row>
    <row r="6457" spans="1:5" x14ac:dyDescent="0.2">
      <c r="A6457" s="126">
        <v>6396</v>
      </c>
      <c r="B6457" s="1832"/>
      <c r="D6457" s="2" t="str">
        <f t="shared" si="99"/>
        <v>OK</v>
      </c>
      <c r="E6457" s="4" t="s">
        <v>1992</v>
      </c>
    </row>
    <row r="6458" spans="1:5" x14ac:dyDescent="0.2">
      <c r="A6458" s="126">
        <v>6397</v>
      </c>
      <c r="B6458" s="1832"/>
      <c r="D6458" s="2" t="str">
        <f t="shared" si="99"/>
        <v>OK</v>
      </c>
      <c r="E6458" s="4" t="s">
        <v>1992</v>
      </c>
    </row>
    <row r="6459" spans="1:5" x14ac:dyDescent="0.2">
      <c r="A6459" s="126">
        <v>6398</v>
      </c>
      <c r="B6459" s="1832"/>
      <c r="D6459" s="2" t="str">
        <f t="shared" si="99"/>
        <v>OK</v>
      </c>
      <c r="E6459" s="4" t="s">
        <v>1992</v>
      </c>
    </row>
    <row r="6460" spans="1:5" x14ac:dyDescent="0.2">
      <c r="A6460" s="126">
        <v>6399</v>
      </c>
      <c r="B6460" s="1832"/>
      <c r="D6460" s="2" t="str">
        <f t="shared" si="99"/>
        <v>OK</v>
      </c>
      <c r="E6460" s="4" t="s">
        <v>1992</v>
      </c>
    </row>
    <row r="6461" spans="1:5" x14ac:dyDescent="0.2">
      <c r="A6461" s="126">
        <v>6400</v>
      </c>
      <c r="B6461" s="1832"/>
      <c r="D6461" s="2" t="str">
        <f t="shared" si="99"/>
        <v>OK</v>
      </c>
      <c r="E6461" s="4" t="s">
        <v>1992</v>
      </c>
    </row>
    <row r="6462" spans="1:5" x14ac:dyDescent="0.2">
      <c r="A6462" s="126">
        <v>6401</v>
      </c>
      <c r="B6462" s="1832"/>
      <c r="D6462" s="2" t="str">
        <f t="shared" si="99"/>
        <v>OK</v>
      </c>
      <c r="E6462" s="4" t="s">
        <v>1992</v>
      </c>
    </row>
    <row r="6463" spans="1:5" x14ac:dyDescent="0.2">
      <c r="A6463" s="126">
        <v>6402</v>
      </c>
      <c r="B6463" s="1832"/>
      <c r="D6463" s="2" t="str">
        <f t="shared" ref="D6463:D6526" si="100">IF(ISBLANK(B6463),"OK",IF(A6463-B6463=0,"OK","Error?"))</f>
        <v>OK</v>
      </c>
      <c r="E6463" s="4" t="s">
        <v>1992</v>
      </c>
    </row>
    <row r="6464" spans="1:5" x14ac:dyDescent="0.2">
      <c r="A6464" s="126">
        <v>6403</v>
      </c>
      <c r="B6464" s="1832"/>
      <c r="D6464" s="2" t="str">
        <f t="shared" si="100"/>
        <v>OK</v>
      </c>
      <c r="E6464" s="4" t="s">
        <v>1992</v>
      </c>
    </row>
    <row r="6465" spans="1:5" x14ac:dyDescent="0.2">
      <c r="A6465" s="126">
        <v>6404</v>
      </c>
      <c r="B6465" s="1832"/>
      <c r="D6465" s="2" t="str">
        <f t="shared" si="100"/>
        <v>OK</v>
      </c>
      <c r="E6465" s="4" t="s">
        <v>1992</v>
      </c>
    </row>
    <row r="6466" spans="1:5" x14ac:dyDescent="0.2">
      <c r="A6466" s="126">
        <v>6405</v>
      </c>
      <c r="B6466" s="1832"/>
      <c r="D6466" s="2" t="str">
        <f t="shared" si="100"/>
        <v>OK</v>
      </c>
      <c r="E6466" s="4" t="s">
        <v>1992</v>
      </c>
    </row>
    <row r="6467" spans="1:5" x14ac:dyDescent="0.2">
      <c r="A6467" s="126">
        <v>6406</v>
      </c>
      <c r="B6467" s="1832"/>
      <c r="D6467" s="2" t="str">
        <f t="shared" si="100"/>
        <v>OK</v>
      </c>
      <c r="E6467" s="4" t="s">
        <v>1992</v>
      </c>
    </row>
    <row r="6468" spans="1:5" x14ac:dyDescent="0.2">
      <c r="A6468" s="126">
        <v>6407</v>
      </c>
      <c r="B6468" s="1832"/>
      <c r="D6468" s="2" t="str">
        <f t="shared" si="100"/>
        <v>OK</v>
      </c>
      <c r="E6468" s="4" t="s">
        <v>1992</v>
      </c>
    </row>
    <row r="6469" spans="1:5" x14ac:dyDescent="0.2">
      <c r="A6469" s="126">
        <v>6408</v>
      </c>
      <c r="B6469" s="1832"/>
      <c r="D6469" s="2" t="str">
        <f t="shared" si="100"/>
        <v>OK</v>
      </c>
      <c r="E6469" s="4" t="s">
        <v>1992</v>
      </c>
    </row>
    <row r="6470" spans="1:5" x14ac:dyDescent="0.2">
      <c r="A6470" s="126">
        <v>6409</v>
      </c>
      <c r="B6470" s="1832"/>
      <c r="D6470" s="2" t="str">
        <f t="shared" si="100"/>
        <v>OK</v>
      </c>
      <c r="E6470" s="4" t="s">
        <v>1992</v>
      </c>
    </row>
    <row r="6471" spans="1:5" x14ac:dyDescent="0.2">
      <c r="A6471" s="126">
        <v>6410</v>
      </c>
      <c r="B6471" s="1832"/>
      <c r="D6471" s="2" t="str">
        <f t="shared" si="100"/>
        <v>OK</v>
      </c>
      <c r="E6471" s="4" t="s">
        <v>1992</v>
      </c>
    </row>
    <row r="6472" spans="1:5" x14ac:dyDescent="0.2">
      <c r="A6472" s="126">
        <v>6411</v>
      </c>
      <c r="B6472" s="1832"/>
      <c r="D6472" s="2" t="str">
        <f t="shared" si="100"/>
        <v>OK</v>
      </c>
      <c r="E6472" s="4" t="s">
        <v>1992</v>
      </c>
    </row>
    <row r="6473" spans="1:5" x14ac:dyDescent="0.2">
      <c r="A6473" s="126">
        <v>6412</v>
      </c>
      <c r="B6473" s="1832"/>
      <c r="D6473" s="2" t="str">
        <f t="shared" si="100"/>
        <v>OK</v>
      </c>
      <c r="E6473" s="4" t="s">
        <v>1992</v>
      </c>
    </row>
    <row r="6474" spans="1:5" x14ac:dyDescent="0.2">
      <c r="A6474" s="126">
        <v>6413</v>
      </c>
      <c r="B6474" s="1832"/>
      <c r="D6474" s="2" t="str">
        <f t="shared" si="100"/>
        <v>OK</v>
      </c>
      <c r="E6474" s="4" t="s">
        <v>1992</v>
      </c>
    </row>
    <row r="6475" spans="1:5" x14ac:dyDescent="0.2">
      <c r="A6475" s="126">
        <v>6414</v>
      </c>
      <c r="B6475" s="1832"/>
      <c r="D6475" s="2" t="str">
        <f t="shared" si="100"/>
        <v>OK</v>
      </c>
      <c r="E6475" s="4" t="s">
        <v>1992</v>
      </c>
    </row>
    <row r="6476" spans="1:5" x14ac:dyDescent="0.2">
      <c r="A6476" s="126">
        <v>6415</v>
      </c>
      <c r="B6476" s="1832"/>
      <c r="D6476" s="2" t="str">
        <f t="shared" si="100"/>
        <v>OK</v>
      </c>
      <c r="E6476" s="4" t="s">
        <v>1992</v>
      </c>
    </row>
    <row r="6477" spans="1:5" x14ac:dyDescent="0.2">
      <c r="A6477" s="126">
        <v>6416</v>
      </c>
      <c r="B6477" s="1832"/>
      <c r="D6477" s="2" t="str">
        <f t="shared" si="100"/>
        <v>OK</v>
      </c>
      <c r="E6477" s="4" t="s">
        <v>1992</v>
      </c>
    </row>
    <row r="6478" spans="1:5" x14ac:dyDescent="0.2">
      <c r="A6478" s="126">
        <v>6417</v>
      </c>
      <c r="B6478" s="1832"/>
      <c r="D6478" s="2" t="str">
        <f t="shared" si="100"/>
        <v>OK</v>
      </c>
      <c r="E6478" s="4" t="s">
        <v>1992</v>
      </c>
    </row>
    <row r="6479" spans="1:5" x14ac:dyDescent="0.2">
      <c r="A6479" s="126">
        <v>6418</v>
      </c>
      <c r="B6479" s="1832"/>
      <c r="D6479" s="2" t="str">
        <f t="shared" si="100"/>
        <v>OK</v>
      </c>
      <c r="E6479" s="4" t="s">
        <v>1992</v>
      </c>
    </row>
    <row r="6480" spans="1:5" x14ac:dyDescent="0.2">
      <c r="A6480" s="126">
        <v>6419</v>
      </c>
      <c r="B6480" s="1832"/>
      <c r="D6480" s="2" t="str">
        <f t="shared" si="100"/>
        <v>OK</v>
      </c>
      <c r="E6480" s="4" t="s">
        <v>1992</v>
      </c>
    </row>
    <row r="6481" spans="1:5" x14ac:dyDescent="0.2">
      <c r="A6481" s="126">
        <v>6420</v>
      </c>
      <c r="B6481" s="1832"/>
      <c r="D6481" s="2" t="str">
        <f t="shared" si="100"/>
        <v>OK</v>
      </c>
      <c r="E6481" s="4" t="s">
        <v>1992</v>
      </c>
    </row>
    <row r="6482" spans="1:5" x14ac:dyDescent="0.2">
      <c r="A6482" s="126">
        <v>6421</v>
      </c>
      <c r="B6482" s="1832"/>
      <c r="D6482" s="2" t="str">
        <f t="shared" si="100"/>
        <v>OK</v>
      </c>
      <c r="E6482" s="4" t="s">
        <v>1992</v>
      </c>
    </row>
    <row r="6483" spans="1:5" x14ac:dyDescent="0.2">
      <c r="A6483" s="126">
        <v>6422</v>
      </c>
      <c r="B6483" s="1832"/>
      <c r="D6483" s="2" t="str">
        <f t="shared" si="100"/>
        <v>OK</v>
      </c>
      <c r="E6483" s="4" t="s">
        <v>1992</v>
      </c>
    </row>
    <row r="6484" spans="1:5" x14ac:dyDescent="0.2">
      <c r="A6484" s="126">
        <v>6423</v>
      </c>
      <c r="B6484" s="1832"/>
      <c r="D6484" s="2" t="str">
        <f t="shared" si="100"/>
        <v>OK</v>
      </c>
      <c r="E6484" s="4" t="s">
        <v>1992</v>
      </c>
    </row>
    <row r="6485" spans="1:5" x14ac:dyDescent="0.2">
      <c r="A6485" s="126">
        <v>6424</v>
      </c>
      <c r="B6485" s="1832"/>
      <c r="D6485" s="2" t="str">
        <f t="shared" si="100"/>
        <v>OK</v>
      </c>
      <c r="E6485" s="4" t="s">
        <v>1992</v>
      </c>
    </row>
    <row r="6486" spans="1:5" x14ac:dyDescent="0.2">
      <c r="A6486" s="126">
        <v>6425</v>
      </c>
      <c r="B6486" s="1832"/>
      <c r="D6486" s="2" t="str">
        <f t="shared" si="100"/>
        <v>OK</v>
      </c>
      <c r="E6486" s="4" t="s">
        <v>1992</v>
      </c>
    </row>
    <row r="6487" spans="1:5" x14ac:dyDescent="0.2">
      <c r="A6487" s="126">
        <v>6426</v>
      </c>
      <c r="B6487" s="1832"/>
      <c r="D6487" s="2" t="str">
        <f t="shared" si="100"/>
        <v>OK</v>
      </c>
      <c r="E6487" s="4" t="s">
        <v>1992</v>
      </c>
    </row>
    <row r="6488" spans="1:5" x14ac:dyDescent="0.2">
      <c r="A6488" s="126">
        <v>6427</v>
      </c>
      <c r="B6488" s="1832"/>
      <c r="D6488" s="2" t="str">
        <f t="shared" si="100"/>
        <v>OK</v>
      </c>
      <c r="E6488" s="4" t="s">
        <v>1992</v>
      </c>
    </row>
    <row r="6489" spans="1:5" x14ac:dyDescent="0.2">
      <c r="A6489" s="126">
        <v>6428</v>
      </c>
      <c r="B6489" s="1832"/>
      <c r="D6489" s="2" t="str">
        <f t="shared" si="100"/>
        <v>OK</v>
      </c>
      <c r="E6489" s="4" t="s">
        <v>1992</v>
      </c>
    </row>
    <row r="6490" spans="1:5" x14ac:dyDescent="0.2">
      <c r="A6490" s="126">
        <v>6429</v>
      </c>
      <c r="B6490" s="1832"/>
      <c r="D6490" s="2" t="str">
        <f t="shared" si="100"/>
        <v>OK</v>
      </c>
      <c r="E6490" s="4" t="s">
        <v>1992</v>
      </c>
    </row>
    <row r="6491" spans="1:5" x14ac:dyDescent="0.2">
      <c r="A6491" s="126">
        <v>6430</v>
      </c>
      <c r="B6491" s="1832"/>
      <c r="D6491" s="2" t="str">
        <f t="shared" si="100"/>
        <v>OK</v>
      </c>
      <c r="E6491" s="4" t="s">
        <v>1992</v>
      </c>
    </row>
    <row r="6492" spans="1:5" x14ac:dyDescent="0.2">
      <c r="A6492" s="126">
        <v>6431</v>
      </c>
      <c r="B6492" s="1832"/>
      <c r="D6492" s="2" t="str">
        <f t="shared" si="100"/>
        <v>OK</v>
      </c>
      <c r="E6492" s="4" t="s">
        <v>1992</v>
      </c>
    </row>
    <row r="6493" spans="1:5" x14ac:dyDescent="0.2">
      <c r="A6493" s="126">
        <v>6432</v>
      </c>
      <c r="B6493" s="1832"/>
      <c r="D6493" s="2" t="str">
        <f t="shared" si="100"/>
        <v>OK</v>
      </c>
      <c r="E6493" s="4" t="s">
        <v>1992</v>
      </c>
    </row>
    <row r="6494" spans="1:5" x14ac:dyDescent="0.2">
      <c r="A6494" s="126">
        <v>6433</v>
      </c>
      <c r="B6494" s="1832"/>
      <c r="D6494" s="2" t="str">
        <f t="shared" si="100"/>
        <v>OK</v>
      </c>
      <c r="E6494" s="4" t="s">
        <v>1992</v>
      </c>
    </row>
    <row r="6495" spans="1:5" x14ac:dyDescent="0.2">
      <c r="A6495" s="126">
        <v>6434</v>
      </c>
      <c r="B6495" s="1832"/>
      <c r="D6495" s="2" t="str">
        <f t="shared" si="100"/>
        <v>OK</v>
      </c>
      <c r="E6495" s="4" t="s">
        <v>1992</v>
      </c>
    </row>
    <row r="6496" spans="1:5" x14ac:dyDescent="0.2">
      <c r="A6496" s="126">
        <v>6435</v>
      </c>
      <c r="B6496" s="1832"/>
      <c r="D6496" s="2" t="str">
        <f t="shared" si="100"/>
        <v>OK</v>
      </c>
      <c r="E6496" s="4" t="s">
        <v>1992</v>
      </c>
    </row>
    <row r="6497" spans="1:5" x14ac:dyDescent="0.2">
      <c r="A6497" s="126">
        <v>6436</v>
      </c>
      <c r="B6497" s="1832"/>
      <c r="D6497" s="2" t="str">
        <f t="shared" si="100"/>
        <v>OK</v>
      </c>
      <c r="E6497" s="4" t="s">
        <v>1992</v>
      </c>
    </row>
    <row r="6498" spans="1:5" x14ac:dyDescent="0.2">
      <c r="A6498" s="126">
        <v>6437</v>
      </c>
      <c r="B6498" s="1832"/>
      <c r="D6498" s="2" t="str">
        <f t="shared" si="100"/>
        <v>OK</v>
      </c>
      <c r="E6498" s="4" t="s">
        <v>1992</v>
      </c>
    </row>
    <row r="6499" spans="1:5" x14ac:dyDescent="0.2">
      <c r="A6499" s="126">
        <v>6438</v>
      </c>
      <c r="B6499" s="1832"/>
      <c r="D6499" s="2" t="str">
        <f t="shared" si="100"/>
        <v>OK</v>
      </c>
      <c r="E6499" s="4" t="s">
        <v>1992</v>
      </c>
    </row>
    <row r="6500" spans="1:5" x14ac:dyDescent="0.2">
      <c r="A6500" s="126">
        <v>6439</v>
      </c>
      <c r="B6500" s="1832"/>
      <c r="D6500" s="2" t="str">
        <f t="shared" si="100"/>
        <v>OK</v>
      </c>
      <c r="E6500" s="4" t="s">
        <v>1992</v>
      </c>
    </row>
    <row r="6501" spans="1:5" x14ac:dyDescent="0.2">
      <c r="A6501" s="126">
        <v>6440</v>
      </c>
      <c r="B6501" s="1832"/>
      <c r="D6501" s="2" t="str">
        <f t="shared" si="100"/>
        <v>OK</v>
      </c>
      <c r="E6501" s="4" t="s">
        <v>1992</v>
      </c>
    </row>
    <row r="6502" spans="1:5" x14ac:dyDescent="0.2">
      <c r="A6502" s="126">
        <v>6441</v>
      </c>
      <c r="B6502" s="1832"/>
      <c r="D6502" s="2" t="str">
        <f t="shared" si="100"/>
        <v>OK</v>
      </c>
      <c r="E6502" s="4" t="s">
        <v>1992</v>
      </c>
    </row>
    <row r="6503" spans="1:5" x14ac:dyDescent="0.2">
      <c r="A6503" s="126">
        <v>6442</v>
      </c>
      <c r="B6503" s="1832"/>
      <c r="D6503" s="2" t="str">
        <f t="shared" si="100"/>
        <v>OK</v>
      </c>
      <c r="E6503" s="4" t="s">
        <v>1992</v>
      </c>
    </row>
    <row r="6504" spans="1:5" x14ac:dyDescent="0.2">
      <c r="A6504" s="126">
        <v>6443</v>
      </c>
      <c r="B6504" s="1832"/>
      <c r="D6504" s="2" t="str">
        <f t="shared" si="100"/>
        <v>OK</v>
      </c>
      <c r="E6504" s="4" t="s">
        <v>1992</v>
      </c>
    </row>
    <row r="6505" spans="1:5" x14ac:dyDescent="0.2">
      <c r="A6505" s="126">
        <v>6444</v>
      </c>
      <c r="B6505" s="1832"/>
      <c r="D6505" s="2" t="str">
        <f t="shared" si="100"/>
        <v>OK</v>
      </c>
      <c r="E6505" s="4" t="s">
        <v>1992</v>
      </c>
    </row>
    <row r="6506" spans="1:5" x14ac:dyDescent="0.2">
      <c r="A6506" s="126">
        <v>6445</v>
      </c>
      <c r="B6506" s="1832"/>
      <c r="D6506" s="2" t="str">
        <f t="shared" si="100"/>
        <v>OK</v>
      </c>
      <c r="E6506" s="4" t="s">
        <v>1992</v>
      </c>
    </row>
    <row r="6507" spans="1:5" x14ac:dyDescent="0.2">
      <c r="A6507" s="126">
        <v>6446</v>
      </c>
      <c r="B6507" s="1832"/>
      <c r="D6507" s="2" t="str">
        <f t="shared" si="100"/>
        <v>OK</v>
      </c>
      <c r="E6507" s="4" t="s">
        <v>1992</v>
      </c>
    </row>
    <row r="6508" spans="1:5" x14ac:dyDescent="0.2">
      <c r="A6508" s="126">
        <v>6447</v>
      </c>
      <c r="B6508" s="1832"/>
      <c r="D6508" s="2" t="str">
        <f t="shared" si="100"/>
        <v>OK</v>
      </c>
      <c r="E6508" s="4" t="s">
        <v>1992</v>
      </c>
    </row>
    <row r="6509" spans="1:5" x14ac:dyDescent="0.2">
      <c r="A6509" s="126">
        <v>6448</v>
      </c>
      <c r="B6509" s="1832"/>
      <c r="D6509" s="2" t="str">
        <f t="shared" si="100"/>
        <v>OK</v>
      </c>
      <c r="E6509" s="4" t="s">
        <v>1992</v>
      </c>
    </row>
    <row r="6510" spans="1:5" x14ac:dyDescent="0.2">
      <c r="A6510" s="126">
        <v>6449</v>
      </c>
      <c r="B6510" s="1832"/>
      <c r="D6510" s="2" t="str">
        <f t="shared" si="100"/>
        <v>OK</v>
      </c>
      <c r="E6510" s="4" t="s">
        <v>1992</v>
      </c>
    </row>
    <row r="6511" spans="1:5" x14ac:dyDescent="0.2">
      <c r="A6511" s="126">
        <v>6450</v>
      </c>
      <c r="B6511" s="1832"/>
      <c r="D6511" s="2" t="str">
        <f t="shared" si="100"/>
        <v>OK</v>
      </c>
      <c r="E6511" s="4" t="s">
        <v>1992</v>
      </c>
    </row>
    <row r="6512" spans="1:5" x14ac:dyDescent="0.2">
      <c r="A6512" s="126">
        <v>6451</v>
      </c>
      <c r="B6512" s="1832"/>
      <c r="D6512" s="2" t="str">
        <f t="shared" si="100"/>
        <v>OK</v>
      </c>
      <c r="E6512" s="4" t="s">
        <v>1992</v>
      </c>
    </row>
    <row r="6513" spans="1:5" x14ac:dyDescent="0.2">
      <c r="A6513" s="126">
        <v>6452</v>
      </c>
      <c r="B6513" s="1832"/>
      <c r="D6513" s="2" t="str">
        <f t="shared" si="100"/>
        <v>OK</v>
      </c>
      <c r="E6513" s="4" t="s">
        <v>1992</v>
      </c>
    </row>
    <row r="6514" spans="1:5" x14ac:dyDescent="0.2">
      <c r="A6514" s="126">
        <v>6453</v>
      </c>
      <c r="B6514" s="1832"/>
      <c r="D6514" s="2" t="str">
        <f t="shared" si="100"/>
        <v>OK</v>
      </c>
      <c r="E6514" s="4" t="s">
        <v>1992</v>
      </c>
    </row>
    <row r="6515" spans="1:5" x14ac:dyDescent="0.2">
      <c r="A6515" s="126">
        <v>6454</v>
      </c>
      <c r="B6515" s="1832"/>
      <c r="D6515" s="2" t="str">
        <f t="shared" si="100"/>
        <v>OK</v>
      </c>
      <c r="E6515" s="4" t="s">
        <v>1992</v>
      </c>
    </row>
    <row r="6516" spans="1:5" x14ac:dyDescent="0.2">
      <c r="A6516" s="126">
        <v>6455</v>
      </c>
      <c r="B6516" s="1832"/>
      <c r="D6516" s="2" t="str">
        <f t="shared" si="100"/>
        <v>OK</v>
      </c>
      <c r="E6516" s="4" t="s">
        <v>1992</v>
      </c>
    </row>
    <row r="6517" spans="1:5" x14ac:dyDescent="0.2">
      <c r="A6517" s="126">
        <v>6456</v>
      </c>
      <c r="B6517" s="1832"/>
      <c r="D6517" s="2" t="str">
        <f t="shared" si="100"/>
        <v>OK</v>
      </c>
      <c r="E6517" s="4" t="s">
        <v>1992</v>
      </c>
    </row>
    <row r="6518" spans="1:5" x14ac:dyDescent="0.2">
      <c r="A6518" s="126">
        <v>6457</v>
      </c>
      <c r="B6518" s="1832"/>
      <c r="D6518" s="2" t="str">
        <f t="shared" si="100"/>
        <v>OK</v>
      </c>
      <c r="E6518" s="4" t="s">
        <v>1992</v>
      </c>
    </row>
    <row r="6519" spans="1:5" x14ac:dyDescent="0.2">
      <c r="A6519" s="126">
        <v>6458</v>
      </c>
      <c r="B6519" s="1832"/>
      <c r="D6519" s="2" t="str">
        <f t="shared" si="100"/>
        <v>OK</v>
      </c>
      <c r="E6519" s="4" t="s">
        <v>1992</v>
      </c>
    </row>
    <row r="6520" spans="1:5" x14ac:dyDescent="0.2">
      <c r="A6520" s="126">
        <v>6459</v>
      </c>
      <c r="B6520" s="1832"/>
      <c r="D6520" s="2" t="str">
        <f t="shared" si="100"/>
        <v>OK</v>
      </c>
      <c r="E6520" s="4" t="s">
        <v>1992</v>
      </c>
    </row>
    <row r="6521" spans="1:5" x14ac:dyDescent="0.2">
      <c r="A6521" s="126">
        <v>6460</v>
      </c>
      <c r="B6521" s="1832"/>
      <c r="D6521" s="2" t="str">
        <f t="shared" si="100"/>
        <v>OK</v>
      </c>
      <c r="E6521" s="4" t="s">
        <v>1992</v>
      </c>
    </row>
    <row r="6522" spans="1:5" x14ac:dyDescent="0.2">
      <c r="A6522" s="126">
        <v>6461</v>
      </c>
      <c r="B6522" s="1832"/>
      <c r="D6522" s="2" t="str">
        <f t="shared" si="100"/>
        <v>OK</v>
      </c>
      <c r="E6522" s="4" t="s">
        <v>1992</v>
      </c>
    </row>
    <row r="6523" spans="1:5" x14ac:dyDescent="0.2">
      <c r="A6523" s="126">
        <v>6462</v>
      </c>
      <c r="B6523" s="1832"/>
      <c r="D6523" s="2" t="str">
        <f t="shared" si="100"/>
        <v>OK</v>
      </c>
      <c r="E6523" s="4" t="s">
        <v>1992</v>
      </c>
    </row>
    <row r="6524" spans="1:5" x14ac:dyDescent="0.2">
      <c r="A6524" s="126">
        <v>6463</v>
      </c>
      <c r="B6524" s="1832"/>
      <c r="D6524" s="2" t="str">
        <f t="shared" si="100"/>
        <v>OK</v>
      </c>
      <c r="E6524" s="4" t="s">
        <v>1992</v>
      </c>
    </row>
    <row r="6525" spans="1:5" x14ac:dyDescent="0.2">
      <c r="A6525" s="126">
        <v>6464</v>
      </c>
      <c r="B6525" s="1832"/>
      <c r="D6525" s="2" t="str">
        <f t="shared" si="100"/>
        <v>OK</v>
      </c>
      <c r="E6525" s="4" t="s">
        <v>1992</v>
      </c>
    </row>
    <row r="6526" spans="1:5" x14ac:dyDescent="0.2">
      <c r="A6526" s="126">
        <v>6465</v>
      </c>
      <c r="B6526" s="1832"/>
      <c r="D6526" s="2" t="str">
        <f t="shared" si="100"/>
        <v>OK</v>
      </c>
      <c r="E6526" s="4" t="s">
        <v>1992</v>
      </c>
    </row>
    <row r="6527" spans="1:5" x14ac:dyDescent="0.2">
      <c r="A6527" s="126">
        <v>6466</v>
      </c>
      <c r="B6527" s="1832"/>
      <c r="D6527" s="2" t="str">
        <f t="shared" ref="D6527:D6590" si="101">IF(ISBLANK(B6527),"OK",IF(A6527-B6527=0,"OK","Error?"))</f>
        <v>OK</v>
      </c>
      <c r="E6527" s="4" t="s">
        <v>1992</v>
      </c>
    </row>
    <row r="6528" spans="1:5" x14ac:dyDescent="0.2">
      <c r="A6528" s="126">
        <v>6467</v>
      </c>
      <c r="B6528" s="1832"/>
      <c r="D6528" s="2" t="str">
        <f t="shared" si="101"/>
        <v>OK</v>
      </c>
      <c r="E6528" s="4" t="s">
        <v>1992</v>
      </c>
    </row>
    <row r="6529" spans="1:5" x14ac:dyDescent="0.2">
      <c r="A6529" s="126">
        <v>6468</v>
      </c>
      <c r="B6529" s="1832"/>
      <c r="D6529" s="2" t="str">
        <f t="shared" si="101"/>
        <v>OK</v>
      </c>
      <c r="E6529" s="4" t="s">
        <v>1992</v>
      </c>
    </row>
    <row r="6530" spans="1:5" x14ac:dyDescent="0.2">
      <c r="A6530" s="126">
        <v>6469</v>
      </c>
      <c r="B6530" s="1832"/>
      <c r="D6530" s="2" t="str">
        <f t="shared" si="101"/>
        <v>OK</v>
      </c>
      <c r="E6530" s="4" t="s">
        <v>1992</v>
      </c>
    </row>
    <row r="6531" spans="1:5" x14ac:dyDescent="0.2">
      <c r="A6531" s="126">
        <v>6470</v>
      </c>
      <c r="B6531" s="1832"/>
      <c r="D6531" s="2" t="str">
        <f t="shared" si="101"/>
        <v>OK</v>
      </c>
      <c r="E6531" s="4" t="s">
        <v>1992</v>
      </c>
    </row>
    <row r="6532" spans="1:5" x14ac:dyDescent="0.2">
      <c r="A6532" s="126">
        <v>6471</v>
      </c>
      <c r="B6532" s="1832"/>
      <c r="D6532" s="2" t="str">
        <f t="shared" si="101"/>
        <v>OK</v>
      </c>
      <c r="E6532" s="4" t="s">
        <v>1992</v>
      </c>
    </row>
    <row r="6533" spans="1:5" x14ac:dyDescent="0.2">
      <c r="A6533" s="126">
        <v>6472</v>
      </c>
      <c r="B6533" s="1832"/>
      <c r="D6533" s="2" t="str">
        <f t="shared" si="101"/>
        <v>OK</v>
      </c>
      <c r="E6533" s="4" t="s">
        <v>1992</v>
      </c>
    </row>
    <row r="6534" spans="1:5" x14ac:dyDescent="0.2">
      <c r="A6534" s="126">
        <v>6473</v>
      </c>
      <c r="B6534" s="1832"/>
      <c r="D6534" s="2" t="str">
        <f t="shared" si="101"/>
        <v>OK</v>
      </c>
      <c r="E6534" s="4" t="s">
        <v>1992</v>
      </c>
    </row>
    <row r="6535" spans="1:5" x14ac:dyDescent="0.2">
      <c r="A6535" s="126">
        <v>6474</v>
      </c>
      <c r="B6535" s="1832"/>
      <c r="D6535" s="2" t="str">
        <f t="shared" si="101"/>
        <v>OK</v>
      </c>
      <c r="E6535" s="4" t="s">
        <v>1992</v>
      </c>
    </row>
    <row r="6536" spans="1:5" x14ac:dyDescent="0.2">
      <c r="A6536" s="126">
        <v>6475</v>
      </c>
      <c r="B6536" s="1832"/>
      <c r="D6536" s="2" t="str">
        <f t="shared" si="101"/>
        <v>OK</v>
      </c>
      <c r="E6536" s="4" t="s">
        <v>1992</v>
      </c>
    </row>
    <row r="6537" spans="1:5" x14ac:dyDescent="0.2">
      <c r="A6537" s="126">
        <v>6476</v>
      </c>
      <c r="B6537" s="1832"/>
      <c r="D6537" s="2" t="str">
        <f t="shared" si="101"/>
        <v>OK</v>
      </c>
      <c r="E6537" s="4" t="s">
        <v>1992</v>
      </c>
    </row>
    <row r="6538" spans="1:5" x14ac:dyDescent="0.2">
      <c r="A6538" s="126">
        <v>6477</v>
      </c>
      <c r="B6538" s="1832"/>
      <c r="D6538" s="2" t="str">
        <f t="shared" si="101"/>
        <v>OK</v>
      </c>
      <c r="E6538" s="4" t="s">
        <v>1992</v>
      </c>
    </row>
    <row r="6539" spans="1:5" x14ac:dyDescent="0.2">
      <c r="A6539" s="126">
        <v>6478</v>
      </c>
      <c r="B6539" s="1832"/>
      <c r="D6539" s="2" t="str">
        <f t="shared" si="101"/>
        <v>OK</v>
      </c>
      <c r="E6539" s="4" t="s">
        <v>1992</v>
      </c>
    </row>
    <row r="6540" spans="1:5" x14ac:dyDescent="0.2">
      <c r="A6540" s="126">
        <v>6479</v>
      </c>
      <c r="B6540" s="1832"/>
      <c r="D6540" s="2" t="str">
        <f t="shared" si="101"/>
        <v>OK</v>
      </c>
      <c r="E6540" s="4" t="s">
        <v>1992</v>
      </c>
    </row>
    <row r="6541" spans="1:5" x14ac:dyDescent="0.2">
      <c r="A6541" s="126">
        <v>6480</v>
      </c>
      <c r="B6541" s="1832"/>
      <c r="D6541" s="2" t="str">
        <f t="shared" si="101"/>
        <v>OK</v>
      </c>
      <c r="E6541" s="4" t="s">
        <v>1992</v>
      </c>
    </row>
    <row r="6542" spans="1:5" x14ac:dyDescent="0.2">
      <c r="A6542" s="126">
        <v>6481</v>
      </c>
      <c r="B6542" s="1832"/>
      <c r="D6542" s="2" t="str">
        <f t="shared" si="101"/>
        <v>OK</v>
      </c>
      <c r="E6542" s="4" t="s">
        <v>1992</v>
      </c>
    </row>
    <row r="6543" spans="1:5" x14ac:dyDescent="0.2">
      <c r="A6543" s="126">
        <v>6482</v>
      </c>
      <c r="B6543" s="1832"/>
      <c r="D6543" s="2" t="str">
        <f t="shared" si="101"/>
        <v>OK</v>
      </c>
      <c r="E6543" s="4" t="s">
        <v>1992</v>
      </c>
    </row>
    <row r="6544" spans="1:5" x14ac:dyDescent="0.2">
      <c r="A6544" s="126">
        <v>6483</v>
      </c>
      <c r="B6544" s="1832"/>
      <c r="D6544" s="2" t="str">
        <f t="shared" si="101"/>
        <v>OK</v>
      </c>
      <c r="E6544" s="4" t="s">
        <v>1992</v>
      </c>
    </row>
    <row r="6545" spans="1:5" x14ac:dyDescent="0.2">
      <c r="A6545" s="126">
        <v>6484</v>
      </c>
      <c r="B6545" s="1832"/>
      <c r="D6545" s="2" t="str">
        <f t="shared" si="101"/>
        <v>OK</v>
      </c>
      <c r="E6545" s="4" t="s">
        <v>1992</v>
      </c>
    </row>
    <row r="6546" spans="1:5" x14ac:dyDescent="0.2">
      <c r="A6546" s="126">
        <v>6485</v>
      </c>
      <c r="B6546" s="1832"/>
      <c r="D6546" s="2" t="str">
        <f t="shared" si="101"/>
        <v>OK</v>
      </c>
      <c r="E6546" s="4" t="s">
        <v>1992</v>
      </c>
    </row>
    <row r="6547" spans="1:5" x14ac:dyDescent="0.2">
      <c r="A6547" s="126">
        <v>6486</v>
      </c>
      <c r="B6547" s="1832"/>
      <c r="D6547" s="2" t="str">
        <f t="shared" si="101"/>
        <v>OK</v>
      </c>
      <c r="E6547" s="4" t="s">
        <v>1992</v>
      </c>
    </row>
    <row r="6548" spans="1:5" x14ac:dyDescent="0.2">
      <c r="A6548" s="126">
        <v>6487</v>
      </c>
      <c r="B6548" s="1832"/>
      <c r="D6548" s="2" t="str">
        <f t="shared" si="101"/>
        <v>OK</v>
      </c>
      <c r="E6548" s="4" t="s">
        <v>1992</v>
      </c>
    </row>
    <row r="6549" spans="1:5" x14ac:dyDescent="0.2">
      <c r="A6549" s="126">
        <v>6488</v>
      </c>
      <c r="B6549" s="1832"/>
      <c r="D6549" s="2" t="str">
        <f t="shared" si="101"/>
        <v>OK</v>
      </c>
      <c r="E6549" s="4" t="s">
        <v>1992</v>
      </c>
    </row>
    <row r="6550" spans="1:5" x14ac:dyDescent="0.2">
      <c r="A6550" s="126">
        <v>6489</v>
      </c>
      <c r="B6550" s="1832"/>
      <c r="D6550" s="2" t="str">
        <f t="shared" si="101"/>
        <v>OK</v>
      </c>
      <c r="E6550" s="4" t="s">
        <v>1992</v>
      </c>
    </row>
    <row r="6551" spans="1:5" x14ac:dyDescent="0.2">
      <c r="A6551" s="126">
        <v>6490</v>
      </c>
      <c r="B6551" s="1832"/>
      <c r="D6551" s="2" t="str">
        <f t="shared" si="101"/>
        <v>OK</v>
      </c>
      <c r="E6551" s="4" t="s">
        <v>1992</v>
      </c>
    </row>
    <row r="6552" spans="1:5" x14ac:dyDescent="0.2">
      <c r="A6552" s="126">
        <v>6491</v>
      </c>
      <c r="B6552" s="1832"/>
      <c r="D6552" s="2" t="str">
        <f t="shared" si="101"/>
        <v>OK</v>
      </c>
      <c r="E6552" s="4" t="s">
        <v>1992</v>
      </c>
    </row>
    <row r="6553" spans="1:5" x14ac:dyDescent="0.2">
      <c r="A6553" s="126">
        <v>6492</v>
      </c>
      <c r="B6553" s="1832"/>
      <c r="D6553" s="2" t="str">
        <f t="shared" si="101"/>
        <v>OK</v>
      </c>
      <c r="E6553" s="4" t="s">
        <v>1992</v>
      </c>
    </row>
    <row r="6554" spans="1:5" x14ac:dyDescent="0.2">
      <c r="A6554" s="126">
        <v>6493</v>
      </c>
      <c r="B6554" s="1832"/>
      <c r="D6554" s="2" t="str">
        <f t="shared" si="101"/>
        <v>OK</v>
      </c>
      <c r="E6554" s="4" t="s">
        <v>1992</v>
      </c>
    </row>
    <row r="6555" spans="1:5" x14ac:dyDescent="0.2">
      <c r="A6555" s="126">
        <v>6494</v>
      </c>
      <c r="B6555" s="1832"/>
      <c r="D6555" s="2" t="str">
        <f t="shared" si="101"/>
        <v>OK</v>
      </c>
      <c r="E6555" s="4" t="s">
        <v>1992</v>
      </c>
    </row>
    <row r="6556" spans="1:5" x14ac:dyDescent="0.2">
      <c r="A6556" s="126">
        <v>6495</v>
      </c>
      <c r="B6556" s="1832"/>
      <c r="D6556" s="2" t="str">
        <f t="shared" si="101"/>
        <v>OK</v>
      </c>
      <c r="E6556" s="4" t="s">
        <v>1992</v>
      </c>
    </row>
    <row r="6557" spans="1:5" x14ac:dyDescent="0.2">
      <c r="A6557" s="126">
        <v>6496</v>
      </c>
      <c r="B6557" s="1832"/>
      <c r="D6557" s="2" t="str">
        <f t="shared" si="101"/>
        <v>OK</v>
      </c>
      <c r="E6557" s="4" t="s">
        <v>1992</v>
      </c>
    </row>
    <row r="6558" spans="1:5" x14ac:dyDescent="0.2">
      <c r="A6558" s="126">
        <v>6497</v>
      </c>
      <c r="B6558" s="1832"/>
      <c r="D6558" s="2" t="str">
        <f t="shared" si="101"/>
        <v>OK</v>
      </c>
      <c r="E6558" s="4" t="s">
        <v>1992</v>
      </c>
    </row>
    <row r="6559" spans="1:5" x14ac:dyDescent="0.2">
      <c r="A6559" s="126">
        <v>6498</v>
      </c>
      <c r="B6559" s="1832"/>
      <c r="D6559" s="2" t="str">
        <f t="shared" si="101"/>
        <v>OK</v>
      </c>
      <c r="E6559" s="4" t="s">
        <v>1992</v>
      </c>
    </row>
    <row r="6560" spans="1:5" x14ac:dyDescent="0.2">
      <c r="A6560" s="126">
        <v>6499</v>
      </c>
      <c r="B6560" s="1832"/>
      <c r="D6560" s="2" t="str">
        <f t="shared" si="101"/>
        <v>OK</v>
      </c>
      <c r="E6560" s="4" t="s">
        <v>1992</v>
      </c>
    </row>
    <row r="6561" spans="1:5" x14ac:dyDescent="0.2">
      <c r="A6561" s="126">
        <v>6500</v>
      </c>
      <c r="B6561" s="1832"/>
      <c r="D6561" s="2" t="str">
        <f t="shared" si="101"/>
        <v>OK</v>
      </c>
      <c r="E6561" s="4" t="s">
        <v>1992</v>
      </c>
    </row>
    <row r="6562" spans="1:5" x14ac:dyDescent="0.2">
      <c r="A6562" s="126">
        <v>6501</v>
      </c>
      <c r="B6562" s="1832"/>
      <c r="D6562" s="2" t="str">
        <f t="shared" si="101"/>
        <v>OK</v>
      </c>
      <c r="E6562" s="4" t="s">
        <v>1992</v>
      </c>
    </row>
    <row r="6563" spans="1:5" x14ac:dyDescent="0.2">
      <c r="A6563" s="126">
        <v>6502</v>
      </c>
      <c r="B6563" s="1832"/>
      <c r="D6563" s="2" t="str">
        <f t="shared" si="101"/>
        <v>OK</v>
      </c>
      <c r="E6563" s="4" t="s">
        <v>1992</v>
      </c>
    </row>
    <row r="6564" spans="1:5" x14ac:dyDescent="0.2">
      <c r="A6564" s="126">
        <v>6503</v>
      </c>
      <c r="B6564" s="1832"/>
      <c r="D6564" s="2" t="str">
        <f t="shared" si="101"/>
        <v>OK</v>
      </c>
      <c r="E6564" s="4" t="s">
        <v>1992</v>
      </c>
    </row>
    <row r="6565" spans="1:5" x14ac:dyDescent="0.2">
      <c r="A6565" s="126">
        <v>6504</v>
      </c>
      <c r="B6565" s="1832"/>
      <c r="D6565" s="2" t="str">
        <f t="shared" si="101"/>
        <v>OK</v>
      </c>
      <c r="E6565" s="4" t="s">
        <v>1992</v>
      </c>
    </row>
    <row r="6566" spans="1:5" x14ac:dyDescent="0.2">
      <c r="A6566" s="126">
        <v>6505</v>
      </c>
      <c r="B6566" s="1832"/>
      <c r="D6566" s="2" t="str">
        <f t="shared" si="101"/>
        <v>OK</v>
      </c>
      <c r="E6566" s="4" t="s">
        <v>1992</v>
      </c>
    </row>
    <row r="6567" spans="1:5" x14ac:dyDescent="0.2">
      <c r="A6567" s="126">
        <v>6506</v>
      </c>
      <c r="B6567" s="1832"/>
      <c r="D6567" s="2" t="str">
        <f t="shared" si="101"/>
        <v>OK</v>
      </c>
      <c r="E6567" s="4" t="s">
        <v>1992</v>
      </c>
    </row>
    <row r="6568" spans="1:5" x14ac:dyDescent="0.2">
      <c r="A6568" s="126">
        <v>6507</v>
      </c>
      <c r="B6568" s="1832"/>
      <c r="D6568" s="2" t="str">
        <f t="shared" si="101"/>
        <v>OK</v>
      </c>
      <c r="E6568" s="4" t="s">
        <v>1992</v>
      </c>
    </row>
    <row r="6569" spans="1:5" x14ac:dyDescent="0.2">
      <c r="A6569" s="126">
        <v>6508</v>
      </c>
      <c r="B6569" s="1832"/>
      <c r="D6569" s="2" t="str">
        <f t="shared" si="101"/>
        <v>OK</v>
      </c>
      <c r="E6569" s="4" t="s">
        <v>1992</v>
      </c>
    </row>
    <row r="6570" spans="1:5" x14ac:dyDescent="0.2">
      <c r="A6570" s="126">
        <v>6509</v>
      </c>
      <c r="B6570" s="1832"/>
      <c r="D6570" s="2" t="str">
        <f t="shared" si="101"/>
        <v>OK</v>
      </c>
      <c r="E6570" s="4" t="s">
        <v>1992</v>
      </c>
    </row>
    <row r="6571" spans="1:5" x14ac:dyDescent="0.2">
      <c r="A6571" s="126">
        <v>6510</v>
      </c>
      <c r="B6571" s="1832"/>
      <c r="D6571" s="2" t="str">
        <f t="shared" si="101"/>
        <v>OK</v>
      </c>
      <c r="E6571" s="4" t="s">
        <v>1992</v>
      </c>
    </row>
    <row r="6572" spans="1:5" x14ac:dyDescent="0.2">
      <c r="A6572" s="126">
        <v>6511</v>
      </c>
      <c r="B6572" s="1832"/>
      <c r="D6572" s="2" t="str">
        <f t="shared" si="101"/>
        <v>OK</v>
      </c>
      <c r="E6572" s="4" t="s">
        <v>1992</v>
      </c>
    </row>
    <row r="6573" spans="1:5" x14ac:dyDescent="0.2">
      <c r="A6573" s="126">
        <v>6512</v>
      </c>
      <c r="B6573" s="1832"/>
      <c r="D6573" s="2" t="str">
        <f t="shared" si="101"/>
        <v>OK</v>
      </c>
      <c r="E6573" s="4" t="s">
        <v>1992</v>
      </c>
    </row>
    <row r="6574" spans="1:5" x14ac:dyDescent="0.2">
      <c r="A6574" s="126">
        <v>6513</v>
      </c>
      <c r="B6574" s="1832"/>
      <c r="D6574" s="2" t="str">
        <f t="shared" si="101"/>
        <v>OK</v>
      </c>
      <c r="E6574" s="4" t="s">
        <v>1992</v>
      </c>
    </row>
    <row r="6575" spans="1:5" x14ac:dyDescent="0.2">
      <c r="A6575" s="126">
        <v>6514</v>
      </c>
      <c r="B6575" s="1832"/>
      <c r="D6575" s="2" t="str">
        <f t="shared" si="101"/>
        <v>OK</v>
      </c>
      <c r="E6575" s="4" t="s">
        <v>1992</v>
      </c>
    </row>
    <row r="6576" spans="1:5" x14ac:dyDescent="0.2">
      <c r="A6576" s="126">
        <v>6515</v>
      </c>
      <c r="B6576" s="1832"/>
      <c r="D6576" s="2" t="str">
        <f t="shared" si="101"/>
        <v>OK</v>
      </c>
      <c r="E6576" s="4" t="s">
        <v>1992</v>
      </c>
    </row>
    <row r="6577" spans="1:5" x14ac:dyDescent="0.2">
      <c r="A6577" s="126">
        <v>6516</v>
      </c>
      <c r="B6577" s="1832"/>
      <c r="D6577" s="2" t="str">
        <f t="shared" si="101"/>
        <v>OK</v>
      </c>
      <c r="E6577" s="4" t="s">
        <v>1992</v>
      </c>
    </row>
    <row r="6578" spans="1:5" x14ac:dyDescent="0.2">
      <c r="A6578" s="126">
        <v>6517</v>
      </c>
      <c r="B6578" s="1832"/>
      <c r="D6578" s="2" t="str">
        <f t="shared" si="101"/>
        <v>OK</v>
      </c>
      <c r="E6578" s="4" t="s">
        <v>1992</v>
      </c>
    </row>
    <row r="6579" spans="1:5" x14ac:dyDescent="0.2">
      <c r="A6579" s="126">
        <v>6518</v>
      </c>
      <c r="B6579" s="1832"/>
      <c r="D6579" s="2" t="str">
        <f t="shared" si="101"/>
        <v>OK</v>
      </c>
      <c r="E6579" s="4" t="s">
        <v>1992</v>
      </c>
    </row>
    <row r="6580" spans="1:5" x14ac:dyDescent="0.2">
      <c r="A6580" s="126">
        <v>6519</v>
      </c>
      <c r="B6580" s="1832"/>
      <c r="D6580" s="2" t="str">
        <f t="shared" si="101"/>
        <v>OK</v>
      </c>
      <c r="E6580" s="4" t="s">
        <v>1992</v>
      </c>
    </row>
    <row r="6581" spans="1:5" x14ac:dyDescent="0.2">
      <c r="A6581" s="126">
        <v>6520</v>
      </c>
      <c r="B6581" s="1832"/>
      <c r="D6581" s="2" t="str">
        <f t="shared" si="101"/>
        <v>OK</v>
      </c>
      <c r="E6581" s="4" t="s">
        <v>1992</v>
      </c>
    </row>
    <row r="6582" spans="1:5" x14ac:dyDescent="0.2">
      <c r="A6582" s="126">
        <v>6521</v>
      </c>
      <c r="B6582" s="1832"/>
      <c r="D6582" s="2" t="str">
        <f t="shared" si="101"/>
        <v>OK</v>
      </c>
      <c r="E6582" s="4" t="s">
        <v>1992</v>
      </c>
    </row>
    <row r="6583" spans="1:5" x14ac:dyDescent="0.2">
      <c r="A6583" s="126">
        <v>6522</v>
      </c>
      <c r="B6583" s="1832"/>
      <c r="D6583" s="2" t="str">
        <f t="shared" si="101"/>
        <v>OK</v>
      </c>
      <c r="E6583" s="4" t="s">
        <v>1992</v>
      </c>
    </row>
    <row r="6584" spans="1:5" x14ac:dyDescent="0.2">
      <c r="A6584" s="126">
        <v>6523</v>
      </c>
      <c r="B6584" s="1832"/>
      <c r="D6584" s="2" t="str">
        <f t="shared" si="101"/>
        <v>OK</v>
      </c>
      <c r="E6584" s="4" t="s">
        <v>1992</v>
      </c>
    </row>
    <row r="6585" spans="1:5" x14ac:dyDescent="0.2">
      <c r="A6585" s="126">
        <v>6524</v>
      </c>
      <c r="B6585" s="1832"/>
      <c r="D6585" s="2" t="str">
        <f t="shared" si="101"/>
        <v>OK</v>
      </c>
      <c r="E6585" s="4" t="s">
        <v>1992</v>
      </c>
    </row>
    <row r="6586" spans="1:5" x14ac:dyDescent="0.2">
      <c r="A6586" s="126">
        <v>6525</v>
      </c>
      <c r="B6586" s="1832"/>
      <c r="D6586" s="2" t="str">
        <f t="shared" si="101"/>
        <v>OK</v>
      </c>
      <c r="E6586" s="4" t="s">
        <v>1992</v>
      </c>
    </row>
    <row r="6587" spans="1:5" x14ac:dyDescent="0.2">
      <c r="A6587" s="126">
        <v>6526</v>
      </c>
      <c r="B6587" s="1832"/>
      <c r="D6587" s="2" t="str">
        <f t="shared" si="101"/>
        <v>OK</v>
      </c>
      <c r="E6587" s="4" t="s">
        <v>1992</v>
      </c>
    </row>
    <row r="6588" spans="1:5" x14ac:dyDescent="0.2">
      <c r="A6588" s="126">
        <v>6527</v>
      </c>
      <c r="B6588" s="1832"/>
      <c r="D6588" s="2" t="str">
        <f t="shared" si="101"/>
        <v>OK</v>
      </c>
      <c r="E6588" s="4" t="s">
        <v>1992</v>
      </c>
    </row>
    <row r="6589" spans="1:5" x14ac:dyDescent="0.2">
      <c r="A6589" s="126">
        <v>6528</v>
      </c>
      <c r="B6589" s="1832"/>
      <c r="D6589" s="2" t="str">
        <f t="shared" si="101"/>
        <v>OK</v>
      </c>
      <c r="E6589" s="4" t="s">
        <v>1992</v>
      </c>
    </row>
    <row r="6590" spans="1:5" x14ac:dyDescent="0.2">
      <c r="A6590" s="126">
        <v>6529</v>
      </c>
      <c r="B6590" s="1832"/>
      <c r="D6590" s="2" t="str">
        <f t="shared" si="101"/>
        <v>OK</v>
      </c>
      <c r="E6590" s="4" t="s">
        <v>1992</v>
      </c>
    </row>
    <row r="6591" spans="1:5" x14ac:dyDescent="0.2">
      <c r="A6591" s="126">
        <v>6530</v>
      </c>
      <c r="B6591" s="1832"/>
      <c r="D6591" s="2" t="str">
        <f t="shared" ref="D6591:D6654" si="102">IF(ISBLANK(B6591),"OK",IF(A6591-B6591=0,"OK","Error?"))</f>
        <v>OK</v>
      </c>
      <c r="E6591" s="4" t="s">
        <v>1992</v>
      </c>
    </row>
    <row r="6592" spans="1:5" x14ac:dyDescent="0.2">
      <c r="A6592" s="126">
        <v>6531</v>
      </c>
      <c r="B6592" s="1832"/>
      <c r="D6592" s="2" t="str">
        <f t="shared" si="102"/>
        <v>OK</v>
      </c>
      <c r="E6592" s="4" t="s">
        <v>1992</v>
      </c>
    </row>
    <row r="6593" spans="1:5" x14ac:dyDescent="0.2">
      <c r="A6593" s="126">
        <v>6532</v>
      </c>
      <c r="B6593" s="1832"/>
      <c r="D6593" s="2" t="str">
        <f t="shared" si="102"/>
        <v>OK</v>
      </c>
      <c r="E6593" s="4" t="s">
        <v>1992</v>
      </c>
    </row>
    <row r="6594" spans="1:5" x14ac:dyDescent="0.2">
      <c r="A6594" s="126">
        <v>6533</v>
      </c>
      <c r="B6594" s="1832"/>
      <c r="D6594" s="2" t="str">
        <f t="shared" si="102"/>
        <v>OK</v>
      </c>
      <c r="E6594" s="4" t="s">
        <v>1992</v>
      </c>
    </row>
    <row r="6595" spans="1:5" x14ac:dyDescent="0.2">
      <c r="A6595" s="126">
        <v>6534</v>
      </c>
      <c r="B6595" s="1832"/>
      <c r="D6595" s="2" t="str">
        <f t="shared" si="102"/>
        <v>OK</v>
      </c>
      <c r="E6595" s="4" t="s">
        <v>1992</v>
      </c>
    </row>
    <row r="6596" spans="1:5" x14ac:dyDescent="0.2">
      <c r="A6596" s="126">
        <v>6535</v>
      </c>
      <c r="B6596" s="1832"/>
      <c r="D6596" s="2" t="str">
        <f t="shared" si="102"/>
        <v>OK</v>
      </c>
      <c r="E6596" s="4" t="s">
        <v>1992</v>
      </c>
    </row>
    <row r="6597" spans="1:5" x14ac:dyDescent="0.2">
      <c r="A6597" s="126">
        <v>6536</v>
      </c>
      <c r="B6597" s="1832"/>
      <c r="D6597" s="2" t="str">
        <f t="shared" si="102"/>
        <v>OK</v>
      </c>
      <c r="E6597" s="4" t="s">
        <v>1992</v>
      </c>
    </row>
    <row r="6598" spans="1:5" x14ac:dyDescent="0.2">
      <c r="A6598" s="126">
        <v>6537</v>
      </c>
      <c r="B6598" s="1832"/>
      <c r="D6598" s="2" t="str">
        <f t="shared" si="102"/>
        <v>OK</v>
      </c>
      <c r="E6598" s="4" t="s">
        <v>1992</v>
      </c>
    </row>
    <row r="6599" spans="1:5" x14ac:dyDescent="0.2">
      <c r="A6599" s="126">
        <v>6538</v>
      </c>
      <c r="B6599" s="1832"/>
      <c r="D6599" s="2" t="str">
        <f t="shared" si="102"/>
        <v>OK</v>
      </c>
      <c r="E6599" s="4" t="s">
        <v>1992</v>
      </c>
    </row>
    <row r="6600" spans="1:5" x14ac:dyDescent="0.2">
      <c r="A6600" s="126">
        <v>6539</v>
      </c>
      <c r="B6600" s="1832"/>
      <c r="D6600" s="2" t="str">
        <f t="shared" si="102"/>
        <v>OK</v>
      </c>
      <c r="E6600" s="4" t="s">
        <v>1992</v>
      </c>
    </row>
    <row r="6601" spans="1:5" x14ac:dyDescent="0.2">
      <c r="A6601" s="126">
        <v>6540</v>
      </c>
      <c r="B6601" s="1832"/>
      <c r="D6601" s="2" t="str">
        <f t="shared" si="102"/>
        <v>OK</v>
      </c>
      <c r="E6601" s="4" t="s">
        <v>1992</v>
      </c>
    </row>
    <row r="6602" spans="1:5" x14ac:dyDescent="0.2">
      <c r="A6602" s="126">
        <v>6541</v>
      </c>
      <c r="B6602" s="1832"/>
      <c r="D6602" s="2" t="str">
        <f t="shared" si="102"/>
        <v>OK</v>
      </c>
      <c r="E6602" s="4" t="s">
        <v>1992</v>
      </c>
    </row>
    <row r="6603" spans="1:5" x14ac:dyDescent="0.2">
      <c r="A6603" s="126">
        <v>6542</v>
      </c>
      <c r="B6603" s="1832"/>
      <c r="D6603" s="2" t="str">
        <f t="shared" si="102"/>
        <v>OK</v>
      </c>
      <c r="E6603" s="4" t="s">
        <v>1992</v>
      </c>
    </row>
    <row r="6604" spans="1:5" x14ac:dyDescent="0.2">
      <c r="A6604" s="126">
        <v>6543</v>
      </c>
      <c r="B6604" s="1832"/>
      <c r="D6604" s="2" t="str">
        <f t="shared" si="102"/>
        <v>OK</v>
      </c>
      <c r="E6604" s="4" t="s">
        <v>1992</v>
      </c>
    </row>
    <row r="6605" spans="1:5" x14ac:dyDescent="0.2">
      <c r="A6605" s="126">
        <v>6544</v>
      </c>
      <c r="B6605" s="1832"/>
      <c r="D6605" s="2" t="str">
        <f t="shared" si="102"/>
        <v>OK</v>
      </c>
      <c r="E6605" s="4" t="s">
        <v>1992</v>
      </c>
    </row>
    <row r="6606" spans="1:5" x14ac:dyDescent="0.2">
      <c r="A6606" s="126">
        <v>6545</v>
      </c>
      <c r="B6606" s="1832"/>
      <c r="D6606" s="2" t="str">
        <f t="shared" si="102"/>
        <v>OK</v>
      </c>
      <c r="E6606" s="4" t="s">
        <v>1992</v>
      </c>
    </row>
    <row r="6607" spans="1:5" x14ac:dyDescent="0.2">
      <c r="A6607" s="126">
        <v>6546</v>
      </c>
      <c r="B6607" s="1832"/>
      <c r="D6607" s="2" t="str">
        <f t="shared" si="102"/>
        <v>OK</v>
      </c>
      <c r="E6607" s="4" t="s">
        <v>1992</v>
      </c>
    </row>
    <row r="6608" spans="1:5" x14ac:dyDescent="0.2">
      <c r="A6608" s="126">
        <v>6547</v>
      </c>
      <c r="B6608" s="1832"/>
      <c r="D6608" s="2" t="str">
        <f t="shared" si="102"/>
        <v>OK</v>
      </c>
      <c r="E6608" s="4" t="s">
        <v>1992</v>
      </c>
    </row>
    <row r="6609" spans="1:5" x14ac:dyDescent="0.2">
      <c r="A6609" s="126">
        <v>6548</v>
      </c>
      <c r="B6609" s="1832"/>
      <c r="D6609" s="2" t="str">
        <f t="shared" si="102"/>
        <v>OK</v>
      </c>
      <c r="E6609" s="4" t="s">
        <v>1992</v>
      </c>
    </row>
    <row r="6610" spans="1:5" x14ac:dyDescent="0.2">
      <c r="A6610" s="126">
        <v>6549</v>
      </c>
      <c r="B6610" s="1832"/>
      <c r="D6610" s="2" t="str">
        <f t="shared" si="102"/>
        <v>OK</v>
      </c>
      <c r="E6610" s="4" t="s">
        <v>1992</v>
      </c>
    </row>
    <row r="6611" spans="1:5" x14ac:dyDescent="0.2">
      <c r="A6611" s="126">
        <v>6550</v>
      </c>
      <c r="B6611" s="1832"/>
      <c r="D6611" s="2" t="str">
        <f t="shared" si="102"/>
        <v>OK</v>
      </c>
      <c r="E6611" s="4" t="s">
        <v>1992</v>
      </c>
    </row>
    <row r="6612" spans="1:5" x14ac:dyDescent="0.2">
      <c r="A6612" s="126">
        <v>6551</v>
      </c>
      <c r="B6612" s="1832"/>
      <c r="D6612" s="2" t="str">
        <f t="shared" si="102"/>
        <v>OK</v>
      </c>
      <c r="E6612" s="4" t="s">
        <v>1992</v>
      </c>
    </row>
    <row r="6613" spans="1:5" x14ac:dyDescent="0.2">
      <c r="A6613" s="126">
        <v>6552</v>
      </c>
      <c r="B6613" s="1832"/>
      <c r="D6613" s="2" t="str">
        <f t="shared" si="102"/>
        <v>OK</v>
      </c>
      <c r="E6613" s="4" t="s">
        <v>1992</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1896</v>
      </c>
    </row>
    <row r="6842" spans="1:5" x14ac:dyDescent="0.2">
      <c r="A6842" s="126">
        <v>6781</v>
      </c>
      <c r="B6842" s="1832"/>
      <c r="D6842" s="2" t="str">
        <f t="shared" si="105"/>
        <v>OK</v>
      </c>
      <c r="E6842" s="1" t="s">
        <v>1896</v>
      </c>
    </row>
    <row r="6843" spans="1:5" x14ac:dyDescent="0.2">
      <c r="A6843" s="126">
        <v>6782</v>
      </c>
      <c r="B6843" s="1832"/>
      <c r="D6843" s="2" t="str">
        <f t="shared" si="105"/>
        <v>OK</v>
      </c>
      <c r="E6843" s="1" t="s">
        <v>1896</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878940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4803</v>
      </c>
      <c r="D7049" s="2" t="str">
        <f t="shared" si="109"/>
        <v>Error?</v>
      </c>
    </row>
    <row r="7050" spans="1:5" x14ac:dyDescent="0.2">
      <c r="A7050">
        <v>6989</v>
      </c>
      <c r="B7050" s="1832">
        <f>'Expenditures 15-22'!K148</f>
        <v>4803</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870426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43349</v>
      </c>
      <c r="D7093" s="2" t="str">
        <f t="shared" si="109"/>
        <v>Error?</v>
      </c>
    </row>
    <row r="7094" spans="1:4" x14ac:dyDescent="0.2">
      <c r="A7094">
        <v>7033</v>
      </c>
      <c r="B7094" s="1832">
        <f>'Expenditures 15-22'!K254</f>
        <v>43349</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38107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38107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7140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7140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52581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52581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656694</v>
      </c>
      <c r="D7172" s="2" t="str">
        <f t="shared" si="111"/>
        <v>Error?</v>
      </c>
    </row>
    <row r="7173" spans="1:4" x14ac:dyDescent="0.2">
      <c r="A7173">
        <v>7112</v>
      </c>
      <c r="B7173" s="1832">
        <f>'Expenditures 15-22'!D325</f>
        <v>11613</v>
      </c>
      <c r="D7173" s="2" t="str">
        <f t="shared" si="111"/>
        <v>Error?</v>
      </c>
    </row>
    <row r="7174" spans="1:4" x14ac:dyDescent="0.2">
      <c r="A7174">
        <v>7113</v>
      </c>
      <c r="B7174" s="1832">
        <f>'Expenditures 15-22'!E325</f>
        <v>108274</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776581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4531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4531</v>
      </c>
      <c r="D7198" s="2" t="str">
        <f t="shared" si="111"/>
        <v>Error?</v>
      </c>
    </row>
    <row r="7199" spans="1:4" x14ac:dyDescent="0.2">
      <c r="A7199">
        <v>7138</v>
      </c>
      <c r="B7199" s="1832">
        <f>'Expenditures 15-22'!C330</f>
        <v>656694</v>
      </c>
      <c r="D7199" s="2" t="str">
        <f t="shared" si="111"/>
        <v>Error?</v>
      </c>
    </row>
    <row r="7200" spans="1:4" x14ac:dyDescent="0.2">
      <c r="A7200">
        <v>7139</v>
      </c>
      <c r="B7200" s="1832">
        <f>'Expenditures 15-22'!D330</f>
        <v>11613</v>
      </c>
      <c r="D7200" s="2" t="str">
        <f t="shared" si="111"/>
        <v>Error?</v>
      </c>
    </row>
    <row r="7201" spans="1:4" x14ac:dyDescent="0.2">
      <c r="A7201">
        <v>7140</v>
      </c>
      <c r="B7201" s="1832">
        <f>'Expenditures 15-22'!E330</f>
        <v>210633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878940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656694</v>
      </c>
      <c r="D7216" s="2" t="str">
        <f t="shared" si="111"/>
        <v>Error?</v>
      </c>
    </row>
    <row r="7217" spans="1:4" x14ac:dyDescent="0.2">
      <c r="A7217">
        <v>7156</v>
      </c>
      <c r="B7217" s="1832">
        <f>'Expenditures 15-22'!D342</f>
        <v>11613</v>
      </c>
      <c r="D7217" s="2" t="str">
        <f t="shared" si="111"/>
        <v>Error?</v>
      </c>
    </row>
    <row r="7218" spans="1:4" x14ac:dyDescent="0.2">
      <c r="A7218">
        <v>7157</v>
      </c>
      <c r="B7218" s="1832">
        <f>'Expenditures 15-22'!E342</f>
        <v>210633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878940</v>
      </c>
      <c r="D7224" s="2" t="str">
        <f t="shared" si="111"/>
        <v>Error?</v>
      </c>
    </row>
    <row r="7225" spans="1:4" x14ac:dyDescent="0.2">
      <c r="A7225">
        <v>7164</v>
      </c>
      <c r="B7225" s="1832">
        <f>'Expenditures 15-22'!K343</f>
        <v>-8514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605463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1993</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1993</v>
      </c>
    </row>
    <row r="7641" spans="1:6" x14ac:dyDescent="0.2">
      <c r="A7641" s="126">
        <f t="shared" si="125"/>
        <v>7580</v>
      </c>
      <c r="B7641" s="1833"/>
      <c r="D7641" s="2" t="str">
        <f t="shared" si="124"/>
        <v>OK</v>
      </c>
      <c r="E7641" s="4" t="s">
        <v>1993</v>
      </c>
    </row>
    <row r="7642" spans="1:6" x14ac:dyDescent="0.2">
      <c r="A7642" s="126">
        <f t="shared" si="125"/>
        <v>7581</v>
      </c>
      <c r="B7642" s="1833"/>
      <c r="D7642" s="2" t="str">
        <f t="shared" si="124"/>
        <v>OK</v>
      </c>
      <c r="E7642" s="4" t="s">
        <v>1993</v>
      </c>
    </row>
    <row r="7643" spans="1:6" x14ac:dyDescent="0.2">
      <c r="A7643" s="126">
        <f t="shared" si="125"/>
        <v>7582</v>
      </c>
      <c r="B7643" s="1833"/>
      <c r="D7643" s="2" t="str">
        <f t="shared" si="124"/>
        <v>OK</v>
      </c>
      <c r="E7643" s="4" t="s">
        <v>1993</v>
      </c>
    </row>
    <row r="7644" spans="1:6" x14ac:dyDescent="0.2">
      <c r="A7644" s="126">
        <f t="shared" si="125"/>
        <v>7583</v>
      </c>
      <c r="B7644" s="1833"/>
      <c r="D7644" s="2" t="str">
        <f t="shared" si="124"/>
        <v>OK</v>
      </c>
      <c r="E7644" s="4" t="s">
        <v>1993</v>
      </c>
    </row>
    <row r="7645" spans="1:6" x14ac:dyDescent="0.2">
      <c r="A7645" s="126">
        <f t="shared" si="125"/>
        <v>7584</v>
      </c>
      <c r="B7645" s="1833"/>
      <c r="D7645" s="2" t="str">
        <f t="shared" si="124"/>
        <v>OK</v>
      </c>
      <c r="E7645" s="4" t="s">
        <v>1993</v>
      </c>
    </row>
    <row r="7646" spans="1:6" x14ac:dyDescent="0.2">
      <c r="A7646" s="126">
        <f t="shared" si="125"/>
        <v>7585</v>
      </c>
      <c r="B7646" s="1833"/>
      <c r="D7646" s="2" t="str">
        <f t="shared" si="124"/>
        <v>OK</v>
      </c>
      <c r="E7646" s="4" t="s">
        <v>1993</v>
      </c>
    </row>
    <row r="7647" spans="1:6" x14ac:dyDescent="0.2">
      <c r="A7647" s="126">
        <f t="shared" si="125"/>
        <v>7586</v>
      </c>
      <c r="B7647" s="1833"/>
      <c r="D7647" s="2" t="str">
        <f t="shared" si="124"/>
        <v>OK</v>
      </c>
      <c r="E7647" s="4" t="s">
        <v>1993</v>
      </c>
    </row>
    <row r="7648" spans="1:6" x14ac:dyDescent="0.2">
      <c r="A7648" s="126">
        <f t="shared" si="125"/>
        <v>7587</v>
      </c>
      <c r="B7648" s="1833"/>
      <c r="D7648" s="2" t="str">
        <f t="shared" si="124"/>
        <v>OK</v>
      </c>
      <c r="E7648" s="4" t="s">
        <v>1993</v>
      </c>
    </row>
    <row r="7649" spans="1:5" x14ac:dyDescent="0.2">
      <c r="A7649" s="126">
        <f t="shared" si="125"/>
        <v>7588</v>
      </c>
      <c r="B7649" s="1833"/>
      <c r="D7649" s="2" t="str">
        <f t="shared" si="124"/>
        <v>OK</v>
      </c>
      <c r="E7649" s="4" t="s">
        <v>1993</v>
      </c>
    </row>
    <row r="7650" spans="1:5" x14ac:dyDescent="0.2">
      <c r="A7650" s="126">
        <f t="shared" si="125"/>
        <v>7589</v>
      </c>
      <c r="B7650" s="1833"/>
      <c r="D7650" s="2" t="str">
        <f t="shared" si="124"/>
        <v>OK</v>
      </c>
      <c r="E7650" s="4" t="s">
        <v>1993</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150000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3600</v>
      </c>
      <c r="D7712" s="2" t="str">
        <f t="shared" si="126"/>
        <v>Error?</v>
      </c>
      <c r="E7712" s="2" t="s">
        <v>822</v>
      </c>
    </row>
    <row r="7713" spans="1:6" x14ac:dyDescent="0.2">
      <c r="A7713">
        <v>7652</v>
      </c>
      <c r="B7713" s="1832">
        <f>'Rest Tax Levies-Tort Im 25'!J8</f>
        <v>20457</v>
      </c>
      <c r="D7713" s="2" t="str">
        <f t="shared" si="126"/>
        <v>Error?</v>
      </c>
      <c r="E7713" s="2" t="s">
        <v>822</v>
      </c>
    </row>
    <row r="7714" spans="1:6" x14ac:dyDescent="0.2">
      <c r="A7714">
        <v>7653</v>
      </c>
      <c r="B7714" s="1832">
        <f>'Rest Tax Levies-Tort Im 25'!K9</f>
        <v>8447</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20457</v>
      </c>
      <c r="D7718" s="2" t="str">
        <f t="shared" si="126"/>
        <v>Error?</v>
      </c>
      <c r="E7718" s="2" t="s">
        <v>822</v>
      </c>
    </row>
    <row r="7719" spans="1:6" x14ac:dyDescent="0.2">
      <c r="A7719">
        <v>7658</v>
      </c>
      <c r="B7719" s="1832">
        <f>'Rest Tax Levies-Tort Im 25'!K12</f>
        <v>12047</v>
      </c>
      <c r="D7719" s="2" t="str">
        <f t="shared" si="126"/>
        <v>Error?</v>
      </c>
      <c r="E7719" s="2" t="s">
        <v>822</v>
      </c>
    </row>
    <row r="7720" spans="1:6" x14ac:dyDescent="0.2">
      <c r="A7720">
        <v>7659</v>
      </c>
      <c r="B7720" s="1832">
        <f>'Rest Tax Levies-Tort Im 25'!H14</f>
        <v>53226</v>
      </c>
      <c r="D7720" s="2" t="str">
        <f t="shared" si="126"/>
        <v>Error?</v>
      </c>
      <c r="E7720" s="2" t="s">
        <v>822</v>
      </c>
    </row>
    <row r="7721" spans="1:6" x14ac:dyDescent="0.2">
      <c r="A7721">
        <v>7660</v>
      </c>
      <c r="B7721" s="1832">
        <f>'Rest Tax Levies-Tort Im 25'!K14</f>
        <v>12047</v>
      </c>
      <c r="D7721" s="2" t="str">
        <f t="shared" si="126"/>
        <v>Error?</v>
      </c>
      <c r="E7721" s="2" t="s">
        <v>822</v>
      </c>
    </row>
    <row r="7722" spans="1:6" x14ac:dyDescent="0.2">
      <c r="A7722">
        <v>7661</v>
      </c>
      <c r="B7722" s="1832">
        <f>'Rest Tax Levies-Tort Im 25'!J15</f>
        <v>20457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20457</v>
      </c>
      <c r="D7730" s="2" t="str">
        <f t="shared" si="126"/>
        <v>Error?</v>
      </c>
      <c r="E7730" s="2" t="s">
        <v>822</v>
      </c>
    </row>
    <row r="7731" spans="1:6" x14ac:dyDescent="0.2">
      <c r="A7731">
        <v>7670</v>
      </c>
      <c r="B7731" s="1832">
        <f>'Revenues 9-14'!H103</f>
        <v>20457</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1995</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1824</v>
      </c>
    </row>
    <row r="7775" spans="1:5" x14ac:dyDescent="0.2">
      <c r="A7775">
        <v>7714</v>
      </c>
      <c r="B7775" s="1832">
        <f>'Expenditures 15-22'!H133</f>
        <v>0</v>
      </c>
      <c r="D7775" s="2" t="str">
        <f t="shared" si="127"/>
        <v>Error?</v>
      </c>
      <c r="E7775" s="4" t="s">
        <v>1824</v>
      </c>
    </row>
    <row r="7776" spans="1:5" x14ac:dyDescent="0.2">
      <c r="A7776">
        <v>7715</v>
      </c>
      <c r="B7776" s="1832">
        <f>'Expenditures 15-22'!K133</f>
        <v>0</v>
      </c>
      <c r="D7776" s="2" t="str">
        <f t="shared" si="127"/>
        <v>Error?</v>
      </c>
      <c r="E7776" s="4" t="s">
        <v>1824</v>
      </c>
    </row>
    <row r="7777" spans="1:5" x14ac:dyDescent="0.2">
      <c r="A7777">
        <v>7716</v>
      </c>
      <c r="B7777" s="1832">
        <f>'Expenditures 15-22'!H157</f>
        <v>0</v>
      </c>
      <c r="D7777" s="2" t="str">
        <f t="shared" si="127"/>
        <v>Error?</v>
      </c>
      <c r="E7777" s="4" t="s">
        <v>1824</v>
      </c>
    </row>
    <row r="7778" spans="1:5" x14ac:dyDescent="0.2">
      <c r="A7778">
        <v>7717</v>
      </c>
      <c r="B7778" s="1832">
        <f>'Expenditures 15-22'!K157</f>
        <v>0</v>
      </c>
      <c r="D7778" s="2" t="str">
        <f t="shared" si="127"/>
        <v>Error?</v>
      </c>
      <c r="E7778" s="4" t="s">
        <v>1824</v>
      </c>
    </row>
    <row r="7779" spans="1:5" x14ac:dyDescent="0.2">
      <c r="A7779">
        <v>7718</v>
      </c>
      <c r="B7779" s="1832">
        <f>'Expenditures 15-22'!H158</f>
        <v>0</v>
      </c>
      <c r="D7779" s="2" t="str">
        <f t="shared" si="127"/>
        <v>Error?</v>
      </c>
      <c r="E7779" s="4" t="s">
        <v>1824</v>
      </c>
    </row>
    <row r="7780" spans="1:5" x14ac:dyDescent="0.2">
      <c r="A7780">
        <v>7719</v>
      </c>
      <c r="B7780" s="1832">
        <f>'Expenditures 15-22'!K158</f>
        <v>0</v>
      </c>
      <c r="D7780" s="2" t="str">
        <f t="shared" si="127"/>
        <v>Error?</v>
      </c>
      <c r="E7780" s="4" t="s">
        <v>1824</v>
      </c>
    </row>
    <row r="7781" spans="1:5" x14ac:dyDescent="0.2">
      <c r="A7781">
        <v>7720</v>
      </c>
      <c r="B7781" s="1832">
        <f>'Expenditures 15-22'!H159</f>
        <v>0</v>
      </c>
      <c r="D7781" s="2" t="str">
        <f t="shared" si="127"/>
        <v>Error?</v>
      </c>
      <c r="E7781" s="4" t="s">
        <v>1824</v>
      </c>
    </row>
    <row r="7782" spans="1:5" x14ac:dyDescent="0.2">
      <c r="A7782">
        <v>7721</v>
      </c>
      <c r="B7782" s="1832">
        <f>'Expenditures 15-22'!K159</f>
        <v>0</v>
      </c>
      <c r="D7782" s="2" t="str">
        <f t="shared" si="127"/>
        <v>Error?</v>
      </c>
      <c r="E7782" s="4" t="s">
        <v>1824</v>
      </c>
    </row>
    <row r="7783" spans="1:5" x14ac:dyDescent="0.2">
      <c r="A7783">
        <v>7722</v>
      </c>
      <c r="B7783" s="1832">
        <f>'Expenditures 15-22'!D282</f>
        <v>0</v>
      </c>
      <c r="D7783" s="2" t="str">
        <f t="shared" si="127"/>
        <v>Error?</v>
      </c>
      <c r="E7783" s="4" t="s">
        <v>1824</v>
      </c>
    </row>
    <row r="7784" spans="1:5" x14ac:dyDescent="0.2">
      <c r="A7784">
        <v>7723</v>
      </c>
      <c r="B7784" s="1832">
        <f>'Expenditures 15-22'!K282</f>
        <v>0</v>
      </c>
      <c r="D7784" s="2" t="str">
        <f t="shared" si="127"/>
        <v>Error?</v>
      </c>
      <c r="E7784" s="4" t="s">
        <v>1824</v>
      </c>
    </row>
    <row r="7785" spans="1:5" x14ac:dyDescent="0.2">
      <c r="A7785">
        <v>7724</v>
      </c>
      <c r="B7785" s="1832">
        <f>'Expenditures 15-22'!H332</f>
        <v>0</v>
      </c>
      <c r="D7785" s="2" t="str">
        <f t="shared" si="127"/>
        <v>Error?</v>
      </c>
      <c r="E7785" s="4" t="s">
        <v>1824</v>
      </c>
    </row>
    <row r="7786" spans="1:5" x14ac:dyDescent="0.2">
      <c r="A7786">
        <v>7725</v>
      </c>
      <c r="B7786" s="1832">
        <f>'Expenditures 15-22'!K332</f>
        <v>0</v>
      </c>
      <c r="D7786" s="2" t="str">
        <f t="shared" si="127"/>
        <v>Error?</v>
      </c>
      <c r="E7786" s="4" t="s">
        <v>1824</v>
      </c>
    </row>
    <row r="7787" spans="1:5" x14ac:dyDescent="0.2">
      <c r="A7787">
        <v>7726</v>
      </c>
      <c r="B7787" s="1832">
        <f>'Expenditures 15-22'!H333</f>
        <v>0</v>
      </c>
      <c r="D7787" s="2" t="str">
        <f t="shared" si="127"/>
        <v>Error?</v>
      </c>
      <c r="E7787" s="4" t="s">
        <v>1824</v>
      </c>
    </row>
    <row r="7788" spans="1:5" x14ac:dyDescent="0.2">
      <c r="A7788">
        <v>7727</v>
      </c>
      <c r="B7788" s="1832">
        <f>'Expenditures 15-22'!K333</f>
        <v>0</v>
      </c>
      <c r="D7788" s="2" t="str">
        <f t="shared" si="127"/>
        <v>Error?</v>
      </c>
      <c r="E7788" s="4" t="s">
        <v>1824</v>
      </c>
    </row>
    <row r="7789" spans="1:5" x14ac:dyDescent="0.2">
      <c r="A7789">
        <v>7728</v>
      </c>
      <c r="B7789" s="1832">
        <f>'Expenditures 15-22'!H334</f>
        <v>0</v>
      </c>
      <c r="D7789" s="2" t="str">
        <f t="shared" si="127"/>
        <v>Error?</v>
      </c>
      <c r="E7789" s="4" t="s">
        <v>1824</v>
      </c>
    </row>
    <row r="7790" spans="1:5" x14ac:dyDescent="0.2">
      <c r="A7790">
        <v>7729</v>
      </c>
      <c r="B7790" s="1832">
        <f>'Expenditures 15-22'!K334</f>
        <v>0</v>
      </c>
      <c r="D7790" s="2" t="str">
        <f t="shared" si="127"/>
        <v>Error?</v>
      </c>
      <c r="E7790" s="4" t="s">
        <v>1824</v>
      </c>
    </row>
    <row r="7791" spans="1:5" x14ac:dyDescent="0.2">
      <c r="A7791">
        <v>7730</v>
      </c>
      <c r="B7791" s="1832">
        <f>'Expenditures 15-22'!H354</f>
        <v>0</v>
      </c>
      <c r="D7791" s="2" t="str">
        <f t="shared" si="127"/>
        <v>Error?</v>
      </c>
      <c r="E7791" s="4" t="s">
        <v>1824</v>
      </c>
    </row>
    <row r="7792" spans="1:5" x14ac:dyDescent="0.2">
      <c r="A7792">
        <v>7731</v>
      </c>
      <c r="B7792" s="1832">
        <f>'Expenditures 15-22'!K354</f>
        <v>0</v>
      </c>
      <c r="D7792" s="2" t="str">
        <f t="shared" si="127"/>
        <v>Error?</v>
      </c>
      <c r="E7792" s="4" t="s">
        <v>1824</v>
      </c>
    </row>
    <row r="7793" spans="1:5" x14ac:dyDescent="0.2">
      <c r="A7793">
        <v>7732</v>
      </c>
      <c r="B7793" s="1832">
        <f>'Expenditures 15-22'!H355</f>
        <v>0</v>
      </c>
      <c r="D7793" s="2" t="str">
        <f t="shared" si="127"/>
        <v>Error?</v>
      </c>
      <c r="E7793" s="4" t="s">
        <v>1824</v>
      </c>
    </row>
    <row r="7794" spans="1:5" x14ac:dyDescent="0.2">
      <c r="A7794">
        <v>7733</v>
      </c>
      <c r="B7794" s="1832">
        <f>'Expenditures 15-22'!K355</f>
        <v>0</v>
      </c>
      <c r="D7794" s="2" t="str">
        <f t="shared" si="127"/>
        <v>Error?</v>
      </c>
      <c r="E7794" s="4" t="s">
        <v>1824</v>
      </c>
    </row>
    <row r="7795" spans="1:5" x14ac:dyDescent="0.2">
      <c r="A7795">
        <v>7734</v>
      </c>
      <c r="B7795" s="1832">
        <f>'Expenditures 15-22'!E138</f>
        <v>0</v>
      </c>
      <c r="D7795" s="2" t="str">
        <f t="shared" si="127"/>
        <v>Error?</v>
      </c>
      <c r="E7795" s="4" t="s">
        <v>1824</v>
      </c>
    </row>
    <row r="7796" spans="1:5" x14ac:dyDescent="0.2">
      <c r="A7796">
        <v>7735</v>
      </c>
      <c r="B7796" s="1832">
        <f>'Acct Summary 7-8'!J15</f>
        <v>0</v>
      </c>
      <c r="D7796" s="2" t="str">
        <f t="shared" si="127"/>
        <v>Error?</v>
      </c>
      <c r="E7796" s="4" t="s">
        <v>1824</v>
      </c>
    </row>
    <row r="7797" spans="1:5" x14ac:dyDescent="0.2">
      <c r="A7797" s="126">
        <v>7736</v>
      </c>
      <c r="B7797" s="1832"/>
      <c r="D7797" s="2" t="str">
        <f t="shared" si="127"/>
        <v>OK</v>
      </c>
      <c r="E7797" s="4" t="s">
        <v>1977</v>
      </c>
    </row>
    <row r="7798" spans="1:5" x14ac:dyDescent="0.2">
      <c r="A7798" s="126">
        <v>7737</v>
      </c>
      <c r="B7798" s="1832"/>
      <c r="D7798" s="2" t="str">
        <f t="shared" si="127"/>
        <v>OK</v>
      </c>
      <c r="E7798" s="4" t="s">
        <v>1977</v>
      </c>
    </row>
    <row r="7799" spans="1:5" x14ac:dyDescent="0.2">
      <c r="A7799" s="126">
        <v>7738</v>
      </c>
      <c r="B7799" s="1832"/>
      <c r="D7799" s="2" t="str">
        <f t="shared" si="127"/>
        <v>OK</v>
      </c>
      <c r="E7799" s="4" t="s">
        <v>1977</v>
      </c>
    </row>
    <row r="7800" spans="1:5" x14ac:dyDescent="0.2">
      <c r="A7800">
        <v>7739</v>
      </c>
      <c r="B7800" s="1832">
        <f>'Rest Tax Levies-Tort Im 25'!K23</f>
        <v>12047</v>
      </c>
      <c r="D7800" s="2" t="str">
        <f t="shared" si="127"/>
        <v>Error?</v>
      </c>
      <c r="E7800" s="4" t="s">
        <v>1964</v>
      </c>
    </row>
    <row r="7801" spans="1:5" x14ac:dyDescent="0.2">
      <c r="A7801">
        <v>7740</v>
      </c>
      <c r="B7801" s="1832">
        <f>'Revenues 9-14'!C120</f>
        <v>0</v>
      </c>
      <c r="D7801" s="2" t="str">
        <f t="shared" si="127"/>
        <v>Error?</v>
      </c>
      <c r="E7801" s="4" t="s">
        <v>1898</v>
      </c>
    </row>
    <row r="7802" spans="1:5" x14ac:dyDescent="0.2">
      <c r="A7802">
        <v>7741</v>
      </c>
      <c r="B7802" s="1832">
        <f>'Revenues 9-14'!D120</f>
        <v>0</v>
      </c>
      <c r="D7802" s="2" t="str">
        <f t="shared" si="127"/>
        <v>Error?</v>
      </c>
      <c r="E7802" s="4" t="s">
        <v>1898</v>
      </c>
    </row>
    <row r="7803" spans="1:5" x14ac:dyDescent="0.2">
      <c r="A7803">
        <v>7742</v>
      </c>
      <c r="B7803" s="1832">
        <f>'Revenues 9-14'!E120</f>
        <v>0</v>
      </c>
      <c r="D7803" s="2" t="str">
        <f t="shared" si="127"/>
        <v>Error?</v>
      </c>
      <c r="E7803" s="4" t="s">
        <v>1898</v>
      </c>
    </row>
    <row r="7804" spans="1:5" x14ac:dyDescent="0.2">
      <c r="A7804">
        <v>7743</v>
      </c>
      <c r="B7804" s="1832">
        <f>'Revenues 9-14'!F120</f>
        <v>0</v>
      </c>
      <c r="D7804" s="2" t="str">
        <f t="shared" si="127"/>
        <v>Error?</v>
      </c>
      <c r="E7804" s="4" t="s">
        <v>1898</v>
      </c>
    </row>
    <row r="7805" spans="1:5" x14ac:dyDescent="0.2">
      <c r="A7805">
        <v>7744</v>
      </c>
      <c r="B7805" s="1832">
        <f>'Revenues 9-14'!G120</f>
        <v>0</v>
      </c>
      <c r="D7805" s="2" t="str">
        <f t="shared" si="127"/>
        <v>Error?</v>
      </c>
      <c r="E7805" s="4" t="s">
        <v>1898</v>
      </c>
    </row>
    <row r="7806" spans="1:5" x14ac:dyDescent="0.2">
      <c r="A7806">
        <v>7745</v>
      </c>
      <c r="B7806" s="1832">
        <f>'Revenues 9-14'!H120</f>
        <v>0</v>
      </c>
      <c r="D7806" s="2" t="str">
        <f t="shared" si="127"/>
        <v>Error?</v>
      </c>
      <c r="E7806" s="4" t="s">
        <v>1898</v>
      </c>
    </row>
    <row r="7807" spans="1:5" x14ac:dyDescent="0.2">
      <c r="A7807">
        <v>7746</v>
      </c>
      <c r="B7807" s="1832">
        <f>'Revenues 9-14'!J120</f>
        <v>0</v>
      </c>
      <c r="D7807" s="2" t="str">
        <f t="shared" ref="D7807:D7821" si="128">IF(ISBLANK(B7807),"OK",IF(A7807-B7807=0,"OK","Error?"))</f>
        <v>Error?</v>
      </c>
      <c r="E7807" s="4" t="s">
        <v>1898</v>
      </c>
    </row>
    <row r="7808" spans="1:5" x14ac:dyDescent="0.2">
      <c r="A7808">
        <v>7747</v>
      </c>
      <c r="B7808" s="1832">
        <f>'Revenues 9-14'!K120</f>
        <v>0</v>
      </c>
      <c r="D7808" s="2" t="str">
        <f t="shared" si="128"/>
        <v>Error?</v>
      </c>
      <c r="E7808" s="4" t="s">
        <v>1898</v>
      </c>
    </row>
    <row r="7809" spans="1:5" x14ac:dyDescent="0.2">
      <c r="A7809">
        <v>7748</v>
      </c>
      <c r="B7809" s="1832">
        <f>'Revenues 9-14'!C261</f>
        <v>0</v>
      </c>
      <c r="D7809" s="2" t="str">
        <f t="shared" si="128"/>
        <v>Error?</v>
      </c>
      <c r="E7809" s="4" t="s">
        <v>1899</v>
      </c>
    </row>
    <row r="7810" spans="1:5" x14ac:dyDescent="0.2">
      <c r="A7810">
        <v>7749</v>
      </c>
      <c r="B7810" s="1832">
        <f>'Revenues 9-14'!D261</f>
        <v>0</v>
      </c>
      <c r="D7810" s="2" t="str">
        <f t="shared" si="128"/>
        <v>Error?</v>
      </c>
      <c r="E7810" s="4" t="s">
        <v>1899</v>
      </c>
    </row>
    <row r="7811" spans="1:5" x14ac:dyDescent="0.2">
      <c r="A7811">
        <v>7750</v>
      </c>
      <c r="B7811" s="1832">
        <f>'Revenues 9-14'!F261</f>
        <v>0</v>
      </c>
      <c r="D7811" s="2" t="str">
        <f t="shared" si="128"/>
        <v>Error?</v>
      </c>
      <c r="E7811" s="4" t="s">
        <v>1899</v>
      </c>
    </row>
    <row r="7812" spans="1:5" x14ac:dyDescent="0.2">
      <c r="A7812">
        <v>7751</v>
      </c>
      <c r="B7812" s="1832">
        <f>'Revenues 9-14'!G261</f>
        <v>0</v>
      </c>
      <c r="D7812" s="2" t="str">
        <f t="shared" si="128"/>
        <v>Error?</v>
      </c>
      <c r="E7812" s="4" t="s">
        <v>1899</v>
      </c>
    </row>
    <row r="7813" spans="1:5" x14ac:dyDescent="0.2">
      <c r="A7813">
        <v>7752</v>
      </c>
      <c r="B7813" s="1832">
        <f>'Revenues 9-14'!C262</f>
        <v>0</v>
      </c>
      <c r="D7813" s="2" t="str">
        <f t="shared" si="128"/>
        <v>Error?</v>
      </c>
      <c r="E7813" s="4" t="s">
        <v>1900</v>
      </c>
    </row>
    <row r="7814" spans="1:5" x14ac:dyDescent="0.2">
      <c r="A7814">
        <v>7753</v>
      </c>
      <c r="B7814" s="1832">
        <f>'Revenues 9-14'!D262</f>
        <v>0</v>
      </c>
      <c r="D7814" s="2" t="str">
        <f t="shared" si="128"/>
        <v>Error?</v>
      </c>
      <c r="E7814" s="4" t="s">
        <v>1900</v>
      </c>
    </row>
    <row r="7815" spans="1:5" x14ac:dyDescent="0.2">
      <c r="A7815">
        <v>7754</v>
      </c>
      <c r="B7815" s="1832">
        <f>'Revenues 9-14'!F262</f>
        <v>0</v>
      </c>
      <c r="D7815" s="2" t="str">
        <f t="shared" si="128"/>
        <v>Error?</v>
      </c>
      <c r="E7815" s="4" t="s">
        <v>1900</v>
      </c>
    </row>
    <row r="7816" spans="1:5" x14ac:dyDescent="0.2">
      <c r="A7816">
        <v>7755</v>
      </c>
      <c r="B7816" s="1832">
        <f>'Revenues 9-14'!G262</f>
        <v>0</v>
      </c>
      <c r="D7816" s="2" t="str">
        <f t="shared" si="128"/>
        <v>Error?</v>
      </c>
      <c r="E7816" s="4" t="s">
        <v>1900</v>
      </c>
    </row>
    <row r="7817" spans="1:5" x14ac:dyDescent="0.2">
      <c r="A7817">
        <v>7756</v>
      </c>
      <c r="B7817" s="1832">
        <f>'Short-Term Long-Term Debt 24'!C49</f>
        <v>5492400</v>
      </c>
      <c r="D7817" s="2" t="str">
        <f t="shared" si="128"/>
        <v>Error?</v>
      </c>
      <c r="E7817" s="4" t="s">
        <v>1964</v>
      </c>
    </row>
    <row r="7818" spans="1:5" x14ac:dyDescent="0.2">
      <c r="A7818">
        <v>7757</v>
      </c>
      <c r="B7818" s="1832">
        <f>'PCTC-OEPP 27-28'!F172</f>
        <v>352961</v>
      </c>
      <c r="D7818" s="2" t="str">
        <f t="shared" si="128"/>
        <v>Error?</v>
      </c>
      <c r="E7818" s="4" t="s">
        <v>1978</v>
      </c>
    </row>
    <row r="7819" spans="1:5" x14ac:dyDescent="0.2">
      <c r="A7819">
        <v>7758</v>
      </c>
      <c r="B7819" s="1832">
        <f>'PCTC-OEPP 27-28'!F173</f>
        <v>272</v>
      </c>
      <c r="D7819" s="2" t="str">
        <f t="shared" si="128"/>
        <v>Error?</v>
      </c>
      <c r="E7819" s="4" t="s">
        <v>1978</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12454508</v>
      </c>
      <c r="D7822" s="4" t="s">
        <v>1995</v>
      </c>
      <c r="E7822" s="4" t="s">
        <v>1996</v>
      </c>
    </row>
    <row r="7823" spans="1:5" x14ac:dyDescent="0.2">
      <c r="A7823" s="1">
        <v>7762</v>
      </c>
      <c r="B7823" s="1832">
        <f>'PCTC-OEPP 27-28'!F30</f>
        <v>0</v>
      </c>
      <c r="D7823" s="4" t="s">
        <v>1995</v>
      </c>
      <c r="E7823" s="4" t="s">
        <v>1996</v>
      </c>
    </row>
    <row r="7824" spans="1:5" x14ac:dyDescent="0.2">
      <c r="A7824" s="1">
        <v>7763</v>
      </c>
      <c r="B7824" s="1832">
        <f>'PCTC-OEPP 27-28'!F31</f>
        <v>0</v>
      </c>
      <c r="D7824" s="4" t="s">
        <v>1995</v>
      </c>
      <c r="E7824" s="4" t="s">
        <v>1996</v>
      </c>
    </row>
    <row r="7825" spans="1:5" x14ac:dyDescent="0.2">
      <c r="A7825" s="1">
        <v>7764</v>
      </c>
      <c r="B7825" s="1832">
        <f>'PCTC-OEPP 27-28'!F32</f>
        <v>0</v>
      </c>
      <c r="D7825" s="2" t="str">
        <f t="shared" ref="D7825:D7887" si="129">IF(ISBLANK(B7825),"OK",IF(A7825-B7825=0,"OK","Error?"))</f>
        <v>Error?</v>
      </c>
      <c r="E7825" s="4" t="s">
        <v>1996</v>
      </c>
    </row>
    <row r="7826" spans="1:5" x14ac:dyDescent="0.2">
      <c r="A7826">
        <v>7765</v>
      </c>
      <c r="B7826" s="1832">
        <f>'PCTC-OEPP 27-28'!F34</f>
        <v>0</v>
      </c>
      <c r="D7826" s="2" t="str">
        <f t="shared" si="129"/>
        <v>Error?</v>
      </c>
      <c r="E7826" s="4" t="s">
        <v>1996</v>
      </c>
    </row>
    <row r="7827" spans="1:5" x14ac:dyDescent="0.2">
      <c r="A7827">
        <v>7766</v>
      </c>
      <c r="B7827" s="1832">
        <f>'PCTC-OEPP 27-28'!F35</f>
        <v>0</v>
      </c>
      <c r="D7827" s="2" t="str">
        <f t="shared" si="129"/>
        <v>Error?</v>
      </c>
      <c r="E7827" s="4" t="s">
        <v>1996</v>
      </c>
    </row>
    <row r="7828" spans="1:5" x14ac:dyDescent="0.2">
      <c r="A7828">
        <v>7767</v>
      </c>
      <c r="B7828" s="1832">
        <f>'PCTC-OEPP 27-28'!F36</f>
        <v>0</v>
      </c>
      <c r="D7828" s="2" t="str">
        <f t="shared" si="129"/>
        <v>Error?</v>
      </c>
      <c r="E7828" s="4" t="s">
        <v>1996</v>
      </c>
    </row>
    <row r="7829" spans="1:5" x14ac:dyDescent="0.2">
      <c r="A7829">
        <v>7768</v>
      </c>
      <c r="B7829" s="1832">
        <f>'PCTC-OEPP 27-28'!F37</f>
        <v>0</v>
      </c>
      <c r="D7829" s="2" t="str">
        <f t="shared" si="129"/>
        <v>Error?</v>
      </c>
      <c r="E7829" s="4" t="s">
        <v>1996</v>
      </c>
    </row>
    <row r="7830" spans="1:5" x14ac:dyDescent="0.2">
      <c r="A7830">
        <v>7769</v>
      </c>
      <c r="B7830" s="1832">
        <f>'PCTC-OEPP 27-28'!F38</f>
        <v>0</v>
      </c>
      <c r="D7830" s="2" t="str">
        <f t="shared" si="129"/>
        <v>Error?</v>
      </c>
      <c r="E7830" s="4" t="s">
        <v>1996</v>
      </c>
    </row>
    <row r="7831" spans="1:5" x14ac:dyDescent="0.2">
      <c r="A7831">
        <v>7770</v>
      </c>
      <c r="B7831" s="1832">
        <f>'PCTC-OEPP 27-28'!F52</f>
        <v>13061</v>
      </c>
      <c r="D7831" s="2" t="str">
        <f t="shared" si="129"/>
        <v>Error?</v>
      </c>
      <c r="E7831" s="4" t="s">
        <v>1996</v>
      </c>
    </row>
    <row r="7832" spans="1:5" x14ac:dyDescent="0.2">
      <c r="A7832">
        <v>7771</v>
      </c>
      <c r="B7832" s="1832">
        <f>'PCTC-OEPP 27-28'!F56</f>
        <v>0</v>
      </c>
      <c r="D7832" s="2" t="str">
        <f t="shared" si="129"/>
        <v>Error?</v>
      </c>
      <c r="E7832" s="4" t="s">
        <v>1996</v>
      </c>
    </row>
    <row r="7833" spans="1:5" x14ac:dyDescent="0.2">
      <c r="A7833">
        <v>7772</v>
      </c>
      <c r="B7833" s="1832">
        <f>'PCTC-OEPP 27-28'!F62</f>
        <v>0</v>
      </c>
      <c r="D7833" s="2" t="str">
        <f t="shared" si="129"/>
        <v>Error?</v>
      </c>
      <c r="E7833" s="4" t="s">
        <v>1996</v>
      </c>
    </row>
    <row r="7834" spans="1:5" x14ac:dyDescent="0.2">
      <c r="A7834">
        <v>7773</v>
      </c>
      <c r="B7834" s="1832">
        <f>'PCTC-OEPP 27-28'!F77</f>
        <v>1436463</v>
      </c>
      <c r="D7834" s="2" t="str">
        <f t="shared" si="129"/>
        <v>Error?</v>
      </c>
      <c r="E7834" s="4" t="s">
        <v>1996</v>
      </c>
    </row>
    <row r="7835" spans="1:5" x14ac:dyDescent="0.2">
      <c r="A7835">
        <v>7774</v>
      </c>
      <c r="B7835" s="1832">
        <f>'PCTC-OEPP 27-28'!F78</f>
        <v>11018045</v>
      </c>
      <c r="D7835" s="2" t="str">
        <f t="shared" si="129"/>
        <v>Error?</v>
      </c>
      <c r="E7835" s="4" t="s">
        <v>1996</v>
      </c>
    </row>
    <row r="7836" spans="1:5" x14ac:dyDescent="0.2">
      <c r="A7836" s="126">
        <v>7775</v>
      </c>
      <c r="B7836" s="1832"/>
      <c r="D7836" s="2" t="str">
        <f t="shared" si="129"/>
        <v>OK</v>
      </c>
      <c r="E7836" s="4" t="s">
        <v>1998</v>
      </c>
    </row>
    <row r="7837" spans="1:5" x14ac:dyDescent="0.2">
      <c r="A7837">
        <v>7776</v>
      </c>
      <c r="B7837" s="1832">
        <f>'PCTC-OEPP 27-28'!F80</f>
        <v>11218.862641278893</v>
      </c>
      <c r="D7837" s="2" t="str">
        <f t="shared" si="129"/>
        <v>Error?</v>
      </c>
      <c r="E7837" s="4" t="s">
        <v>1996</v>
      </c>
    </row>
    <row r="7838" spans="1:5" x14ac:dyDescent="0.2">
      <c r="A7838">
        <v>7777</v>
      </c>
      <c r="B7838" s="1832">
        <f>'PCTC-OEPP 27-28'!F96</f>
        <v>53730</v>
      </c>
      <c r="D7838" s="2" t="str">
        <f t="shared" si="129"/>
        <v>Error?</v>
      </c>
      <c r="E7838" s="4" t="s">
        <v>1996</v>
      </c>
    </row>
    <row r="7839" spans="1:5" x14ac:dyDescent="0.2">
      <c r="A7839">
        <v>7778</v>
      </c>
      <c r="B7839" s="1832">
        <f>'PCTC-OEPP 27-28'!F102</f>
        <v>1500</v>
      </c>
      <c r="D7839" s="2" t="str">
        <f t="shared" si="129"/>
        <v>Error?</v>
      </c>
      <c r="E7839" s="4" t="s">
        <v>1996</v>
      </c>
    </row>
    <row r="7840" spans="1:5" x14ac:dyDescent="0.2">
      <c r="A7840">
        <v>7779</v>
      </c>
      <c r="B7840" s="1832">
        <f>'PCTC-OEPP 27-28'!F103</f>
        <v>18913</v>
      </c>
      <c r="D7840" s="2" t="str">
        <f t="shared" si="129"/>
        <v>Error?</v>
      </c>
      <c r="E7840" s="4" t="s">
        <v>1996</v>
      </c>
    </row>
    <row r="7841" spans="1:5" x14ac:dyDescent="0.2">
      <c r="A7841">
        <v>7780</v>
      </c>
      <c r="B7841" s="1832">
        <f>'PCTC-OEPP 27-28'!F104</f>
        <v>0</v>
      </c>
      <c r="D7841" s="2" t="str">
        <f t="shared" si="129"/>
        <v>Error?</v>
      </c>
      <c r="E7841" s="4" t="s">
        <v>1996</v>
      </c>
    </row>
    <row r="7842" spans="1:5" x14ac:dyDescent="0.2">
      <c r="A7842">
        <v>7781</v>
      </c>
      <c r="B7842" s="1832">
        <f>'PCTC-OEPP 27-28'!F106</f>
        <v>163110</v>
      </c>
      <c r="D7842" s="2" t="str">
        <f t="shared" si="129"/>
        <v>Error?</v>
      </c>
      <c r="E7842" s="4" t="s">
        <v>1996</v>
      </c>
    </row>
    <row r="7843" spans="1:5" x14ac:dyDescent="0.2">
      <c r="A7843">
        <v>7782</v>
      </c>
      <c r="B7843" s="1832">
        <f>'PCTC-OEPP 27-28'!F107</f>
        <v>10946</v>
      </c>
      <c r="D7843" s="2" t="str">
        <f t="shared" si="129"/>
        <v>Error?</v>
      </c>
      <c r="E7843" s="4" t="s">
        <v>1996</v>
      </c>
    </row>
    <row r="7844" spans="1:5" x14ac:dyDescent="0.2">
      <c r="A7844">
        <v>7783</v>
      </c>
      <c r="B7844" s="1832">
        <f>'PCTC-OEPP 27-28'!F108</f>
        <v>0</v>
      </c>
      <c r="D7844" s="2" t="str">
        <f t="shared" si="129"/>
        <v>Error?</v>
      </c>
      <c r="E7844" s="4" t="s">
        <v>1996</v>
      </c>
    </row>
    <row r="7845" spans="1:5" x14ac:dyDescent="0.2">
      <c r="A7845">
        <v>7784</v>
      </c>
      <c r="B7845" s="1832">
        <f>'PCTC-OEPP 27-28'!F110</f>
        <v>0</v>
      </c>
      <c r="D7845" s="2" t="str">
        <f t="shared" si="129"/>
        <v>Error?</v>
      </c>
      <c r="E7845" s="4" t="s">
        <v>1996</v>
      </c>
    </row>
    <row r="7846" spans="1:5" x14ac:dyDescent="0.2">
      <c r="A7846">
        <v>7785</v>
      </c>
      <c r="B7846" s="1832">
        <f>'PCTC-OEPP 27-28'!F111</f>
        <v>8447</v>
      </c>
      <c r="D7846" s="2" t="str">
        <f t="shared" si="129"/>
        <v>Error?</v>
      </c>
      <c r="E7846" s="4" t="s">
        <v>1996</v>
      </c>
    </row>
    <row r="7847" spans="1:5" x14ac:dyDescent="0.2">
      <c r="A7847">
        <v>7786</v>
      </c>
      <c r="B7847" s="1832">
        <f>'PCTC-OEPP 27-28'!F112</f>
        <v>431886</v>
      </c>
      <c r="D7847" s="2" t="str">
        <f t="shared" si="129"/>
        <v>Error?</v>
      </c>
      <c r="E7847" s="4" t="s">
        <v>1996</v>
      </c>
    </row>
    <row r="7848" spans="1:5" x14ac:dyDescent="0.2">
      <c r="A7848">
        <v>7787</v>
      </c>
      <c r="B7848" s="1832">
        <f>'PCTC-OEPP 27-28'!F114</f>
        <v>0</v>
      </c>
      <c r="D7848" s="2" t="str">
        <f t="shared" si="129"/>
        <v>Error?</v>
      </c>
      <c r="E7848" s="4" t="s">
        <v>1996</v>
      </c>
    </row>
    <row r="7849" spans="1:5" x14ac:dyDescent="0.2">
      <c r="A7849">
        <v>7788</v>
      </c>
      <c r="B7849" s="1832">
        <f>'PCTC-OEPP 27-28'!F115</f>
        <v>0</v>
      </c>
      <c r="D7849" s="2" t="str">
        <f t="shared" si="129"/>
        <v>Error?</v>
      </c>
      <c r="E7849" s="4" t="s">
        <v>1996</v>
      </c>
    </row>
    <row r="7850" spans="1:5" x14ac:dyDescent="0.2">
      <c r="A7850">
        <v>7789</v>
      </c>
      <c r="B7850" s="1832">
        <f>'PCTC-OEPP 27-28'!F116</f>
        <v>0</v>
      </c>
      <c r="D7850" s="2" t="str">
        <f t="shared" si="129"/>
        <v>Error?</v>
      </c>
      <c r="E7850" s="4" t="s">
        <v>1996</v>
      </c>
    </row>
    <row r="7851" spans="1:5" x14ac:dyDescent="0.2">
      <c r="A7851">
        <v>7790</v>
      </c>
      <c r="B7851" s="1832">
        <f>'PCTC-OEPP 27-28'!F117</f>
        <v>0</v>
      </c>
      <c r="D7851" s="2" t="str">
        <f t="shared" si="129"/>
        <v>Error?</v>
      </c>
      <c r="E7851" s="4" t="s">
        <v>1996</v>
      </c>
    </row>
    <row r="7852" spans="1:5" x14ac:dyDescent="0.2">
      <c r="A7852">
        <v>7791</v>
      </c>
      <c r="B7852" s="1832">
        <f>'PCTC-OEPP 27-28'!F118</f>
        <v>0</v>
      </c>
      <c r="D7852" s="2" t="str">
        <f t="shared" si="129"/>
        <v>Error?</v>
      </c>
      <c r="E7852" s="4" t="s">
        <v>1996</v>
      </c>
    </row>
    <row r="7853" spans="1:5" x14ac:dyDescent="0.2">
      <c r="A7853">
        <v>7792</v>
      </c>
      <c r="B7853" s="1832">
        <f>'PCTC-OEPP 27-28'!F119</f>
        <v>0</v>
      </c>
      <c r="D7853" s="2" t="str">
        <f t="shared" si="129"/>
        <v>Error?</v>
      </c>
      <c r="E7853" s="4" t="s">
        <v>1996</v>
      </c>
    </row>
    <row r="7854" spans="1:5" x14ac:dyDescent="0.2">
      <c r="A7854">
        <v>7793</v>
      </c>
      <c r="B7854" s="1832">
        <f>'PCTC-OEPP 27-28'!F120</f>
        <v>0</v>
      </c>
      <c r="D7854" s="2" t="str">
        <f t="shared" si="129"/>
        <v>Error?</v>
      </c>
      <c r="E7854" s="4" t="s">
        <v>1996</v>
      </c>
    </row>
    <row r="7855" spans="1:5" x14ac:dyDescent="0.2">
      <c r="A7855">
        <v>7794</v>
      </c>
      <c r="B7855" s="1832">
        <f>'PCTC-OEPP 27-28'!F122</f>
        <v>0</v>
      </c>
      <c r="D7855" s="2" t="str">
        <f t="shared" si="129"/>
        <v>Error?</v>
      </c>
      <c r="E7855" s="4" t="s">
        <v>1996</v>
      </c>
    </row>
    <row r="7856" spans="1:5" x14ac:dyDescent="0.2">
      <c r="A7856">
        <v>7795</v>
      </c>
      <c r="B7856" s="1832">
        <f>'PCTC-OEPP 27-28'!F124</f>
        <v>0</v>
      </c>
      <c r="D7856" s="2" t="str">
        <f t="shared" si="129"/>
        <v>Error?</v>
      </c>
      <c r="E7856" s="4" t="s">
        <v>1996</v>
      </c>
    </row>
    <row r="7857" spans="1:5" x14ac:dyDescent="0.2">
      <c r="A7857">
        <v>7796</v>
      </c>
      <c r="B7857" s="1832">
        <f>'PCTC-OEPP 27-28'!F125</f>
        <v>0</v>
      </c>
      <c r="D7857" s="2" t="str">
        <f t="shared" si="129"/>
        <v>Error?</v>
      </c>
      <c r="E7857" s="4" t="s">
        <v>1996</v>
      </c>
    </row>
    <row r="7858" spans="1:5" x14ac:dyDescent="0.2">
      <c r="A7858">
        <v>7797</v>
      </c>
      <c r="B7858" s="1832">
        <f>'PCTC-OEPP 27-28'!F126</f>
        <v>183315</v>
      </c>
      <c r="D7858" s="2" t="str">
        <f t="shared" si="129"/>
        <v>Error?</v>
      </c>
      <c r="E7858" s="4" t="s">
        <v>1996</v>
      </c>
    </row>
    <row r="7859" spans="1:5" x14ac:dyDescent="0.2">
      <c r="A7859">
        <v>7798</v>
      </c>
      <c r="B7859" s="1832">
        <f>'PCTC-OEPP 27-28'!F127</f>
        <v>327289</v>
      </c>
      <c r="D7859" s="2" t="str">
        <f t="shared" si="129"/>
        <v>Error?</v>
      </c>
      <c r="E7859" s="4" t="s">
        <v>1996</v>
      </c>
    </row>
    <row r="7860" spans="1:5" x14ac:dyDescent="0.2">
      <c r="A7860">
        <v>7799</v>
      </c>
      <c r="B7860" s="1832">
        <f>'PCTC-OEPP 27-28'!F128</f>
        <v>23756</v>
      </c>
      <c r="D7860" s="2" t="str">
        <f t="shared" si="129"/>
        <v>Error?</v>
      </c>
      <c r="E7860" s="4" t="s">
        <v>1996</v>
      </c>
    </row>
    <row r="7861" spans="1:5" x14ac:dyDescent="0.2">
      <c r="A7861">
        <v>7800</v>
      </c>
      <c r="B7861" s="1832">
        <f>'PCTC-OEPP 27-28'!F129</f>
        <v>207495</v>
      </c>
      <c r="D7861" s="2" t="str">
        <f t="shared" si="129"/>
        <v>Error?</v>
      </c>
      <c r="E7861" s="4" t="s">
        <v>1996</v>
      </c>
    </row>
    <row r="7862" spans="1:5" x14ac:dyDescent="0.2">
      <c r="A7862">
        <v>7801</v>
      </c>
      <c r="B7862" s="1832">
        <f>'PCTC-OEPP 27-28'!F130</f>
        <v>0</v>
      </c>
      <c r="D7862" s="2" t="str">
        <f t="shared" si="129"/>
        <v>Error?</v>
      </c>
      <c r="E7862" s="4" t="s">
        <v>1996</v>
      </c>
    </row>
    <row r="7863" spans="1:5" x14ac:dyDescent="0.2">
      <c r="A7863">
        <v>7802</v>
      </c>
      <c r="B7863" s="1832">
        <f>'PCTC-OEPP 27-28'!F131</f>
        <v>0</v>
      </c>
      <c r="D7863" s="2" t="str">
        <f t="shared" si="129"/>
        <v>Error?</v>
      </c>
      <c r="E7863" s="4" t="s">
        <v>1996</v>
      </c>
    </row>
    <row r="7864" spans="1:5" x14ac:dyDescent="0.2">
      <c r="A7864">
        <v>7803</v>
      </c>
      <c r="B7864" s="1832">
        <f>'PCTC-OEPP 27-28'!F132</f>
        <v>0</v>
      </c>
      <c r="D7864" s="2" t="str">
        <f t="shared" si="129"/>
        <v>Error?</v>
      </c>
      <c r="E7864" s="4" t="s">
        <v>1996</v>
      </c>
    </row>
    <row r="7865" spans="1:5" x14ac:dyDescent="0.2">
      <c r="A7865">
        <v>7804</v>
      </c>
      <c r="B7865" s="1832">
        <f>'PCTC-OEPP 27-28'!F133</f>
        <v>0</v>
      </c>
      <c r="D7865" s="2" t="str">
        <f t="shared" si="129"/>
        <v>Error?</v>
      </c>
      <c r="E7865" s="4" t="s">
        <v>1996</v>
      </c>
    </row>
    <row r="7866" spans="1:5" x14ac:dyDescent="0.2">
      <c r="A7866">
        <v>7805</v>
      </c>
      <c r="B7866" s="1832">
        <f>'PCTC-OEPP 27-28'!F158</f>
        <v>0</v>
      </c>
      <c r="D7866" s="2" t="str">
        <f t="shared" si="129"/>
        <v>Error?</v>
      </c>
      <c r="E7866" s="4" t="s">
        <v>1996</v>
      </c>
    </row>
    <row r="7867" spans="1:5" x14ac:dyDescent="0.2">
      <c r="A7867">
        <v>7806</v>
      </c>
      <c r="B7867" s="1832">
        <f>'PCTC-OEPP 27-28'!F160</f>
        <v>0</v>
      </c>
      <c r="D7867" s="2" t="str">
        <f t="shared" si="129"/>
        <v>Error?</v>
      </c>
      <c r="E7867" s="4" t="s">
        <v>1996</v>
      </c>
    </row>
    <row r="7868" spans="1:5" x14ac:dyDescent="0.2">
      <c r="A7868">
        <v>7807</v>
      </c>
      <c r="B7868" s="1832">
        <f>'PCTC-OEPP 27-28'!F161</f>
        <v>0</v>
      </c>
      <c r="D7868" s="2" t="str">
        <f t="shared" si="129"/>
        <v>Error?</v>
      </c>
      <c r="E7868" s="4" t="s">
        <v>1996</v>
      </c>
    </row>
    <row r="7869" spans="1:5" x14ac:dyDescent="0.2">
      <c r="A7869">
        <v>7808</v>
      </c>
      <c r="B7869" s="1832">
        <f>'PCTC-OEPP 27-28'!F162</f>
        <v>0</v>
      </c>
      <c r="D7869" s="2" t="str">
        <f t="shared" si="129"/>
        <v>Error?</v>
      </c>
      <c r="E7869" s="4" t="s">
        <v>1996</v>
      </c>
    </row>
    <row r="7870" spans="1:5" x14ac:dyDescent="0.2">
      <c r="A7870">
        <v>7809</v>
      </c>
      <c r="B7870" s="1832">
        <f>'PCTC-OEPP 27-28'!F163</f>
        <v>0</v>
      </c>
      <c r="D7870" s="2" t="str">
        <f t="shared" si="129"/>
        <v>Error?</v>
      </c>
      <c r="E7870" s="4" t="s">
        <v>1996</v>
      </c>
    </row>
    <row r="7871" spans="1:5" x14ac:dyDescent="0.2">
      <c r="A7871">
        <v>7810</v>
      </c>
      <c r="B7871" s="1832">
        <f>'PCTC-OEPP 27-28'!F164</f>
        <v>0</v>
      </c>
      <c r="D7871" s="2" t="str">
        <f t="shared" si="129"/>
        <v>Error?</v>
      </c>
      <c r="E7871" s="4" t="s">
        <v>1996</v>
      </c>
    </row>
    <row r="7872" spans="1:5" x14ac:dyDescent="0.2">
      <c r="A7872">
        <v>7811</v>
      </c>
      <c r="B7872" s="1832">
        <f>'PCTC-OEPP 27-28'!F165</f>
        <v>48611</v>
      </c>
      <c r="D7872" s="2" t="str">
        <f t="shared" si="129"/>
        <v>Error?</v>
      </c>
      <c r="E7872" s="4" t="s">
        <v>1996</v>
      </c>
    </row>
    <row r="7873" spans="1:5" x14ac:dyDescent="0.2">
      <c r="A7873">
        <v>7812</v>
      </c>
      <c r="B7873" s="1832">
        <f>'PCTC-OEPP 27-28'!F166</f>
        <v>0</v>
      </c>
      <c r="D7873" s="2" t="str">
        <f t="shared" si="129"/>
        <v>Error?</v>
      </c>
      <c r="E7873" s="4" t="s">
        <v>1996</v>
      </c>
    </row>
    <row r="7874" spans="1:5" x14ac:dyDescent="0.2">
      <c r="A7874">
        <v>7813</v>
      </c>
      <c r="B7874" s="1832">
        <f>'PCTC-OEPP 27-28'!F169</f>
        <v>4144</v>
      </c>
      <c r="D7874" s="2" t="str">
        <f t="shared" si="129"/>
        <v>Error?</v>
      </c>
      <c r="E7874" s="4" t="s">
        <v>1996</v>
      </c>
    </row>
    <row r="7875" spans="1:5" x14ac:dyDescent="0.2">
      <c r="A7875">
        <v>7814</v>
      </c>
      <c r="B7875" s="1832">
        <f>'PCTC-OEPP 27-28'!F170</f>
        <v>9952</v>
      </c>
      <c r="D7875" s="2" t="str">
        <f t="shared" si="129"/>
        <v>Error?</v>
      </c>
      <c r="E7875" s="4" t="s">
        <v>1996</v>
      </c>
    </row>
    <row r="7876" spans="1:5" x14ac:dyDescent="0.2">
      <c r="A7876">
        <v>7815</v>
      </c>
      <c r="B7876" s="1832">
        <f>'PCTC-OEPP 27-28'!F171</f>
        <v>0</v>
      </c>
      <c r="D7876" s="2" t="str">
        <f t="shared" si="129"/>
        <v>Error?</v>
      </c>
      <c r="E7876" s="4" t="s">
        <v>1996</v>
      </c>
    </row>
    <row r="7877" spans="1:5" x14ac:dyDescent="0.2">
      <c r="A7877">
        <v>7816</v>
      </c>
      <c r="B7877" s="1832">
        <f>'PCTC-OEPP 27-28'!F175</f>
        <v>2039928</v>
      </c>
      <c r="D7877" s="2" t="str">
        <f t="shared" si="129"/>
        <v>Error?</v>
      </c>
      <c r="E7877" s="4" t="s">
        <v>1996</v>
      </c>
    </row>
    <row r="7878" spans="1:5" x14ac:dyDescent="0.2">
      <c r="A7878">
        <v>7817</v>
      </c>
      <c r="B7878" s="1832">
        <f>'PCTC-OEPP 27-28'!F176</f>
        <v>8978117</v>
      </c>
      <c r="D7878" s="2" t="str">
        <f t="shared" si="129"/>
        <v>Error?</v>
      </c>
      <c r="E7878" s="4" t="s">
        <v>1996</v>
      </c>
    </row>
    <row r="7879" spans="1:5" x14ac:dyDescent="0.2">
      <c r="A7879">
        <v>7818</v>
      </c>
      <c r="B7879" s="1832">
        <f>'PCTC-OEPP 27-28'!F178</f>
        <v>9583580</v>
      </c>
      <c r="D7879" s="2" t="str">
        <f t="shared" si="129"/>
        <v>Error?</v>
      </c>
      <c r="E7879" s="4" t="s">
        <v>1996</v>
      </c>
    </row>
    <row r="7880" spans="1:5" x14ac:dyDescent="0.2">
      <c r="A7880">
        <v>7819</v>
      </c>
      <c r="B7880" s="1832">
        <f>'PCTC-OEPP 27-28'!F180</f>
        <v>9758.2527237552185</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24" t="s">
        <v>1180</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8" t="str">
        <f>COVER!A17</f>
        <v xml:space="preserve">  Gibson City-Melvin-Sibley CUSD 5</v>
      </c>
      <c r="B7" s="2519"/>
      <c r="C7" s="2519"/>
      <c r="D7" s="2557"/>
      <c r="E7" s="2558">
        <f>COVER!A13</f>
        <v>9027005026</v>
      </c>
      <c r="F7" s="2559"/>
      <c r="G7" s="2525" t="str">
        <f>COVER!T23</f>
        <v>065.018319</v>
      </c>
      <c r="H7" s="2526"/>
      <c r="I7" s="2526"/>
      <c r="J7" s="2526"/>
      <c r="K7" s="2526"/>
      <c r="L7" s="25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8"/>
      <c r="B9" s="2529"/>
      <c r="C9" s="2529"/>
      <c r="D9" s="2529"/>
      <c r="E9" s="2529"/>
      <c r="F9" s="2530"/>
      <c r="G9" s="2531" t="str">
        <f>COVER!T13</f>
        <v>RUSSELL LEIGH &amp; ASSOCIATES LLC</v>
      </c>
      <c r="H9" s="2532"/>
      <c r="I9" s="2532"/>
      <c r="J9" s="2532"/>
      <c r="K9" s="2532"/>
      <c r="L9" s="2533"/>
    </row>
    <row r="10" spans="1:29" ht="13.5" customHeight="1" x14ac:dyDescent="0.2">
      <c r="A10" s="2515" t="str">
        <f>COVER!A38</f>
        <v>Jeremy Darnell</v>
      </c>
      <c r="B10" s="2516"/>
      <c r="C10" s="2516"/>
      <c r="D10" s="2516"/>
      <c r="E10" s="2516"/>
      <c r="F10" s="2517"/>
      <c r="G10" s="2531" t="str">
        <f>COVER!T17</f>
        <v>228 E MAIN ST</v>
      </c>
      <c r="H10" s="2544"/>
      <c r="I10" s="2544"/>
      <c r="J10" s="2544"/>
      <c r="K10" s="2544"/>
      <c r="L10" s="2545"/>
    </row>
    <row r="11" spans="1:29" ht="13.5" customHeight="1" x14ac:dyDescent="0.2">
      <c r="A11" s="963" t="s">
        <v>1502</v>
      </c>
      <c r="B11" s="964"/>
      <c r="C11" s="965"/>
      <c r="D11" s="970"/>
      <c r="E11" s="965"/>
      <c r="F11" s="969"/>
      <c r="G11" s="2531" t="str">
        <f>COVER!T19</f>
        <v>HOOPESTON</v>
      </c>
      <c r="H11" s="2544"/>
      <c r="I11" s="2544"/>
      <c r="J11" s="2544"/>
      <c r="K11" s="2544"/>
      <c r="L11" s="2545"/>
    </row>
    <row r="12" spans="1:29" ht="13.5" customHeight="1" x14ac:dyDescent="0.2">
      <c r="A12" s="2549" t="s">
        <v>1501</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1503</v>
      </c>
      <c r="H13" s="2540"/>
      <c r="I13" s="2552" t="str">
        <f>COVER!T25</f>
        <v>admin@russleigh.com</v>
      </c>
      <c r="J13" s="2553"/>
      <c r="K13" s="2553"/>
      <c r="L13" s="2554"/>
    </row>
    <row r="14" spans="1:29" ht="13.5" customHeight="1" x14ac:dyDescent="0.2">
      <c r="A14" s="2531" t="str">
        <f>COVER!A19</f>
        <v>307 N SANGAMON AVE</v>
      </c>
      <c r="B14" s="2544"/>
      <c r="C14" s="2544"/>
      <c r="D14" s="2544"/>
      <c r="E14" s="2544"/>
      <c r="F14" s="2545"/>
      <c r="G14" s="974" t="s">
        <v>1175</v>
      </c>
      <c r="H14" s="972"/>
      <c r="I14" s="972"/>
      <c r="J14" s="972"/>
      <c r="K14" s="972"/>
      <c r="L14" s="973"/>
    </row>
    <row r="15" spans="1:29" ht="13.5" customHeight="1" x14ac:dyDescent="0.2">
      <c r="A15" s="2531" t="str">
        <f>COVER!A21</f>
        <v>GIBSON CITY</v>
      </c>
      <c r="B15" s="2544"/>
      <c r="C15" s="2544"/>
      <c r="D15" s="2544"/>
      <c r="E15" s="2544"/>
      <c r="F15" s="2545"/>
      <c r="G15" s="2541" t="str">
        <f>COVER!T15</f>
        <v>RUSS LEIGH</v>
      </c>
      <c r="H15" s="2542"/>
      <c r="I15" s="2542"/>
      <c r="J15" s="2542"/>
      <c r="K15" s="2542"/>
      <c r="L15" s="2543"/>
    </row>
    <row r="16" spans="1:29" ht="12.2" customHeight="1" x14ac:dyDescent="0.2">
      <c r="A16" s="2521">
        <f>COVER!A25</f>
        <v>60936</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1174</v>
      </c>
      <c r="H17" s="972"/>
      <c r="I17" s="972"/>
      <c r="J17" s="972"/>
      <c r="K17" s="976" t="s">
        <v>1173</v>
      </c>
      <c r="L17" s="969"/>
      <c r="M17" s="962"/>
    </row>
    <row r="18" spans="1:13" ht="12.2" customHeight="1" x14ac:dyDescent="0.2">
      <c r="A18" s="2515"/>
      <c r="B18" s="2516"/>
      <c r="C18" s="2516"/>
      <c r="D18" s="2516"/>
      <c r="E18" s="2516"/>
      <c r="F18" s="2517"/>
      <c r="G18" s="2518" t="str">
        <f>COVER!T21</f>
        <v>217-283-9336</v>
      </c>
      <c r="H18" s="2519"/>
      <c r="I18" s="2519"/>
      <c r="J18" s="2519"/>
      <c r="K18" s="2518" t="str">
        <f>COVER!X21</f>
        <v>217-283-9736</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Gibson City-Melvin-Sibley CUSD 5</v>
      </c>
      <c r="B1" s="2561"/>
      <c r="C1" s="2561"/>
      <c r="D1" s="2561"/>
    </row>
    <row r="2" spans="1:11" s="991" customFormat="1" ht="12.75" x14ac:dyDescent="0.2">
      <c r="A2" s="2562">
        <f>'Single Audit Cover'!E7</f>
        <v>9027005026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Gibson City-Melvin-Sibley CUSD 5</v>
      </c>
      <c r="B1" s="2565"/>
      <c r="C1" s="2565"/>
      <c r="D1" s="2565"/>
      <c r="E1" s="2565"/>
    </row>
    <row r="2" spans="1:5" x14ac:dyDescent="0.2">
      <c r="A2" s="2566">
        <f>'Single Audit Cover'!E7</f>
        <v>9027005026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812734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25232</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-9952</v>
      </c>
    </row>
    <row r="19" spans="1:4" ht="13.5" thickBot="1" x14ac:dyDescent="0.25">
      <c r="A19" s="1041" t="s">
        <v>1224</v>
      </c>
      <c r="D19" s="1042">
        <f>SUM(D10:D17)</f>
        <v>828014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828014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828014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5F99E-78B4-442B-AF49-C43759F37E99}">
  <dimension ref="B1:N152"/>
  <sheetViews>
    <sheetView showGridLines="0" topLeftCell="A14" zoomScaleNormal="100" workbookViewId="0">
      <selection activeCell="B26" sqref="B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Gibson City-Melvin-Sibley CUSD 5</v>
      </c>
      <c r="C1" s="2569"/>
      <c r="D1" s="2569"/>
      <c r="E1" s="2569"/>
      <c r="F1" s="2569"/>
      <c r="G1" s="2569"/>
      <c r="H1" s="2569"/>
      <c r="I1" s="2569"/>
      <c r="J1" s="2569"/>
      <c r="K1" s="2569"/>
      <c r="L1" s="2569"/>
      <c r="M1" s="2569"/>
    </row>
    <row r="2" spans="2:14" ht="15" x14ac:dyDescent="0.2">
      <c r="B2" s="2570">
        <f>'Single Audit Cover'!E7</f>
        <v>9027005026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1709</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2087</v>
      </c>
      <c r="C11" s="1821"/>
      <c r="D11" s="1822"/>
      <c r="E11" s="1823"/>
      <c r="F11" s="1823"/>
      <c r="G11" s="1823"/>
      <c r="H11" s="1823"/>
      <c r="I11" s="1823"/>
      <c r="J11" s="1823"/>
      <c r="K11" s="1823"/>
      <c r="L11" s="1823">
        <f>+G11+I11+K11</f>
        <v>0</v>
      </c>
      <c r="M11" s="1823"/>
    </row>
    <row r="12" spans="2:14" ht="20.100000000000001" customHeight="1" x14ac:dyDescent="0.2">
      <c r="B12" s="1113" t="s">
        <v>2088</v>
      </c>
      <c r="C12" s="1824"/>
      <c r="D12" s="1825"/>
      <c r="E12" s="1826"/>
      <c r="F12" s="1826"/>
      <c r="G12" s="1826"/>
      <c r="H12" s="1826"/>
      <c r="I12" s="1826"/>
      <c r="J12" s="1826"/>
      <c r="K12" s="1826"/>
      <c r="L12" s="1823">
        <f t="shared" ref="L12:L27" si="0">+G12+I12+K12</f>
        <v>0</v>
      </c>
      <c r="M12" s="1826"/>
    </row>
    <row r="13" spans="2:14" ht="20.100000000000001" customHeight="1" x14ac:dyDescent="0.2">
      <c r="B13" s="1113" t="s">
        <v>2089</v>
      </c>
      <c r="C13" s="1824">
        <v>10.555</v>
      </c>
      <c r="D13" s="1825">
        <v>4210</v>
      </c>
      <c r="E13" s="1826">
        <v>113773</v>
      </c>
      <c r="F13" s="1826">
        <v>23170</v>
      </c>
      <c r="G13" s="1826">
        <v>113773</v>
      </c>
      <c r="H13" s="1826"/>
      <c r="I13" s="1826">
        <v>23170</v>
      </c>
      <c r="J13" s="1826"/>
      <c r="K13" s="1826"/>
      <c r="L13" s="1823">
        <f t="shared" si="0"/>
        <v>136943</v>
      </c>
      <c r="M13" s="1826"/>
    </row>
    <row r="14" spans="2:14" ht="20.100000000000001" customHeight="1" x14ac:dyDescent="0.2">
      <c r="B14" s="1113" t="s">
        <v>2090</v>
      </c>
      <c r="C14" s="1824">
        <v>10.555</v>
      </c>
      <c r="D14" s="1825">
        <v>4210</v>
      </c>
      <c r="E14" s="1826"/>
      <c r="F14" s="1826">
        <v>80766</v>
      </c>
      <c r="G14" s="1826"/>
      <c r="H14" s="1826"/>
      <c r="I14" s="1826">
        <v>80766</v>
      </c>
      <c r="J14" s="1826"/>
      <c r="K14" s="1826"/>
      <c r="L14" s="1823">
        <f t="shared" si="0"/>
        <v>80766</v>
      </c>
      <c r="M14" s="1826"/>
    </row>
    <row r="15" spans="2:14" ht="20.100000000000001" customHeight="1" x14ac:dyDescent="0.2">
      <c r="B15" s="1113" t="s">
        <v>2091</v>
      </c>
      <c r="C15" s="1824">
        <v>10.553000000000001</v>
      </c>
      <c r="D15" s="1825">
        <v>4220</v>
      </c>
      <c r="E15" s="1826">
        <v>29609</v>
      </c>
      <c r="F15" s="1826">
        <v>6088</v>
      </c>
      <c r="G15" s="1826">
        <v>29609</v>
      </c>
      <c r="H15" s="1826"/>
      <c r="I15" s="1826">
        <v>6088</v>
      </c>
      <c r="J15" s="1826"/>
      <c r="K15" s="1826"/>
      <c r="L15" s="1823">
        <f t="shared" si="0"/>
        <v>35697</v>
      </c>
      <c r="M15" s="1826"/>
    </row>
    <row r="16" spans="2:14" ht="20.100000000000001" customHeight="1" x14ac:dyDescent="0.2">
      <c r="B16" s="1113" t="s">
        <v>2091</v>
      </c>
      <c r="C16" s="1824">
        <v>10.553000000000001</v>
      </c>
      <c r="D16" s="1825">
        <v>4220</v>
      </c>
      <c r="E16" s="1826"/>
      <c r="F16" s="1826">
        <v>22376</v>
      </c>
      <c r="G16" s="1826"/>
      <c r="H16" s="1826"/>
      <c r="I16" s="1826">
        <v>22376</v>
      </c>
      <c r="J16" s="1826"/>
      <c r="K16" s="1826"/>
      <c r="L16" s="1823">
        <f t="shared" si="0"/>
        <v>22376</v>
      </c>
      <c r="M16" s="1826"/>
    </row>
    <row r="17" spans="2:14" ht="20.100000000000001" customHeight="1" x14ac:dyDescent="0.2">
      <c r="B17" s="1113" t="s">
        <v>2092</v>
      </c>
      <c r="C17" s="1824">
        <v>10.558999999999999</v>
      </c>
      <c r="D17" s="1825">
        <v>4225</v>
      </c>
      <c r="E17" s="1826"/>
      <c r="F17" s="1826">
        <v>50915</v>
      </c>
      <c r="G17" s="1826"/>
      <c r="H17" s="1826"/>
      <c r="I17" s="1826">
        <v>50915</v>
      </c>
      <c r="J17" s="1826"/>
      <c r="K17" s="1826"/>
      <c r="L17" s="1823">
        <f t="shared" si="0"/>
        <v>50915</v>
      </c>
      <c r="M17" s="1826"/>
    </row>
    <row r="18" spans="2:14" ht="20.100000000000001" customHeight="1" x14ac:dyDescent="0.2">
      <c r="B18" s="1113" t="s">
        <v>2093</v>
      </c>
      <c r="C18" s="1824">
        <v>10.555</v>
      </c>
      <c r="D18" s="1825">
        <v>4250</v>
      </c>
      <c r="E18" s="1826"/>
      <c r="F18" s="1826">
        <v>20550</v>
      </c>
      <c r="G18" s="1826"/>
      <c r="H18" s="1826"/>
      <c r="I18" s="1826">
        <v>20550</v>
      </c>
      <c r="J18" s="1826"/>
      <c r="K18" s="1826"/>
      <c r="L18" s="1823">
        <f t="shared" si="0"/>
        <v>20550</v>
      </c>
      <c r="M18" s="1826"/>
    </row>
    <row r="19" spans="2:14" ht="20.100000000000001" customHeight="1" x14ac:dyDescent="0.2">
      <c r="B19" s="1113" t="s">
        <v>2094</v>
      </c>
      <c r="C19" s="1824">
        <v>10.555</v>
      </c>
      <c r="D19" s="1825">
        <v>4250</v>
      </c>
      <c r="E19" s="1826"/>
      <c r="F19" s="1826">
        <v>4682</v>
      </c>
      <c r="G19" s="1826"/>
      <c r="H19" s="1826"/>
      <c r="I19" s="1826">
        <v>4682</v>
      </c>
      <c r="J19" s="1826"/>
      <c r="K19" s="1826"/>
      <c r="L19" s="1823">
        <f t="shared" si="0"/>
        <v>4682</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2095</v>
      </c>
      <c r="C21" s="1824"/>
      <c r="D21" s="1825"/>
      <c r="E21" s="1826">
        <v>143382</v>
      </c>
      <c r="F21" s="1826">
        <v>208547</v>
      </c>
      <c r="G21" s="1826">
        <v>143382</v>
      </c>
      <c r="H21" s="1826"/>
      <c r="I21" s="1826">
        <v>208547</v>
      </c>
      <c r="J21" s="1826"/>
      <c r="K21" s="1826"/>
      <c r="L21" s="1823">
        <f t="shared" si="0"/>
        <v>351929</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2096</v>
      </c>
      <c r="C23" s="1824"/>
      <c r="D23" s="1825"/>
      <c r="E23" s="1826"/>
      <c r="F23" s="1826"/>
      <c r="G23" s="1826"/>
      <c r="H23" s="1826"/>
      <c r="I23" s="1826"/>
      <c r="J23" s="1826"/>
      <c r="K23" s="1826"/>
      <c r="L23" s="1823">
        <f t="shared" si="0"/>
        <v>0</v>
      </c>
      <c r="M23" s="1826"/>
    </row>
    <row r="24" spans="2:14" ht="20.100000000000001" customHeight="1" x14ac:dyDescent="0.2">
      <c r="B24" s="1113" t="s">
        <v>2088</v>
      </c>
      <c r="C24" s="1824"/>
      <c r="D24" s="1825"/>
      <c r="E24" s="1826"/>
      <c r="F24" s="1826"/>
      <c r="G24" s="1826"/>
      <c r="H24" s="1826"/>
      <c r="I24" s="1826"/>
      <c r="J24" s="1826"/>
      <c r="K24" s="1826"/>
      <c r="L24" s="1823">
        <f t="shared" si="0"/>
        <v>0</v>
      </c>
      <c r="M24" s="1826"/>
    </row>
    <row r="25" spans="2:14" ht="20.100000000000001" customHeight="1" x14ac:dyDescent="0.2">
      <c r="B25" s="1113" t="s">
        <v>2125</v>
      </c>
      <c r="C25" s="1824" t="s">
        <v>2097</v>
      </c>
      <c r="D25" s="1825">
        <v>4300</v>
      </c>
      <c r="E25" s="1826">
        <v>140620</v>
      </c>
      <c r="F25" s="1826">
        <v>102262</v>
      </c>
      <c r="G25" s="1826">
        <v>242882</v>
      </c>
      <c r="H25" s="1826"/>
      <c r="I25" s="1826"/>
      <c r="J25" s="1826"/>
      <c r="K25" s="1826"/>
      <c r="L25" s="1823">
        <f t="shared" si="0"/>
        <v>242882</v>
      </c>
      <c r="M25" s="1826"/>
    </row>
    <row r="26" spans="2:14" ht="20.100000000000001" customHeight="1" x14ac:dyDescent="0.2">
      <c r="B26" s="1113" t="s">
        <v>2126</v>
      </c>
      <c r="C26" s="1824" t="s">
        <v>2097</v>
      </c>
      <c r="D26" s="1825">
        <v>4300</v>
      </c>
      <c r="E26" s="1826"/>
      <c r="F26" s="1826">
        <v>225027</v>
      </c>
      <c r="G26" s="1826"/>
      <c r="H26" s="1826"/>
      <c r="I26" s="1826">
        <v>267283</v>
      </c>
      <c r="J26" s="1826"/>
      <c r="K26" s="1826">
        <v>23889</v>
      </c>
      <c r="L26" s="1823">
        <f t="shared" si="0"/>
        <v>291172</v>
      </c>
      <c r="M26" s="1826"/>
    </row>
    <row r="27" spans="2:14" ht="20.100000000000001" customHeight="1" x14ac:dyDescent="0.2">
      <c r="B27" s="1113" t="s">
        <v>2098</v>
      </c>
      <c r="C27" s="1824">
        <v>84.424000000000007</v>
      </c>
      <c r="D27" s="1825">
        <v>4400</v>
      </c>
      <c r="E27" s="1826">
        <v>7997</v>
      </c>
      <c r="F27" s="1826">
        <v>13924</v>
      </c>
      <c r="G27" s="1826">
        <v>21921</v>
      </c>
      <c r="H27" s="1826"/>
      <c r="I27" s="1826"/>
      <c r="J27" s="1826"/>
      <c r="K27" s="1826"/>
      <c r="L27" s="1823">
        <f t="shared" si="0"/>
        <v>21921</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2"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Gibson City-Melvin-Sibley CUSD 5</v>
      </c>
      <c r="C1" s="2569"/>
      <c r="D1" s="2569"/>
      <c r="E1" s="2569"/>
      <c r="F1" s="2569"/>
      <c r="G1" s="2569"/>
      <c r="H1" s="2569"/>
      <c r="I1" s="2569"/>
      <c r="J1" s="2569"/>
      <c r="K1" s="2569"/>
      <c r="L1" s="2569"/>
      <c r="M1" s="2569"/>
    </row>
    <row r="2" spans="2:14" ht="15" x14ac:dyDescent="0.2">
      <c r="B2" s="2570">
        <f>'Single Audit Cover'!E7</f>
        <v>9027005026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1709</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2098</v>
      </c>
      <c r="C11" s="1821">
        <v>84.424000000000007</v>
      </c>
      <c r="D11" s="1822">
        <v>4400</v>
      </c>
      <c r="E11" s="1823"/>
      <c r="F11" s="1823">
        <v>9832</v>
      </c>
      <c r="G11" s="1823"/>
      <c r="H11" s="1823"/>
      <c r="I11" s="1823">
        <v>10035</v>
      </c>
      <c r="J11" s="1823"/>
      <c r="K11" s="1823"/>
      <c r="L11" s="1823">
        <f>+G11+I11+K11</f>
        <v>10035</v>
      </c>
      <c r="M11" s="1823"/>
    </row>
    <row r="12" spans="2:14" ht="20.100000000000001" customHeight="1" x14ac:dyDescent="0.2">
      <c r="B12" s="1113" t="s">
        <v>2099</v>
      </c>
      <c r="C12" s="1824">
        <v>84.027000000000001</v>
      </c>
      <c r="D12" s="1825">
        <v>4600</v>
      </c>
      <c r="E12" s="1826"/>
      <c r="F12" s="1826">
        <v>8172</v>
      </c>
      <c r="G12" s="1826"/>
      <c r="H12" s="1826"/>
      <c r="I12" s="1826">
        <v>8172</v>
      </c>
      <c r="J12" s="1826"/>
      <c r="K12" s="1826"/>
      <c r="L12" s="1823">
        <f t="shared" ref="L12:L27" si="0">+G12+I12+K12</f>
        <v>8172</v>
      </c>
      <c r="M12" s="1826"/>
    </row>
    <row r="13" spans="2:14" ht="20.100000000000001" customHeight="1" x14ac:dyDescent="0.2">
      <c r="B13" s="1113" t="s">
        <v>2127</v>
      </c>
      <c r="C13" s="1824">
        <v>84.027000000000001</v>
      </c>
      <c r="D13" s="1825">
        <v>4620</v>
      </c>
      <c r="E13" s="1826"/>
      <c r="F13" s="1826">
        <v>207495</v>
      </c>
      <c r="G13" s="1826"/>
      <c r="H13" s="1826"/>
      <c r="I13" s="1826">
        <v>212495</v>
      </c>
      <c r="J13" s="1826"/>
      <c r="K13" s="1826"/>
      <c r="L13" s="1823">
        <f t="shared" si="0"/>
        <v>212495</v>
      </c>
      <c r="M13" s="1826"/>
    </row>
    <row r="14" spans="2:14" ht="20.100000000000001" customHeight="1" x14ac:dyDescent="0.2">
      <c r="B14" s="1113" t="s">
        <v>2100</v>
      </c>
      <c r="C14" s="1824">
        <v>84.424000000000007</v>
      </c>
      <c r="D14" s="1825">
        <v>4932</v>
      </c>
      <c r="E14" s="1826">
        <v>28746</v>
      </c>
      <c r="F14" s="1826">
        <v>11382</v>
      </c>
      <c r="G14" s="1826">
        <v>40128</v>
      </c>
      <c r="H14" s="1826"/>
      <c r="I14" s="1826"/>
      <c r="J14" s="1826"/>
      <c r="K14" s="1826"/>
      <c r="L14" s="1823">
        <f t="shared" si="0"/>
        <v>40128</v>
      </c>
      <c r="M14" s="1826"/>
    </row>
    <row r="15" spans="2:14" ht="20.100000000000001" customHeight="1" x14ac:dyDescent="0.2">
      <c r="B15" s="1113" t="s">
        <v>2101</v>
      </c>
      <c r="C15" s="1824">
        <v>84.424000000000007</v>
      </c>
      <c r="D15" s="1825">
        <v>4932</v>
      </c>
      <c r="E15" s="1826"/>
      <c r="F15" s="1826">
        <v>37229</v>
      </c>
      <c r="G15" s="1826"/>
      <c r="H15" s="1826"/>
      <c r="I15" s="1826">
        <v>39472</v>
      </c>
      <c r="J15" s="1826"/>
      <c r="K15" s="1826"/>
      <c r="L15" s="1823">
        <f t="shared" si="0"/>
        <v>39472</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2102</v>
      </c>
      <c r="C17" s="1824"/>
      <c r="D17" s="1825"/>
      <c r="E17" s="1826">
        <v>177363</v>
      </c>
      <c r="F17" s="1826">
        <v>615323</v>
      </c>
      <c r="G17" s="1826"/>
      <c r="H17" s="1826"/>
      <c r="I17" s="1826">
        <v>537457</v>
      </c>
      <c r="J17" s="1826"/>
      <c r="K17" s="1826">
        <v>23889</v>
      </c>
      <c r="L17" s="1823">
        <f t="shared" si="0"/>
        <v>561346</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2103</v>
      </c>
      <c r="C19" s="1824"/>
      <c r="D19" s="1825"/>
      <c r="E19" s="1826"/>
      <c r="F19" s="1826"/>
      <c r="G19" s="1826"/>
      <c r="H19" s="1826"/>
      <c r="I19" s="1826"/>
      <c r="J19" s="1826"/>
      <c r="K19" s="1826"/>
      <c r="L19" s="1823">
        <f t="shared" si="0"/>
        <v>0</v>
      </c>
      <c r="M19" s="1826"/>
    </row>
    <row r="20" spans="2:14" ht="20.100000000000001" customHeight="1" x14ac:dyDescent="0.2">
      <c r="B20" s="1113" t="s">
        <v>2104</v>
      </c>
      <c r="C20" s="1824"/>
      <c r="D20" s="1825"/>
      <c r="E20" s="1826"/>
      <c r="F20" s="1826"/>
      <c r="G20" s="1826"/>
      <c r="H20" s="1826"/>
      <c r="I20" s="1826"/>
      <c r="J20" s="1826"/>
      <c r="K20" s="1826"/>
      <c r="L20" s="1823">
        <f t="shared" si="0"/>
        <v>0</v>
      </c>
      <c r="M20" s="1826"/>
    </row>
    <row r="21" spans="2:14" ht="20.100000000000001" customHeight="1" x14ac:dyDescent="0.2">
      <c r="B21" s="1113" t="s">
        <v>2105</v>
      </c>
      <c r="C21" s="1824">
        <v>93.778000000000006</v>
      </c>
      <c r="D21" s="1825">
        <v>4999</v>
      </c>
      <c r="E21" s="1826"/>
      <c r="F21" s="1826">
        <v>4144</v>
      </c>
      <c r="G21" s="1826"/>
      <c r="H21" s="1826"/>
      <c r="I21" s="1826">
        <v>4144</v>
      </c>
      <c r="J21" s="1826"/>
      <c r="K21" s="1826"/>
      <c r="L21" s="1823">
        <f t="shared" si="0"/>
        <v>4144</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2106</v>
      </c>
      <c r="C23" s="1824"/>
      <c r="D23" s="1825"/>
      <c r="E23" s="1826"/>
      <c r="F23" s="1826">
        <v>4144</v>
      </c>
      <c r="G23" s="1826"/>
      <c r="H23" s="1826"/>
      <c r="I23" s="1826">
        <v>4144</v>
      </c>
      <c r="J23" s="1826"/>
      <c r="K23" s="1826"/>
      <c r="L23" s="1823">
        <f t="shared" si="0"/>
        <v>4144</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t="s">
        <v>2107</v>
      </c>
      <c r="C26" s="1824"/>
      <c r="D26" s="1825"/>
      <c r="E26" s="1826">
        <v>320745</v>
      </c>
      <c r="F26" s="1826">
        <v>828014</v>
      </c>
      <c r="G26" s="1826">
        <v>448313</v>
      </c>
      <c r="H26" s="1826"/>
      <c r="I26" s="1826">
        <v>750148</v>
      </c>
      <c r="J26" s="1826"/>
      <c r="K26" s="1826">
        <v>23889</v>
      </c>
      <c r="L26" s="1823">
        <f t="shared" si="0"/>
        <v>1222350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2049</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1987</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1987</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2066</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8"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Gibson City-Melvin-Sibley CUSD 5</v>
      </c>
      <c r="B1" s="2574"/>
      <c r="C1" s="2574"/>
      <c r="D1" s="2574"/>
      <c r="E1" s="2574"/>
      <c r="F1" s="2574"/>
    </row>
    <row r="2" spans="1:7" ht="13.5" customHeight="1" x14ac:dyDescent="0.2">
      <c r="A2" s="2570">
        <f>'Single Audit Cover'!E7</f>
        <v>9027005026</v>
      </c>
      <c r="B2" s="2570"/>
      <c r="C2" s="2570"/>
      <c r="D2" s="2570"/>
      <c r="E2" s="2570"/>
      <c r="F2" s="2570"/>
      <c r="G2" s="1051"/>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1705</v>
      </c>
      <c r="C6" s="295"/>
      <c r="D6" s="295"/>
    </row>
    <row r="7" spans="1:7" ht="60.95" customHeight="1" x14ac:dyDescent="0.2">
      <c r="A7" s="2573" t="s">
        <v>2108</v>
      </c>
      <c r="B7" s="2573"/>
      <c r="C7" s="2573"/>
      <c r="D7" s="2573"/>
      <c r="E7" s="2573"/>
      <c r="F7" s="2573"/>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2109</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3" t="s">
        <v>2110</v>
      </c>
      <c r="B13" s="2573"/>
      <c r="C13" s="2573"/>
      <c r="D13" s="2573"/>
      <c r="E13" s="2573"/>
      <c r="F13" s="2573"/>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t="s">
        <v>2111</v>
      </c>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1707</v>
      </c>
      <c r="B32" s="2581"/>
      <c r="C32" s="2581"/>
      <c r="D32" s="2581"/>
      <c r="E32" s="2581"/>
      <c r="F32" s="2581"/>
    </row>
    <row r="33" spans="1:6" ht="13.5" customHeight="1" x14ac:dyDescent="0.2">
      <c r="A33" s="306" t="s">
        <v>1417</v>
      </c>
      <c r="B33" s="306"/>
      <c r="C33" s="1064">
        <v>20550</v>
      </c>
      <c r="D33" s="1526"/>
      <c r="E33" s="1062"/>
    </row>
    <row r="34" spans="1:6" ht="13.5" customHeight="1" x14ac:dyDescent="0.2">
      <c r="A34" s="306" t="s">
        <v>1809</v>
      </c>
      <c r="B34" s="306"/>
      <c r="C34" s="1065">
        <v>4682</v>
      </c>
      <c r="D34" s="1526" t="s">
        <v>1572</v>
      </c>
      <c r="E34" s="2582">
        <f>+C33+C34</f>
        <v>25232</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2112</v>
      </c>
      <c r="D38" s="1526"/>
      <c r="E38" s="1062"/>
    </row>
    <row r="39" spans="1:6" ht="14.25" customHeight="1" x14ac:dyDescent="0.2">
      <c r="A39" s="306"/>
      <c r="B39" s="306" t="s">
        <v>1419</v>
      </c>
      <c r="C39" s="1068" t="s">
        <v>2112</v>
      </c>
      <c r="D39" s="1526"/>
      <c r="E39" s="1062"/>
    </row>
    <row r="40" spans="1:6" ht="14.25" customHeight="1" x14ac:dyDescent="0.2">
      <c r="A40" s="306"/>
      <c r="B40" s="306" t="s">
        <v>1420</v>
      </c>
      <c r="C40" s="1068" t="s">
        <v>2112</v>
      </c>
      <c r="D40" s="1526"/>
      <c r="E40" s="1062"/>
    </row>
    <row r="41" spans="1:6" ht="14.25" customHeight="1" x14ac:dyDescent="0.2">
      <c r="A41" s="306"/>
      <c r="B41" s="306" t="s">
        <v>1421</v>
      </c>
      <c r="C41" s="1068" t="s">
        <v>2112</v>
      </c>
      <c r="D41" s="1526"/>
      <c r="E41" s="1062"/>
    </row>
    <row r="42" spans="1:6" ht="14.25" customHeight="1" x14ac:dyDescent="0.2">
      <c r="A42" s="306" t="s">
        <v>1422</v>
      </c>
      <c r="B42" s="306"/>
      <c r="C42" s="1524" t="s">
        <v>2112</v>
      </c>
      <c r="D42" s="1526"/>
      <c r="E42" s="1062"/>
    </row>
    <row r="43" spans="1:6" ht="14.25" customHeight="1" x14ac:dyDescent="0.2">
      <c r="A43" s="306" t="s">
        <v>1423</v>
      </c>
      <c r="B43" s="306"/>
      <c r="C43" s="1069" t="s">
        <v>2112</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6" zoomScale="110" zoomScaleNormal="110" workbookViewId="0">
      <selection activeCell="G52" sqref="G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Gibson City-Melvin-Sibley CUSD 5</v>
      </c>
      <c r="C1" s="2590"/>
      <c r="D1" s="2590"/>
      <c r="E1" s="2590"/>
      <c r="F1" s="2590"/>
      <c r="G1" s="2590"/>
      <c r="H1" s="2590"/>
      <c r="I1" s="2590"/>
      <c r="J1" s="1178"/>
    </row>
    <row r="2" spans="2:10" s="295" customFormat="1" ht="12.75" customHeight="1" x14ac:dyDescent="0.2">
      <c r="B2" s="2591">
        <f>'Single Audit Cover'!E7</f>
        <v>9027005026</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t="s">
        <v>2113</v>
      </c>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2109</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2109</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2109</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2109</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2109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t="s">
        <v>2114</v>
      </c>
      <c r="E29" s="2596"/>
      <c r="F29" s="2596"/>
      <c r="G29" s="2596"/>
      <c r="H29" s="2596"/>
      <c r="I29" s="2596"/>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2115</v>
      </c>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97" t="s">
        <v>1726</v>
      </c>
      <c r="D37" s="2598"/>
      <c r="E37" s="2598"/>
      <c r="F37" s="2599"/>
      <c r="G37" s="2597" t="s">
        <v>1575</v>
      </c>
      <c r="H37" s="2598"/>
      <c r="I37" s="2599"/>
    </row>
    <row r="38" spans="2:9" ht="16.5" customHeight="1" x14ac:dyDescent="0.2">
      <c r="B38" s="1200" t="s">
        <v>2097</v>
      </c>
      <c r="C38" s="2585" t="s">
        <v>2116</v>
      </c>
      <c r="D38" s="2586"/>
      <c r="E38" s="2586"/>
      <c r="F38" s="2587"/>
      <c r="G38" s="2600">
        <v>267283</v>
      </c>
      <c r="H38" s="2601"/>
      <c r="I38" s="2602"/>
    </row>
    <row r="39" spans="2:9" ht="16.5" customHeight="1" x14ac:dyDescent="0.2">
      <c r="B39" s="1200">
        <v>84.027000000000001</v>
      </c>
      <c r="C39" s="2585" t="s">
        <v>2117</v>
      </c>
      <c r="D39" s="2586"/>
      <c r="E39" s="2586"/>
      <c r="F39" s="2587"/>
      <c r="G39" s="2588">
        <v>212495</v>
      </c>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1576</v>
      </c>
      <c r="D43" s="2604"/>
      <c r="E43" s="2604"/>
      <c r="F43" s="2605"/>
      <c r="G43" s="2606">
        <f>SUM(G38:I42)</f>
        <v>479778</v>
      </c>
      <c r="H43" s="2606"/>
      <c r="I43" s="2606"/>
    </row>
    <row r="44" spans="2:9" ht="12.75" customHeight="1" x14ac:dyDescent="0.2"/>
    <row r="45" spans="2:9" ht="12.75" customHeight="1" x14ac:dyDescent="0.2">
      <c r="B45" s="1918" t="str">
        <f>"Total Federal Expenditures for 7/1/"&amp;MID('AFR20'!E2,3,2)-1&amp;"-6/30/"&amp;MID('AFR20'!E2,3,2)</f>
        <v>Total Federal Expenditures for 7/1/19-6/30/20</v>
      </c>
      <c r="C45" s="1919"/>
      <c r="D45" s="2607">
        <v>774037</v>
      </c>
      <c r="E45" s="2608"/>
    </row>
    <row r="46" spans="2:9" ht="5.25" customHeight="1" x14ac:dyDescent="0.2">
      <c r="B46" s="1201"/>
      <c r="D46" s="1202"/>
      <c r="E46" s="1203"/>
    </row>
    <row r="47" spans="2:9" ht="12.75" customHeight="1" x14ac:dyDescent="0.2">
      <c r="B47" s="1076" t="s">
        <v>1577</v>
      </c>
      <c r="C47" s="1076"/>
      <c r="D47" s="1204">
        <f>+G43/D45</f>
        <v>0.61983858652751744</v>
      </c>
      <c r="E47" s="1205"/>
      <c r="F47" s="1206"/>
      <c r="I47" s="1207"/>
    </row>
    <row r="48" spans="2:9" ht="9.9499999999999993" customHeight="1" x14ac:dyDescent="0.2"/>
    <row r="49" spans="1:9" x14ac:dyDescent="0.2">
      <c r="B49" s="1138" t="s">
        <v>1262</v>
      </c>
      <c r="C49" s="1058"/>
      <c r="D49" s="1058"/>
      <c r="E49" s="2609">
        <v>750000</v>
      </c>
      <c r="F49" s="2609"/>
      <c r="G49" s="2609"/>
      <c r="H49" s="300"/>
    </row>
    <row r="51" spans="1:9" ht="13.5" customHeight="1" x14ac:dyDescent="0.2">
      <c r="B51" s="1138" t="s">
        <v>1261</v>
      </c>
      <c r="C51" s="1058"/>
      <c r="E51" s="1194"/>
      <c r="F51" s="1076" t="s">
        <v>879</v>
      </c>
      <c r="G51" s="1194" t="s">
        <v>2115</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1"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Gibson City-Melvin-Sibley CUSD 5</v>
      </c>
      <c r="C1" s="2589"/>
      <c r="D1" s="2589"/>
      <c r="E1" s="2589"/>
      <c r="F1" s="2589"/>
      <c r="G1" s="2589"/>
      <c r="H1" s="2589"/>
      <c r="I1" s="2589"/>
      <c r="J1" s="2589"/>
      <c r="K1" s="2589"/>
      <c r="L1" s="1144"/>
      <c r="M1" s="1144"/>
    </row>
    <row r="2" spans="1:13" ht="12" customHeight="1" x14ac:dyDescent="0.2">
      <c r="B2" s="2591">
        <f>'Single Audit Cover'!E7</f>
        <v>9027005026</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20" t="str">
        <f>'AFR20'!$E$2&amp;"-"</f>
        <v>2020-</v>
      </c>
      <c r="D10" s="1155">
        <v>1</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t="s">
        <v>2118</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t="s">
        <v>2119</v>
      </c>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15" t="s">
        <v>2120</v>
      </c>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t="s">
        <v>2121</v>
      </c>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t="s">
        <v>2122</v>
      </c>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t="s">
        <v>2123</v>
      </c>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10" t="s">
        <v>2124</v>
      </c>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6"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Gibson City-Melvin-Sibley CUSD 5</v>
      </c>
      <c r="C1" s="2616"/>
      <c r="D1" s="2616"/>
      <c r="E1" s="2616"/>
      <c r="F1" s="2616"/>
      <c r="G1" s="2616"/>
      <c r="H1" s="2616"/>
      <c r="I1" s="2616"/>
      <c r="J1" s="2616"/>
      <c r="K1" s="2616"/>
      <c r="L1" s="1221"/>
    </row>
    <row r="2" spans="1:12" ht="12.75" customHeight="1" x14ac:dyDescent="0.2">
      <c r="B2" s="2617">
        <f>'Single Audit Cover'!E7</f>
        <v>9027005026</v>
      </c>
      <c r="C2" s="2617"/>
      <c r="D2" s="2617"/>
      <c r="E2" s="2617"/>
      <c r="F2" s="2617"/>
      <c r="G2" s="2617"/>
      <c r="H2" s="2617"/>
      <c r="I2" s="2617"/>
      <c r="J2" s="2617"/>
      <c r="K2" s="2617"/>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t="s">
        <v>2111</v>
      </c>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Gibson City-Melvin-Sibley CUSD 5</v>
      </c>
      <c r="C1" s="2589"/>
      <c r="D1" s="2589"/>
      <c r="E1" s="1240"/>
    </row>
    <row r="2" spans="2:5" s="1058" customFormat="1" ht="12.75" customHeight="1" x14ac:dyDescent="0.2">
      <c r="B2" s="2591">
        <f>'Single Audit Cover'!E7</f>
        <v>9027005026</v>
      </c>
      <c r="C2" s="2591"/>
      <c r="D2" s="2591"/>
      <c r="E2" s="1241"/>
    </row>
    <row r="3" spans="2:5" ht="12.75" customHeight="1" x14ac:dyDescent="0.2">
      <c r="B3" s="2612" t="s">
        <v>1741</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1742</v>
      </c>
      <c r="C5" s="306"/>
      <c r="D5" s="306"/>
      <c r="E5" s="306"/>
    </row>
    <row r="6" spans="2:5" s="1058" customFormat="1" ht="13.5" customHeight="1" x14ac:dyDescent="0.2">
      <c r="B6" s="1244" t="s">
        <v>1304</v>
      </c>
      <c r="C6" s="1244" t="s">
        <v>1303</v>
      </c>
      <c r="D6" s="1244" t="s">
        <v>1743</v>
      </c>
    </row>
    <row r="7" spans="2:5" ht="13.5" customHeight="1" x14ac:dyDescent="0.2">
      <c r="B7" s="1245"/>
      <c r="C7" s="302"/>
      <c r="D7" s="302"/>
      <c r="E7" s="302"/>
    </row>
    <row r="8" spans="2:5" ht="13.5" customHeight="1" x14ac:dyDescent="0.2">
      <c r="B8" s="1245" t="s">
        <v>2111</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1744</v>
      </c>
    </row>
    <row r="46" spans="2:5" ht="12.2" customHeight="1" x14ac:dyDescent="0.2">
      <c r="B46" s="1254" t="s">
        <v>1745</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140091176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3.5999999999999997E-2</v>
      </c>
      <c r="E10" s="333" t="s">
        <v>998</v>
      </c>
      <c r="F10" s="332">
        <v>5.0000000000000001E-3</v>
      </c>
      <c r="G10" s="333" t="s">
        <v>998</v>
      </c>
      <c r="H10" s="332">
        <v>2E-3</v>
      </c>
      <c r="I10" s="333" t="s">
        <v>999</v>
      </c>
      <c r="J10" s="1424">
        <f>ROUND(D10+F10+H10,5)</f>
        <v>4.2999999999999997E-2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11940885</v>
      </c>
      <c r="E16" s="1547"/>
      <c r="F16" s="1546">
        <f>SUM('Acct Summary 7-8'!C17,'Acct Summary 7-8'!D17,'Acct Summary 7-8'!F17)</f>
        <v>10572667</v>
      </c>
      <c r="G16" s="1547"/>
      <c r="H16" s="1546">
        <f>SUM(D16-F16)</f>
        <v>1368218</v>
      </c>
      <c r="I16" s="1548"/>
      <c r="J16" s="1546">
        <f>SUM('Acct Summary 7-8'!C81,'Acct Summary 7-8'!D81,'Acct Summary 7-8'!F81,'Acct Summary 7-8'!I81)</f>
        <v>8175153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19332582.288000003</v>
      </c>
      <c r="I31" s="345"/>
      <c r="J31" s="217"/>
      <c r="K31" s="217"/>
      <c r="L31" s="217"/>
      <c r="M31" s="217"/>
    </row>
    <row r="32" spans="1:13" ht="13.35" customHeight="1" x14ac:dyDescent="0.2">
      <c r="B32" s="346" t="s">
        <v>2049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12294300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Gibson City-Melvin-Sibley CUSD 5</v>
      </c>
      <c r="E7" s="368"/>
      <c r="G7" s="247"/>
      <c r="H7" s="364"/>
      <c r="I7" s="364"/>
      <c r="J7" s="364"/>
      <c r="K7" s="364"/>
      <c r="L7" s="307"/>
      <c r="M7" s="307"/>
      <c r="N7" s="307"/>
      <c r="O7" s="307"/>
      <c r="P7" s="307"/>
    </row>
    <row r="8" spans="1:18" ht="12.75" x14ac:dyDescent="0.2">
      <c r="A8" s="307"/>
      <c r="B8" s="307"/>
      <c r="C8" s="366" t="s">
        <v>1115</v>
      </c>
      <c r="D8" s="369">
        <f>COVER!A13</f>
        <v>9027005026</v>
      </c>
      <c r="E8" s="370"/>
      <c r="G8" s="307"/>
      <c r="H8" s="307"/>
      <c r="I8" s="307"/>
      <c r="J8" s="307"/>
      <c r="K8" s="307"/>
      <c r="L8" s="307"/>
      <c r="M8" s="307"/>
      <c r="N8" s="307"/>
      <c r="O8" s="307"/>
      <c r="P8" s="307"/>
    </row>
    <row r="9" spans="1:18" ht="12.75" x14ac:dyDescent="0.2">
      <c r="A9" s="307"/>
      <c r="B9" s="307"/>
      <c r="C9" s="366" t="s">
        <v>708</v>
      </c>
      <c r="D9" s="371" t="str">
        <f>COVER!A15</f>
        <v>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8175153</v>
      </c>
      <c r="I12" s="380"/>
      <c r="J12" s="380"/>
      <c r="K12" s="1559">
        <f>TRUNC((H12/H13*100000),5)/100000</f>
        <v>0.69334515600000002</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11790885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-150000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10572667</v>
      </c>
      <c r="I17" s="380"/>
      <c r="J17" s="389"/>
      <c r="K17" s="1559">
        <f>TRUNC((H17/H18*100000),5)/100000</f>
        <v>0.89668137709999995</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11790885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-150000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8041603</v>
      </c>
      <c r="I24" s="394"/>
      <c r="J24" s="394"/>
      <c r="K24" s="1555">
        <f>TRUNC(((H24/H25*100000)/100000),2)</f>
        <v>273.81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29368.51944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1891</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5120332.4828000003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12294300</v>
      </c>
      <c r="I32" s="392"/>
      <c r="J32" s="392"/>
      <c r="K32" s="1555">
        <f>TRUNC(100-((((H32/H33*100))*100)/100),2)</f>
        <v>36.4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19332582.288000003</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3" activePane="bottomLeft" state="frozen"/>
      <selection pane="bottomLeft" activeCell="K40" sqref="K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1506048</v>
      </c>
      <c r="D4" s="1573">
        <v>1543518</v>
      </c>
      <c r="E4" s="1573">
        <v>120356</v>
      </c>
      <c r="F4" s="1573">
        <v>651054</v>
      </c>
      <c r="G4" s="1573">
        <v>134764</v>
      </c>
      <c r="H4" s="1573">
        <v>8304091</v>
      </c>
      <c r="I4" s="1573">
        <v>201683</v>
      </c>
      <c r="J4" s="1574">
        <v>952366</v>
      </c>
      <c r="K4" s="1573">
        <v>183287</v>
      </c>
      <c r="L4" s="1573">
        <v>275195</v>
      </c>
      <c r="M4" s="1575"/>
      <c r="N4" s="1576"/>
    </row>
    <row r="5" spans="1:14" x14ac:dyDescent="0.2">
      <c r="A5" s="427" t="s">
        <v>985</v>
      </c>
      <c r="B5" s="429">
        <v>120</v>
      </c>
      <c r="C5" s="1572">
        <v>2717400</v>
      </c>
      <c r="D5" s="1573"/>
      <c r="E5" s="1573"/>
      <c r="F5" s="1573"/>
      <c r="G5" s="1573"/>
      <c r="H5" s="1573"/>
      <c r="I5" s="1573">
        <v>1421900</v>
      </c>
      <c r="J5" s="1574"/>
      <c r="K5" s="1577"/>
      <c r="L5" s="1578">
        <v>10952</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36714</v>
      </c>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96836</v>
      </c>
      <c r="D11" s="1574"/>
      <c r="E11" s="1574"/>
      <c r="F11" s="1574"/>
      <c r="G11" s="1574"/>
      <c r="H11" s="1574"/>
      <c r="I11" s="1583"/>
      <c r="J11" s="1583">
        <v>6680</v>
      </c>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4356998</v>
      </c>
      <c r="D13" s="1587">
        <f t="shared" ref="D13:L13" si="0">SUM(D4:D12)</f>
        <v>1543518</v>
      </c>
      <c r="E13" s="1587">
        <f t="shared" si="0"/>
        <v>120356</v>
      </c>
      <c r="F13" s="1587">
        <f t="shared" si="0"/>
        <v>651054</v>
      </c>
      <c r="G13" s="1587">
        <f t="shared" si="0"/>
        <v>134764</v>
      </c>
      <c r="H13" s="1587">
        <f t="shared" si="0"/>
        <v>8304091</v>
      </c>
      <c r="I13" s="1587">
        <f t="shared" si="0"/>
        <v>1623583</v>
      </c>
      <c r="J13" s="1587">
        <f t="shared" si="0"/>
        <v>959046</v>
      </c>
      <c r="K13" s="1587">
        <f t="shared" si="0"/>
        <v>183287</v>
      </c>
      <c r="L13" s="1587">
        <f t="shared" si="0"/>
        <v>286147</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12804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12263338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6275304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5090485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120356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12173944</v>
      </c>
    </row>
    <row r="23" spans="1:14" ht="13.5" customHeight="1" thickBot="1" x14ac:dyDescent="0.25">
      <c r="A23" s="1426" t="s">
        <v>638</v>
      </c>
      <c r="B23" s="1429"/>
      <c r="C23" s="1575"/>
      <c r="D23" s="1575"/>
      <c r="E23" s="1575"/>
      <c r="F23" s="1575"/>
      <c r="G23" s="1575"/>
      <c r="H23" s="1575"/>
      <c r="I23" s="1575"/>
      <c r="J23" s="1575"/>
      <c r="K23" s="1575"/>
      <c r="L23" s="1575"/>
      <c r="M23" s="1594">
        <f>SUM(M15:M22)</f>
        <v>23641931</v>
      </c>
      <c r="N23" s="1594">
        <f>SUM(N21:N22)</f>
        <v>12294300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v>36714</v>
      </c>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286147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36714</v>
      </c>
      <c r="K34" s="1600">
        <f t="shared" si="1"/>
        <v>0</v>
      </c>
      <c r="L34" s="1601">
        <f>SUM(L33)</f>
        <v>286147</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12294300</v>
      </c>
    </row>
    <row r="37" spans="1:14" ht="13.5" thickBot="1" x14ac:dyDescent="0.25">
      <c r="A37" s="1426" t="s">
        <v>648</v>
      </c>
      <c r="B37" s="1429"/>
      <c r="C37" s="1582"/>
      <c r="D37" s="1582"/>
      <c r="E37" s="1582"/>
      <c r="F37" s="1582"/>
      <c r="G37" s="1582"/>
      <c r="H37" s="1582"/>
      <c r="I37" s="1582"/>
      <c r="J37" s="1582"/>
      <c r="K37" s="1582"/>
      <c r="L37" s="1585"/>
      <c r="M37" s="1575"/>
      <c r="N37" s="1594">
        <f>SUM(N36:N36)</f>
        <v>12294300</v>
      </c>
    </row>
    <row r="38" spans="1:14" s="307" customFormat="1" ht="13.5" customHeight="1" thickTop="1" x14ac:dyDescent="0.2">
      <c r="A38" s="438" t="s">
        <v>417</v>
      </c>
      <c r="B38" s="432">
        <v>714</v>
      </c>
      <c r="C38" s="1573"/>
      <c r="D38" s="1573">
        <v>50000</v>
      </c>
      <c r="E38" s="1573"/>
      <c r="F38" s="1573"/>
      <c r="G38" s="1573">
        <v>134764</v>
      </c>
      <c r="H38" s="1573"/>
      <c r="I38" s="1573"/>
      <c r="J38" s="1574"/>
      <c r="K38" s="1573"/>
      <c r="L38" s="1586"/>
      <c r="M38" s="1604"/>
      <c r="N38" s="1604"/>
    </row>
    <row r="39" spans="1:14" s="307" customFormat="1" ht="13.5" customHeight="1" x14ac:dyDescent="0.2">
      <c r="A39" s="438" t="s">
        <v>339</v>
      </c>
      <c r="B39" s="432">
        <v>730</v>
      </c>
      <c r="C39" s="1573">
        <v>4356998</v>
      </c>
      <c r="D39" s="1573">
        <v>1493518</v>
      </c>
      <c r="E39" s="1573">
        <v>120356</v>
      </c>
      <c r="F39" s="1573">
        <v>651054</v>
      </c>
      <c r="G39" s="1573"/>
      <c r="H39" s="1573">
        <v>8304091</v>
      </c>
      <c r="I39" s="1573">
        <v>1623583</v>
      </c>
      <c r="J39" s="1574">
        <v>922332</v>
      </c>
      <c r="K39" s="1573">
        <v>183287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23641931</v>
      </c>
      <c r="N40" s="1604"/>
    </row>
    <row r="41" spans="1:14" ht="13.5" customHeight="1" thickBot="1" x14ac:dyDescent="0.25">
      <c r="A41" s="1426" t="s">
        <v>650</v>
      </c>
      <c r="B41" s="1405"/>
      <c r="C41" s="1594">
        <f>(SUM(C34,C37,C38,C39))</f>
        <v>4356998</v>
      </c>
      <c r="D41" s="1594">
        <f t="shared" ref="D41:L41" si="2">SUM(D34,D37,D38:D39)</f>
        <v>1543518</v>
      </c>
      <c r="E41" s="1594">
        <f t="shared" si="2"/>
        <v>120356</v>
      </c>
      <c r="F41" s="1594">
        <f t="shared" si="2"/>
        <v>651054</v>
      </c>
      <c r="G41" s="1594">
        <f t="shared" si="2"/>
        <v>134764</v>
      </c>
      <c r="H41" s="1594">
        <f t="shared" si="2"/>
        <v>8304091</v>
      </c>
      <c r="I41" s="1594">
        <f t="shared" si="2"/>
        <v>1623583</v>
      </c>
      <c r="J41" s="1594">
        <f t="shared" si="2"/>
        <v>959046</v>
      </c>
      <c r="K41" s="1594">
        <f t="shared" si="2"/>
        <v>183287</v>
      </c>
      <c r="L41" s="1594">
        <f t="shared" si="2"/>
        <v>286147</v>
      </c>
      <c r="M41" s="1594">
        <f>SUM(M40)</f>
        <v>23641931</v>
      </c>
      <c r="N41" s="1594">
        <f>SUM(N37)</f>
        <v>12294300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73" activePane="bottomLeft" state="frozen"/>
      <selection pane="bottomLeft" activeCell="K81" sqref="K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6052755</v>
      </c>
      <c r="D4" s="1606">
        <f>'Revenues 9-14'!D109</f>
        <v>1260093</v>
      </c>
      <c r="E4" s="1606">
        <f>'Revenues 9-14'!E109</f>
        <v>512670</v>
      </c>
      <c r="F4" s="1606">
        <f>'Revenues 9-14'!F109</f>
        <v>369658</v>
      </c>
      <c r="G4" s="1606">
        <f>'Revenues 9-14'!G109</f>
        <v>276789</v>
      </c>
      <c r="H4" s="1606">
        <f>'Revenues 9-14'!H109</f>
        <v>22743</v>
      </c>
      <c r="I4" s="1606">
        <f>'Revenues 9-14'!I109</f>
        <v>66533</v>
      </c>
      <c r="J4" s="1606">
        <f>'Revenues 9-14'!J109</f>
        <v>870426</v>
      </c>
      <c r="K4" s="1606">
        <f>'Revenues 9-14'!K109</f>
        <v>68383</v>
      </c>
      <c r="L4" s="325"/>
    </row>
    <row r="5" spans="1:13" ht="15.75" customHeight="1" x14ac:dyDescent="0.2">
      <c r="A5" s="1314" t="s">
        <v>1483</v>
      </c>
      <c r="B5" s="1315">
        <v>2000</v>
      </c>
      <c r="C5" s="1607">
        <f>'Revenues 9-14'!C114</f>
        <v>18462</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2878764</v>
      </c>
      <c r="D6" s="1607">
        <f>'Revenues 9-14'!D170</f>
        <v>50000</v>
      </c>
      <c r="E6" s="1607">
        <f>'Revenues 9-14'!E170</f>
        <v>0</v>
      </c>
      <c r="F6" s="1607">
        <f>'Revenues 9-14'!F170</f>
        <v>431886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812734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9762715</v>
      </c>
      <c r="D8" s="1594">
        <f t="shared" ref="D8:K8" si="0">SUM(D4:D7)</f>
        <v>1310093</v>
      </c>
      <c r="E8" s="1594">
        <f t="shared" si="0"/>
        <v>512670</v>
      </c>
      <c r="F8" s="1594">
        <f t="shared" si="0"/>
        <v>801544</v>
      </c>
      <c r="G8" s="1594">
        <f t="shared" si="0"/>
        <v>276789</v>
      </c>
      <c r="H8" s="1594">
        <f t="shared" si="0"/>
        <v>22743</v>
      </c>
      <c r="I8" s="1594">
        <f t="shared" si="0"/>
        <v>66533</v>
      </c>
      <c r="J8" s="1594">
        <f t="shared" si="0"/>
        <v>870426</v>
      </c>
      <c r="K8" s="1594">
        <f t="shared" si="0"/>
        <v>68383</v>
      </c>
      <c r="L8" s="325"/>
    </row>
    <row r="9" spans="1:13" ht="15.75" thickTop="1" x14ac:dyDescent="0.2">
      <c r="A9" s="449" t="s">
        <v>1634</v>
      </c>
      <c r="B9" s="450">
        <v>3998</v>
      </c>
      <c r="C9" s="1586">
        <v>4764371</v>
      </c>
      <c r="D9" s="1613"/>
      <c r="E9" s="1586"/>
      <c r="F9" s="1586"/>
      <c r="G9" s="1614"/>
      <c r="H9" s="1586"/>
      <c r="I9" s="1609" t="s">
        <v>1159</v>
      </c>
      <c r="J9" s="1583"/>
      <c r="K9" s="1586"/>
      <c r="L9" s="325"/>
    </row>
    <row r="10" spans="1:13" s="452" customFormat="1" ht="13.5" thickBot="1" x14ac:dyDescent="0.25">
      <c r="A10" s="1426" t="s">
        <v>1163</v>
      </c>
      <c r="B10" s="1407"/>
      <c r="C10" s="1594">
        <f>SUM(C8:C9)</f>
        <v>14527086</v>
      </c>
      <c r="D10" s="1594">
        <f t="shared" ref="D10:K10" si="1">SUM(D8:D9)</f>
        <v>1310093</v>
      </c>
      <c r="E10" s="1594">
        <f t="shared" si="1"/>
        <v>512670</v>
      </c>
      <c r="F10" s="1594">
        <f t="shared" si="1"/>
        <v>801544</v>
      </c>
      <c r="G10" s="1594">
        <f t="shared" si="1"/>
        <v>276789</v>
      </c>
      <c r="H10" s="1594">
        <f t="shared" si="1"/>
        <v>22743</v>
      </c>
      <c r="I10" s="1594">
        <f t="shared" si="1"/>
        <v>66533</v>
      </c>
      <c r="J10" s="1594">
        <f t="shared" si="1"/>
        <v>870426</v>
      </c>
      <c r="K10" s="1594">
        <f t="shared" si="1"/>
        <v>68383</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6145861</v>
      </c>
      <c r="D12" s="1616" t="s">
        <v>1159</v>
      </c>
      <c r="E12" s="1575" t="s">
        <v>1159</v>
      </c>
      <c r="F12" s="1575" t="s">
        <v>1159</v>
      </c>
      <c r="G12" s="1606">
        <f>'Expenditures 15-22'!K229</f>
        <v>134101</v>
      </c>
      <c r="H12" s="1617"/>
      <c r="I12" s="1575" t="s">
        <v>1159</v>
      </c>
      <c r="J12" s="1575" t="s">
        <v>1159</v>
      </c>
      <c r="K12" s="1617" t="s">
        <v>1159</v>
      </c>
      <c r="L12" s="325"/>
    </row>
    <row r="13" spans="1:13" ht="15.75" customHeight="1" x14ac:dyDescent="0.2">
      <c r="A13" s="1314" t="s">
        <v>454</v>
      </c>
      <c r="B13" s="1316">
        <v>2000</v>
      </c>
      <c r="C13" s="1607">
        <f>'Expenditures 15-22'!K74</f>
        <v>2226682</v>
      </c>
      <c r="D13" s="1607">
        <f>'Expenditures 15-22'!K129</f>
        <v>859448</v>
      </c>
      <c r="E13" s="1576" t="s">
        <v>1159</v>
      </c>
      <c r="F13" s="1607">
        <f>'Expenditures 15-22'!K184</f>
        <v>514408</v>
      </c>
      <c r="G13" s="1607">
        <f>'Expenditures 15-22'!K279</f>
        <v>204160</v>
      </c>
      <c r="H13" s="1607">
        <f>'Expenditures 15-22'!K303</f>
        <v>42670</v>
      </c>
      <c r="I13" s="1575" t="s">
        <v>1159</v>
      </c>
      <c r="J13" s="1607">
        <f>'Expenditures 15-22'!K330</f>
        <v>878940</v>
      </c>
      <c r="K13" s="1618">
        <f>'Expenditures 15-22'!K352</f>
        <v>17544</v>
      </c>
      <c r="L13" s="325"/>
    </row>
    <row r="14" spans="1:13" ht="15.75" customHeight="1" x14ac:dyDescent="0.2">
      <c r="A14" s="1314" t="s">
        <v>446</v>
      </c>
      <c r="B14" s="1316">
        <v>3000</v>
      </c>
      <c r="C14" s="1607">
        <f>'Expenditures 15-22'!K75</f>
        <v>13061</v>
      </c>
      <c r="D14" s="1607">
        <f>'Expenditures 15-22'!K130</f>
        <v>0</v>
      </c>
      <c r="E14" s="1616" t="s">
        <v>1159</v>
      </c>
      <c r="F14" s="1607">
        <f>'Expenditures 15-22'!K185</f>
        <v>0</v>
      </c>
      <c r="G14" s="1607">
        <f>'Expenditures 15-22'!K280</f>
        <v>979</v>
      </c>
      <c r="H14" s="1612"/>
      <c r="I14" s="1575" t="s">
        <v>1159</v>
      </c>
      <c r="J14" s="1575" t="s">
        <v>1159</v>
      </c>
      <c r="K14" s="1612" t="s">
        <v>1159</v>
      </c>
      <c r="L14" s="325"/>
    </row>
    <row r="15" spans="1:13" ht="15.75" customHeight="1" x14ac:dyDescent="0.2">
      <c r="A15" s="1314" t="s">
        <v>107</v>
      </c>
      <c r="B15" s="1316">
        <v>4000</v>
      </c>
      <c r="C15" s="1607">
        <f>'Expenditures 15-22'!K102</f>
        <v>640757</v>
      </c>
      <c r="D15" s="1607">
        <f>'Expenditures 15-22'!K139</f>
        <v>0</v>
      </c>
      <c r="E15" s="1607">
        <f>'Expenditures 15-22'!K160</f>
        <v>0</v>
      </c>
      <c r="F15" s="1607">
        <f>'Expenditures 15-22'!K196</f>
        <v>167647</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4803</v>
      </c>
      <c r="E16" s="1607">
        <f>'Expenditures 15-22'!K172</f>
        <v>663661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9026361</v>
      </c>
      <c r="D17" s="1594">
        <f t="shared" si="2"/>
        <v>864251</v>
      </c>
      <c r="E17" s="1594">
        <f t="shared" si="2"/>
        <v>663661</v>
      </c>
      <c r="F17" s="1594">
        <f t="shared" si="2"/>
        <v>682055</v>
      </c>
      <c r="G17" s="1594">
        <f t="shared" si="2"/>
        <v>339240</v>
      </c>
      <c r="H17" s="1594">
        <f t="shared" si="2"/>
        <v>42670</v>
      </c>
      <c r="I17" s="1575"/>
      <c r="J17" s="1594">
        <f>SUM(J12:J16)</f>
        <v>878940</v>
      </c>
      <c r="K17" s="1594">
        <f>SUM(K12:K16)</f>
        <v>17544</v>
      </c>
      <c r="L17" s="325"/>
    </row>
    <row r="18" spans="1:12" ht="15" customHeight="1" thickTop="1" x14ac:dyDescent="0.2">
      <c r="A18" s="1430" t="s">
        <v>1635</v>
      </c>
      <c r="B18" s="1431">
        <v>4180</v>
      </c>
      <c r="C18" s="1606">
        <f t="shared" ref="C18:H18" si="3">C9</f>
        <v>4764371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13790732</v>
      </c>
      <c r="D19" s="1594">
        <f t="shared" si="4"/>
        <v>864251</v>
      </c>
      <c r="E19" s="1594">
        <f t="shared" si="4"/>
        <v>663661</v>
      </c>
      <c r="F19" s="1594">
        <f t="shared" si="4"/>
        <v>682055</v>
      </c>
      <c r="G19" s="1594">
        <f t="shared" si="4"/>
        <v>339240</v>
      </c>
      <c r="H19" s="1594">
        <f t="shared" si="4"/>
        <v>42670</v>
      </c>
      <c r="I19" s="1575"/>
      <c r="J19" s="1594">
        <f>SUM(J17:J18)</f>
        <v>878940</v>
      </c>
      <c r="K19" s="1594">
        <f>SUM(K17:K18)</f>
        <v>17544</v>
      </c>
      <c r="L19" s="325"/>
    </row>
    <row r="20" spans="1:12" ht="16.5" thickTop="1" thickBot="1" x14ac:dyDescent="0.25">
      <c r="A20" s="2234" t="s">
        <v>1636</v>
      </c>
      <c r="B20" s="2235"/>
      <c r="C20" s="1622">
        <f>C8-C17</f>
        <v>736354</v>
      </c>
      <c r="D20" s="1622">
        <f t="shared" ref="D20:K20" si="5">D8-D17</f>
        <v>445842</v>
      </c>
      <c r="E20" s="1622">
        <f t="shared" si="5"/>
        <v>-150991</v>
      </c>
      <c r="F20" s="1622">
        <f t="shared" si="5"/>
        <v>119489</v>
      </c>
      <c r="G20" s="1622">
        <f t="shared" si="5"/>
        <v>-62451</v>
      </c>
      <c r="H20" s="1622">
        <f t="shared" si="5"/>
        <v>-19927</v>
      </c>
      <c r="I20" s="1622">
        <f t="shared" si="5"/>
        <v>66533</v>
      </c>
      <c r="J20" s="1622">
        <f t="shared" si="5"/>
        <v>-8514</v>
      </c>
      <c r="K20" s="1622">
        <f t="shared" si="5"/>
        <v>50839</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1769</v>
      </c>
      <c r="B30" s="455">
        <v>7160</v>
      </c>
      <c r="C30" s="1582"/>
      <c r="D30" s="1574"/>
      <c r="E30" s="1582"/>
      <c r="F30" s="1582"/>
      <c r="G30" s="1582"/>
      <c r="H30" s="1582"/>
      <c r="I30" s="1582"/>
      <c r="J30" s="1582"/>
      <c r="K30" s="1582"/>
      <c r="L30" s="453"/>
    </row>
    <row r="31" spans="1:12" s="433" customFormat="1" ht="26.25" x14ac:dyDescent="0.2">
      <c r="A31" s="1260" t="s">
        <v>1773</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v>8000000</v>
      </c>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150000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150000</v>
      </c>
      <c r="F44" s="1624">
        <f t="shared" si="6"/>
        <v>0</v>
      </c>
      <c r="G44" s="1624">
        <f t="shared" si="6"/>
        <v>0</v>
      </c>
      <c r="H44" s="1624">
        <f t="shared" si="6"/>
        <v>8000000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1772</v>
      </c>
      <c r="B52" s="432">
        <v>8160</v>
      </c>
      <c r="C52" s="1582"/>
      <c r="D52" s="1582"/>
      <c r="E52" s="1582"/>
      <c r="F52" s="1582"/>
      <c r="G52" s="1582"/>
      <c r="H52" s="1582"/>
      <c r="I52" s="1582"/>
      <c r="J52" s="1582"/>
      <c r="K52" s="1607">
        <f>D30</f>
        <v>0</v>
      </c>
      <c r="L52" s="453"/>
    </row>
    <row r="53" spans="1:12" s="433" customFormat="1" ht="26.25" x14ac:dyDescent="0.2">
      <c r="A53" s="1261" t="s">
        <v>1771</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v>150000</v>
      </c>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150000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-150000</v>
      </c>
      <c r="E77" s="1624">
        <f t="shared" si="8"/>
        <v>150000</v>
      </c>
      <c r="F77" s="1624">
        <f t="shared" si="8"/>
        <v>0</v>
      </c>
      <c r="G77" s="1624">
        <f t="shared" si="8"/>
        <v>0</v>
      </c>
      <c r="H77" s="1624">
        <f t="shared" si="8"/>
        <v>8000000</v>
      </c>
      <c r="I77" s="1624">
        <f t="shared" si="8"/>
        <v>0</v>
      </c>
      <c r="J77" s="1624">
        <f t="shared" si="8"/>
        <v>0</v>
      </c>
      <c r="K77" s="1624">
        <f t="shared" si="8"/>
        <v>0</v>
      </c>
      <c r="L77" s="325"/>
    </row>
    <row r="78" spans="1:12" ht="21.75" customHeight="1" thickTop="1" thickBot="1" x14ac:dyDescent="0.25">
      <c r="A78" s="2230" t="s">
        <v>593</v>
      </c>
      <c r="B78" s="2231"/>
      <c r="C78" s="1629">
        <f t="shared" ref="C78:K78" si="9">C20+C77</f>
        <v>736354</v>
      </c>
      <c r="D78" s="1629">
        <f t="shared" si="9"/>
        <v>295842</v>
      </c>
      <c r="E78" s="1629">
        <f t="shared" si="9"/>
        <v>-991</v>
      </c>
      <c r="F78" s="1629">
        <f t="shared" si="9"/>
        <v>119489</v>
      </c>
      <c r="G78" s="1629">
        <f t="shared" si="9"/>
        <v>-62451</v>
      </c>
      <c r="H78" s="1629">
        <f t="shared" si="9"/>
        <v>7980073</v>
      </c>
      <c r="I78" s="1629">
        <f t="shared" si="9"/>
        <v>66533</v>
      </c>
      <c r="J78" s="1629">
        <f t="shared" si="9"/>
        <v>-8514</v>
      </c>
      <c r="K78" s="1629">
        <f t="shared" si="9"/>
        <v>50839</v>
      </c>
      <c r="L78" s="457"/>
    </row>
    <row r="79" spans="1:12" ht="13.5" thickTop="1" x14ac:dyDescent="0.2">
      <c r="A79" s="1844" t="str">
        <f>"Fund Balances - July 1, "&amp;'AFR20'!E2-1</f>
        <v>Fund Balances - July 1, 2019</v>
      </c>
      <c r="B79" s="458"/>
      <c r="C79" s="1583">
        <v>3620644</v>
      </c>
      <c r="D79" s="1630">
        <v>1247676</v>
      </c>
      <c r="E79" s="1630">
        <v>121347</v>
      </c>
      <c r="F79" s="1630">
        <v>531565</v>
      </c>
      <c r="G79" s="1630">
        <v>197215</v>
      </c>
      <c r="H79" s="1630">
        <v>324018</v>
      </c>
      <c r="I79" s="1630">
        <v>1557050</v>
      </c>
      <c r="J79" s="1630">
        <v>930846</v>
      </c>
      <c r="K79" s="1630">
        <v>132448</v>
      </c>
      <c r="L79" s="325"/>
    </row>
    <row r="80" spans="1:12" x14ac:dyDescent="0.2">
      <c r="A80" s="2236" t="s">
        <v>1770</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4356998</v>
      </c>
      <c r="D81" s="1594">
        <f>SUM(D78:D80)</f>
        <v>1543518</v>
      </c>
      <c r="E81" s="1594">
        <f t="shared" ref="E81:K81" si="10">SUM(E78:E80)</f>
        <v>120356</v>
      </c>
      <c r="F81" s="1594">
        <f t="shared" si="10"/>
        <v>651054</v>
      </c>
      <c r="G81" s="1594">
        <f t="shared" si="10"/>
        <v>134764</v>
      </c>
      <c r="H81" s="1594">
        <f t="shared" si="10"/>
        <v>8304091</v>
      </c>
      <c r="I81" s="1594">
        <f t="shared" si="10"/>
        <v>1623583</v>
      </c>
      <c r="J81" s="1594">
        <f t="shared" si="10"/>
        <v>922332</v>
      </c>
      <c r="K81" s="1594">
        <f t="shared" si="10"/>
        <v>183287</v>
      </c>
      <c r="L81" s="325"/>
    </row>
    <row r="82" spans="1:12" ht="0.75" customHeight="1" thickTop="1" thickBot="1" x14ac:dyDescent="0.25">
      <c r="A82" s="459" t="s">
        <v>340</v>
      </c>
      <c r="B82" s="460"/>
      <c r="C82" s="461">
        <f>(C81-C79)</f>
        <v>736354</v>
      </c>
      <c r="D82" s="461">
        <f t="shared" ref="D82:K82" si="11">(D81-D79)</f>
        <v>295842</v>
      </c>
      <c r="E82" s="461">
        <f t="shared" si="11"/>
        <v>-991</v>
      </c>
      <c r="F82" s="461">
        <f t="shared" si="11"/>
        <v>119489</v>
      </c>
      <c r="G82" s="461">
        <f t="shared" si="11"/>
        <v>-62451</v>
      </c>
      <c r="H82" s="461">
        <f t="shared" si="11"/>
        <v>7980073</v>
      </c>
      <c r="I82" s="461">
        <f t="shared" si="11"/>
        <v>66533</v>
      </c>
      <c r="J82" s="461">
        <f t="shared" si="11"/>
        <v>-8514</v>
      </c>
      <c r="K82" s="461">
        <f t="shared" si="11"/>
        <v>50839</v>
      </c>
    </row>
    <row r="83" spans="1:12" ht="14.25" hidden="1" thickTop="1" thickBot="1" x14ac:dyDescent="0.25">
      <c r="A83" s="462" t="s">
        <v>341</v>
      </c>
      <c r="B83" s="428"/>
      <c r="C83" s="463">
        <f>C82/C81</f>
        <v>0.16900489740872041</v>
      </c>
      <c r="D83" s="463">
        <f t="shared" ref="D83:K83" si="12">D82/D81</f>
        <v>0.19166734693084239</v>
      </c>
      <c r="E83" s="463">
        <f t="shared" si="12"/>
        <v>-8.2339060786333872E-3</v>
      </c>
      <c r="F83" s="463">
        <f t="shared" si="12"/>
        <v>0.18353162717685476</v>
      </c>
      <c r="G83" s="463">
        <f t="shared" si="12"/>
        <v>-0.46341010952479889</v>
      </c>
      <c r="H83" s="463">
        <f t="shared" si="12"/>
        <v>0.96098091892297421</v>
      </c>
      <c r="I83" s="463">
        <f t="shared" si="12"/>
        <v>4.09791184066352E-2</v>
      </c>
      <c r="J83" s="463">
        <f t="shared" si="12"/>
        <v>-9.2309493761465501E-3</v>
      </c>
      <c r="K83" s="463">
        <f t="shared" si="12"/>
        <v>0.27737373627153045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1777</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4790327</v>
      </c>
      <c r="D5" s="1586">
        <v>665323</v>
      </c>
      <c r="E5" s="1573">
        <v>510484</v>
      </c>
      <c r="F5" s="1631">
        <v>266129</v>
      </c>
      <c r="G5" s="1573">
        <v>124653</v>
      </c>
      <c r="H5" s="1573"/>
      <c r="I5" s="1573">
        <v>66533</v>
      </c>
      <c r="J5" s="1574">
        <v>869732</v>
      </c>
      <c r="K5" s="1573">
        <v>66532</v>
      </c>
    </row>
    <row r="6" spans="1:12" ht="15" x14ac:dyDescent="0.2">
      <c r="A6" s="427" t="s">
        <v>1643</v>
      </c>
      <c r="B6" s="429">
        <v>1130</v>
      </c>
      <c r="C6" s="1573">
        <v>66532</v>
      </c>
      <c r="D6" s="1573"/>
      <c r="E6" s="1580"/>
      <c r="F6" s="1580"/>
      <c r="G6" s="1575"/>
      <c r="H6" s="1575"/>
      <c r="I6" s="1575"/>
      <c r="J6" s="1575"/>
      <c r="K6" s="1575"/>
    </row>
    <row r="7" spans="1:12" x14ac:dyDescent="0.2">
      <c r="A7" s="427" t="s">
        <v>110</v>
      </c>
      <c r="B7" s="471">
        <v>1140</v>
      </c>
      <c r="C7" s="1573">
        <v>53226</v>
      </c>
      <c r="D7" s="1573"/>
      <c r="E7" s="1575"/>
      <c r="F7" s="1574"/>
      <c r="G7" s="1574"/>
      <c r="H7" s="1574"/>
      <c r="I7" s="1575"/>
      <c r="J7" s="1575"/>
      <c r="K7" s="1575"/>
    </row>
    <row r="8" spans="1:12" x14ac:dyDescent="0.2">
      <c r="A8" s="427" t="s">
        <v>410</v>
      </c>
      <c r="B8" s="429">
        <v>1150</v>
      </c>
      <c r="C8" s="1580"/>
      <c r="D8" s="1580"/>
      <c r="E8" s="1582"/>
      <c r="F8" s="1582"/>
      <c r="G8" s="1586">
        <v>99354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4910085</v>
      </c>
      <c r="D12" s="1633">
        <f t="shared" si="0"/>
        <v>665323</v>
      </c>
      <c r="E12" s="1633">
        <f t="shared" si="0"/>
        <v>510484</v>
      </c>
      <c r="F12" s="1633">
        <f t="shared" si="0"/>
        <v>266129</v>
      </c>
      <c r="G12" s="1633">
        <f t="shared" si="0"/>
        <v>224007</v>
      </c>
      <c r="H12" s="1633">
        <f t="shared" si="0"/>
        <v>0</v>
      </c>
      <c r="I12" s="1633">
        <f t="shared" si="0"/>
        <v>66533</v>
      </c>
      <c r="J12" s="1633">
        <f t="shared" si="0"/>
        <v>869732</v>
      </c>
      <c r="K12" s="1594">
        <f t="shared" si="0"/>
        <v>66532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428368</v>
      </c>
      <c r="D16" s="1573">
        <v>41182</v>
      </c>
      <c r="E16" s="1573"/>
      <c r="F16" s="1573">
        <v>100000</v>
      </c>
      <c r="G16" s="1573">
        <v>50000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428368</v>
      </c>
      <c r="D18" s="1635">
        <f t="shared" ref="D18:K18" si="1">SUM(D14:D17)</f>
        <v>41182</v>
      </c>
      <c r="E18" s="1635">
        <f t="shared" si="1"/>
        <v>0</v>
      </c>
      <c r="F18" s="1635">
        <f t="shared" si="1"/>
        <v>100000</v>
      </c>
      <c r="G18" s="1635">
        <f t="shared" si="1"/>
        <v>50000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v>75</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75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253355</v>
      </c>
      <c r="D65" s="1573">
        <v>6804</v>
      </c>
      <c r="E65" s="1573">
        <v>2186</v>
      </c>
      <c r="F65" s="1574">
        <v>3529</v>
      </c>
      <c r="G65" s="1573">
        <v>2782</v>
      </c>
      <c r="H65" s="1573">
        <v>2286</v>
      </c>
      <c r="I65" s="1573"/>
      <c r="J65" s="1574">
        <v>694</v>
      </c>
      <c r="K65" s="1573">
        <v>1851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253355</v>
      </c>
      <c r="D67" s="1594">
        <f t="shared" ref="D67:K67" si="2">SUM(D65:D66)</f>
        <v>6804</v>
      </c>
      <c r="E67" s="1594">
        <f t="shared" si="2"/>
        <v>2186</v>
      </c>
      <c r="F67" s="1594">
        <f t="shared" si="2"/>
        <v>3529</v>
      </c>
      <c r="G67" s="1594">
        <f t="shared" si="2"/>
        <v>2782</v>
      </c>
      <c r="H67" s="1594">
        <f t="shared" si="2"/>
        <v>2286</v>
      </c>
      <c r="I67" s="1594">
        <f t="shared" si="2"/>
        <v>0</v>
      </c>
      <c r="J67" s="1594">
        <f t="shared" si="2"/>
        <v>694</v>
      </c>
      <c r="K67" s="1594">
        <f t="shared" si="2"/>
        <v>1851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58942</v>
      </c>
      <c r="D69" s="1575"/>
      <c r="E69" s="1575"/>
      <c r="F69" s="1575"/>
      <c r="G69" s="1575"/>
      <c r="H69" s="1575"/>
      <c r="I69" s="1575"/>
      <c r="J69" s="1575"/>
      <c r="K69" s="1575"/>
    </row>
    <row r="70" spans="1:11" ht="12.75" customHeight="1" x14ac:dyDescent="0.2">
      <c r="A70" s="427" t="s">
        <v>990</v>
      </c>
      <c r="B70" s="429">
        <v>1612</v>
      </c>
      <c r="C70" s="1632">
        <v>4416</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1759</v>
      </c>
      <c r="D73" s="1575"/>
      <c r="E73" s="1575"/>
      <c r="F73" s="1575"/>
      <c r="G73" s="1575"/>
      <c r="H73" s="1575"/>
      <c r="I73" s="1575"/>
      <c r="J73" s="1575"/>
      <c r="K73" s="1575"/>
    </row>
    <row r="74" spans="1:11" ht="12.75" customHeight="1" x14ac:dyDescent="0.2">
      <c r="A74" s="427" t="s">
        <v>25</v>
      </c>
      <c r="B74" s="429">
        <v>1690</v>
      </c>
      <c r="C74" s="1632">
        <v>8088</v>
      </c>
      <c r="D74" s="1575"/>
      <c r="E74" s="1575"/>
      <c r="F74" s="1575"/>
      <c r="G74" s="1575"/>
      <c r="H74" s="1575"/>
      <c r="I74" s="1575"/>
      <c r="J74" s="1575"/>
      <c r="K74" s="1575"/>
    </row>
    <row r="75" spans="1:11" ht="12.75" customHeight="1" thickBot="1" x14ac:dyDescent="0.25">
      <c r="A75" s="1406" t="s">
        <v>544</v>
      </c>
      <c r="B75" s="1407"/>
      <c r="C75" s="1594">
        <f>SUM(C69:C74)</f>
        <v>73205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37740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15990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53730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68458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68458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1500</v>
      </c>
      <c r="E95" s="1617"/>
      <c r="F95" s="1617"/>
      <c r="G95" s="1617"/>
      <c r="H95" s="1617"/>
      <c r="I95" s="1617"/>
      <c r="J95" s="1617"/>
      <c r="K95" s="1617"/>
    </row>
    <row r="96" spans="1:11" ht="12.75" customHeight="1" x14ac:dyDescent="0.2">
      <c r="A96" s="427" t="s">
        <v>388</v>
      </c>
      <c r="B96" s="429">
        <v>1920</v>
      </c>
      <c r="C96" s="1632">
        <v>4000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18913</v>
      </c>
      <c r="D98" s="1573"/>
      <c r="E98" s="1612"/>
      <c r="F98" s="1573"/>
      <c r="G98" s="1612"/>
      <c r="H98" s="1612"/>
      <c r="I98" s="1610"/>
      <c r="J98" s="1612"/>
      <c r="K98" s="1612"/>
    </row>
    <row r="99" spans="1:12" ht="12.75" customHeight="1" x14ac:dyDescent="0.2">
      <c r="A99" s="427" t="s">
        <v>816</v>
      </c>
      <c r="B99" s="429">
        <v>1950</v>
      </c>
      <c r="C99" s="1598">
        <v>88254</v>
      </c>
      <c r="D99" s="1573"/>
      <c r="E99" s="1573"/>
      <c r="F99" s="1573"/>
      <c r="G99" s="1573"/>
      <c r="H99" s="1573"/>
      <c r="I99" s="1575"/>
      <c r="J99" s="1574"/>
      <c r="K99" s="1573"/>
    </row>
    <row r="100" spans="1:12" ht="12.75" customHeight="1" x14ac:dyDescent="0.2">
      <c r="A100" s="427" t="s">
        <v>243</v>
      </c>
      <c r="B100" s="429">
        <v>1960</v>
      </c>
      <c r="C100" s="1598">
        <v>150000</v>
      </c>
      <c r="D100" s="1598">
        <v>511996</v>
      </c>
      <c r="E100" s="1598"/>
      <c r="F100" s="1598"/>
      <c r="G100" s="1598"/>
      <c r="H100" s="1598"/>
      <c r="I100" s="1574"/>
      <c r="J100" s="1598"/>
      <c r="K100" s="1574"/>
    </row>
    <row r="101" spans="1:12" ht="12.75" customHeight="1" x14ac:dyDescent="0.2">
      <c r="A101" s="427" t="s">
        <v>244</v>
      </c>
      <c r="B101" s="429">
        <v>1970</v>
      </c>
      <c r="C101" s="1598">
        <v>3600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20457</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712</v>
      </c>
      <c r="D107" s="1573">
        <v>33288</v>
      </c>
      <c r="E107" s="1573"/>
      <c r="F107" s="1573"/>
      <c r="G107" s="1573"/>
      <c r="H107" s="1573"/>
      <c r="I107" s="1573"/>
      <c r="J107" s="1574"/>
      <c r="K107" s="1573"/>
    </row>
    <row r="108" spans="1:12" ht="12.75" customHeight="1" thickBot="1" x14ac:dyDescent="0.25">
      <c r="A108" s="1406" t="s">
        <v>484</v>
      </c>
      <c r="B108" s="1408"/>
      <c r="C108" s="1633">
        <f>SUM(C95:C107)</f>
        <v>265479</v>
      </c>
      <c r="D108" s="1633">
        <f t="shared" ref="D108:K108" si="3">SUM(D95:D107)</f>
        <v>546784</v>
      </c>
      <c r="E108" s="1633">
        <f t="shared" si="3"/>
        <v>0</v>
      </c>
      <c r="F108" s="1633">
        <f t="shared" si="3"/>
        <v>0</v>
      </c>
      <c r="G108" s="1633">
        <f t="shared" si="3"/>
        <v>0</v>
      </c>
      <c r="H108" s="1633">
        <f t="shared" si="3"/>
        <v>20457</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6052755</v>
      </c>
      <c r="D109" s="1641">
        <f t="shared" si="4"/>
        <v>1260093</v>
      </c>
      <c r="E109" s="1641">
        <f t="shared" si="4"/>
        <v>512670</v>
      </c>
      <c r="F109" s="1641">
        <f t="shared" si="4"/>
        <v>369658</v>
      </c>
      <c r="G109" s="1641">
        <f t="shared" si="4"/>
        <v>276789</v>
      </c>
      <c r="H109" s="1641">
        <f t="shared" si="4"/>
        <v>22743</v>
      </c>
      <c r="I109" s="1641">
        <f t="shared" si="4"/>
        <v>66533</v>
      </c>
      <c r="J109" s="1641">
        <f t="shared" si="4"/>
        <v>870426</v>
      </c>
      <c r="K109" s="1629">
        <f t="shared" si="4"/>
        <v>68383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18462</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18462</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2694323</v>
      </c>
      <c r="D117" s="1586"/>
      <c r="E117" s="1573"/>
      <c r="F117" s="1586"/>
      <c r="G117" s="1586"/>
      <c r="H117" s="1573"/>
      <c r="I117" s="1575"/>
      <c r="J117" s="1574"/>
      <c r="K117" s="1573"/>
    </row>
    <row r="118" spans="1:11" ht="12.75" customHeight="1" x14ac:dyDescent="0.2">
      <c r="A118" s="427" t="s">
        <v>1774</v>
      </c>
      <c r="B118" s="478">
        <v>3002</v>
      </c>
      <c r="C118" s="1632"/>
      <c r="D118" s="1573"/>
      <c r="E118" s="1573"/>
      <c r="F118" s="1573"/>
      <c r="G118" s="1573"/>
      <c r="H118" s="1573"/>
      <c r="I118" s="1575"/>
      <c r="J118" s="1574"/>
      <c r="K118" s="1573"/>
    </row>
    <row r="119" spans="1:11" ht="12.75" customHeight="1" x14ac:dyDescent="0.2">
      <c r="A119" s="427" t="s">
        <v>1775</v>
      </c>
      <c r="B119" s="478">
        <v>3005</v>
      </c>
      <c r="C119" s="1632"/>
      <c r="D119" s="1573"/>
      <c r="E119" s="1573"/>
      <c r="F119" s="1573"/>
      <c r="G119" s="1573"/>
      <c r="H119" s="1573"/>
      <c r="I119" s="1575"/>
      <c r="J119" s="1574"/>
      <c r="K119" s="1573"/>
    </row>
    <row r="120" spans="1:11" ht="12.75" customHeight="1" x14ac:dyDescent="0.2">
      <c r="A120" s="1539" t="s">
        <v>1893</v>
      </c>
      <c r="B120" s="478">
        <v>3030</v>
      </c>
      <c r="C120" s="1632"/>
      <c r="D120" s="1573"/>
      <c r="E120" s="1573"/>
      <c r="F120" s="1573"/>
      <c r="G120" s="1573"/>
      <c r="H120" s="1573"/>
      <c r="I120" s="1575"/>
      <c r="J120" s="1574"/>
      <c r="K120" s="1573"/>
    </row>
    <row r="121" spans="1:11" x14ac:dyDescent="0.2">
      <c r="A121" s="1266" t="s">
        <v>1776</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2694323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156316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6794</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163110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10946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10946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1938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8447</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313227</v>
      </c>
      <c r="G152" s="1574"/>
      <c r="H152" s="1575"/>
      <c r="I152" s="1575"/>
      <c r="J152" s="1575"/>
      <c r="K152" s="1575"/>
    </row>
    <row r="153" spans="1:11" ht="12.75" customHeight="1" x14ac:dyDescent="0.2">
      <c r="A153" s="427" t="s">
        <v>1048</v>
      </c>
      <c r="B153" s="478">
        <v>3510</v>
      </c>
      <c r="C153" s="1632"/>
      <c r="D153" s="1573"/>
      <c r="E153" s="1640"/>
      <c r="F153" s="1573">
        <v>118659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431886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184441</v>
      </c>
      <c r="D169" s="1658">
        <f t="shared" si="6"/>
        <v>50000</v>
      </c>
      <c r="E169" s="1658">
        <f t="shared" si="6"/>
        <v>0</v>
      </c>
      <c r="F169" s="1658">
        <f t="shared" si="6"/>
        <v>431886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2878764</v>
      </c>
      <c r="D170" s="1641">
        <f t="shared" si="7"/>
        <v>50000</v>
      </c>
      <c r="E170" s="1641">
        <f t="shared" si="7"/>
        <v>0</v>
      </c>
      <c r="F170" s="1641">
        <f t="shared" si="7"/>
        <v>431886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1778</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103936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28464</v>
      </c>
      <c r="D193" s="1575"/>
      <c r="E193" s="1640"/>
      <c r="F193" s="1575"/>
      <c r="G193" s="1664"/>
      <c r="H193" s="1575"/>
      <c r="I193" s="1575"/>
      <c r="J193" s="1575"/>
      <c r="K193" s="1575"/>
    </row>
    <row r="194" spans="1:11" ht="12.75" customHeight="1" x14ac:dyDescent="0.2">
      <c r="A194" s="427" t="s">
        <v>1434</v>
      </c>
      <c r="B194" s="429">
        <v>4225</v>
      </c>
      <c r="C194" s="1632">
        <v>50915</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183315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327289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327289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23756</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23756</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8172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207495</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215667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48611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1894</v>
      </c>
      <c r="B261" s="429">
        <v>4981</v>
      </c>
      <c r="C261" s="1650"/>
      <c r="D261" s="1651"/>
      <c r="E261" s="1575"/>
      <c r="F261" s="1651"/>
      <c r="G261" s="1651"/>
      <c r="H261" s="1575"/>
      <c r="I261" s="1575"/>
      <c r="J261" s="1575"/>
      <c r="K261" s="1575"/>
    </row>
    <row r="262" spans="1:11" ht="12.75" customHeight="1" thickTop="1" thickBot="1" x14ac:dyDescent="0.25">
      <c r="A262" s="1540" t="s">
        <v>1895</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4144</v>
      </c>
      <c r="D263" s="1651"/>
      <c r="E263" s="1575"/>
      <c r="F263" s="1651"/>
      <c r="G263" s="1651"/>
      <c r="H263" s="1575"/>
      <c r="I263" s="1575"/>
      <c r="J263" s="1575"/>
      <c r="K263" s="1575"/>
    </row>
    <row r="264" spans="1:11" ht="12.75" customHeight="1" thickTop="1" thickBot="1" x14ac:dyDescent="0.25">
      <c r="A264" s="427" t="s">
        <v>374</v>
      </c>
      <c r="B264" s="429">
        <v>4992</v>
      </c>
      <c r="C264" s="1650">
        <v>9952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812734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812734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9762715</v>
      </c>
      <c r="D268" s="1641">
        <f t="shared" si="12"/>
        <v>1310093</v>
      </c>
      <c r="E268" s="1641">
        <f t="shared" si="12"/>
        <v>512670</v>
      </c>
      <c r="F268" s="1641">
        <f t="shared" si="12"/>
        <v>801544</v>
      </c>
      <c r="G268" s="1641">
        <f t="shared" si="12"/>
        <v>276789</v>
      </c>
      <c r="H268" s="1641">
        <f t="shared" si="12"/>
        <v>22743</v>
      </c>
      <c r="I268" s="1641">
        <f t="shared" si="12"/>
        <v>66533</v>
      </c>
      <c r="J268" s="1641">
        <f t="shared" si="12"/>
        <v>870426</v>
      </c>
      <c r="K268" s="1629">
        <f t="shared" si="12"/>
        <v>68383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4" activePane="bottomLeft" state="frozen"/>
      <selection pane="bottomLeft" activeCell="F348" sqref="F34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3095898</v>
      </c>
      <c r="D5" s="1573">
        <v>512426</v>
      </c>
      <c r="E5" s="1573">
        <v>6047</v>
      </c>
      <c r="F5" s="1573">
        <v>149881</v>
      </c>
      <c r="G5" s="1573">
        <v>11340</v>
      </c>
      <c r="H5" s="1573"/>
      <c r="I5" s="1574"/>
      <c r="J5" s="1574"/>
      <c r="K5" s="1672">
        <f>SUM(C5:J5)</f>
        <v>3775592</v>
      </c>
      <c r="L5" s="1573">
        <v>3119300</v>
      </c>
    </row>
    <row r="6" spans="1:14" x14ac:dyDescent="0.2">
      <c r="A6" s="1274" t="s">
        <v>1416</v>
      </c>
      <c r="B6" s="503" t="s">
        <v>1414</v>
      </c>
      <c r="C6" s="1582"/>
      <c r="D6" s="1582"/>
      <c r="E6" s="1573"/>
      <c r="F6" s="1582"/>
      <c r="G6" s="1582"/>
      <c r="H6" s="1582"/>
      <c r="I6" s="1582"/>
      <c r="J6" s="1582"/>
      <c r="K6" s="1672">
        <f>SUM(C6,E6)</f>
        <v>0</v>
      </c>
      <c r="L6" s="1573">
        <v>1000</v>
      </c>
    </row>
    <row r="7" spans="1:14" x14ac:dyDescent="0.2">
      <c r="A7" s="1274" t="s">
        <v>162</v>
      </c>
      <c r="B7" s="503" t="s">
        <v>961</v>
      </c>
      <c r="C7" s="1574"/>
      <c r="D7" s="1574"/>
      <c r="E7" s="1574"/>
      <c r="F7" s="1574"/>
      <c r="G7" s="1574"/>
      <c r="H7" s="1574"/>
      <c r="I7" s="1574"/>
      <c r="J7" s="1574"/>
      <c r="K7" s="1672">
        <f t="shared" ref="K7:K32" si="0">SUM(C7:J7)</f>
        <v>0</v>
      </c>
      <c r="L7" s="1573">
        <v>1082800</v>
      </c>
    </row>
    <row r="8" spans="1:14" x14ac:dyDescent="0.2">
      <c r="A8" s="1274" t="s">
        <v>163</v>
      </c>
      <c r="B8" s="503">
        <v>1200</v>
      </c>
      <c r="C8" s="1573">
        <v>1136308</v>
      </c>
      <c r="D8" s="1573">
        <v>223310</v>
      </c>
      <c r="E8" s="1573"/>
      <c r="F8" s="1573">
        <v>3185</v>
      </c>
      <c r="G8" s="1573"/>
      <c r="H8" s="1573"/>
      <c r="I8" s="1574"/>
      <c r="J8" s="1574"/>
      <c r="K8" s="1672">
        <f t="shared" si="0"/>
        <v>1362803</v>
      </c>
      <c r="L8" s="1573">
        <v>1405000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110921</v>
      </c>
      <c r="D10" s="1573">
        <v>16677</v>
      </c>
      <c r="E10" s="1573">
        <v>58701</v>
      </c>
      <c r="F10" s="1573">
        <v>143877</v>
      </c>
      <c r="G10" s="1573"/>
      <c r="H10" s="1573"/>
      <c r="I10" s="1574"/>
      <c r="J10" s="1574"/>
      <c r="K10" s="1672">
        <f t="shared" si="0"/>
        <v>330176</v>
      </c>
      <c r="L10" s="1573">
        <v>324000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280858</v>
      </c>
      <c r="D13" s="1573">
        <v>54670</v>
      </c>
      <c r="E13" s="1573">
        <v>2476</v>
      </c>
      <c r="F13" s="1573">
        <v>23106</v>
      </c>
      <c r="G13" s="1573"/>
      <c r="H13" s="1573"/>
      <c r="I13" s="1574"/>
      <c r="J13" s="1574"/>
      <c r="K13" s="1672">
        <f t="shared" si="0"/>
        <v>361110</v>
      </c>
      <c r="L13" s="1573">
        <v>380750</v>
      </c>
    </row>
    <row r="14" spans="1:14" x14ac:dyDescent="0.2">
      <c r="A14" s="1274" t="s">
        <v>957</v>
      </c>
      <c r="B14" s="503">
        <v>1500</v>
      </c>
      <c r="C14" s="1573">
        <v>231870</v>
      </c>
      <c r="D14" s="1573">
        <v>3536</v>
      </c>
      <c r="E14" s="1573">
        <v>47203</v>
      </c>
      <c r="F14" s="1573">
        <v>33571</v>
      </c>
      <c r="G14" s="1573"/>
      <c r="H14" s="1573"/>
      <c r="I14" s="1574"/>
      <c r="J14" s="1574"/>
      <c r="K14" s="1672">
        <f t="shared" si="0"/>
        <v>316180</v>
      </c>
      <c r="L14" s="1573">
        <v>336000</v>
      </c>
    </row>
    <row r="15" spans="1:14" x14ac:dyDescent="0.2">
      <c r="A15" s="1274" t="s">
        <v>958</v>
      </c>
      <c r="B15" s="503">
        <v>1600</v>
      </c>
      <c r="C15" s="1573"/>
      <c r="D15" s="1573"/>
      <c r="E15" s="1573"/>
      <c r="F15" s="1573"/>
      <c r="G15" s="1573"/>
      <c r="H15" s="1573"/>
      <c r="I15" s="1574"/>
      <c r="J15" s="1574"/>
      <c r="K15" s="1672">
        <f t="shared" si="0"/>
        <v>0</v>
      </c>
      <c r="L15" s="1573">
        <v>21000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4855855</v>
      </c>
      <c r="D33" s="1674">
        <f t="shared" ref="D33:L33" si="1">SUM(D5:D32)</f>
        <v>810619</v>
      </c>
      <c r="E33" s="1674">
        <f t="shared" si="1"/>
        <v>114427</v>
      </c>
      <c r="F33" s="1674">
        <f t="shared" si="1"/>
        <v>353620</v>
      </c>
      <c r="G33" s="1674">
        <f t="shared" si="1"/>
        <v>11340</v>
      </c>
      <c r="H33" s="1674">
        <f t="shared" si="1"/>
        <v>0</v>
      </c>
      <c r="I33" s="1674">
        <f t="shared" si="1"/>
        <v>0</v>
      </c>
      <c r="J33" s="1674">
        <f t="shared" si="1"/>
        <v>0</v>
      </c>
      <c r="K33" s="1674">
        <f t="shared" si="1"/>
        <v>6145861</v>
      </c>
      <c r="L33" s="1674">
        <f t="shared" si="1"/>
        <v>6669850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211872</v>
      </c>
      <c r="D37" s="1573">
        <v>32574</v>
      </c>
      <c r="E37" s="1573"/>
      <c r="F37" s="1573"/>
      <c r="G37" s="1573"/>
      <c r="H37" s="1573"/>
      <c r="I37" s="1574"/>
      <c r="J37" s="1574"/>
      <c r="K37" s="1672">
        <f t="shared" si="2"/>
        <v>244446</v>
      </c>
      <c r="L37" s="1573">
        <v>261500</v>
      </c>
    </row>
    <row r="38" spans="1:14" x14ac:dyDescent="0.2">
      <c r="A38" s="1274" t="s">
        <v>196</v>
      </c>
      <c r="B38" s="503">
        <v>2130</v>
      </c>
      <c r="C38" s="1573"/>
      <c r="D38" s="1573"/>
      <c r="E38" s="1573">
        <v>57610</v>
      </c>
      <c r="F38" s="1573">
        <v>3644</v>
      </c>
      <c r="G38" s="1573"/>
      <c r="H38" s="1573"/>
      <c r="I38" s="1574"/>
      <c r="J38" s="1574"/>
      <c r="K38" s="1672">
        <f t="shared" si="2"/>
        <v>61254</v>
      </c>
      <c r="L38" s="1573">
        <v>70000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211872</v>
      </c>
      <c r="D42" s="1674">
        <f t="shared" ref="D42:L42" si="3">SUM(D36:D41)</f>
        <v>32574</v>
      </c>
      <c r="E42" s="1674">
        <f t="shared" si="3"/>
        <v>57610</v>
      </c>
      <c r="F42" s="1674">
        <f t="shared" si="3"/>
        <v>3644</v>
      </c>
      <c r="G42" s="1674">
        <f t="shared" si="3"/>
        <v>0</v>
      </c>
      <c r="H42" s="1674">
        <f t="shared" si="3"/>
        <v>0</v>
      </c>
      <c r="I42" s="1674">
        <f t="shared" si="3"/>
        <v>0</v>
      </c>
      <c r="J42" s="1674">
        <f t="shared" si="3"/>
        <v>0</v>
      </c>
      <c r="K42" s="1674">
        <f t="shared" si="3"/>
        <v>305700</v>
      </c>
      <c r="L42" s="1674">
        <f t="shared" si="3"/>
        <v>331500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39632</v>
      </c>
      <c r="D44" s="1586">
        <v>646</v>
      </c>
      <c r="E44" s="1586">
        <v>3797</v>
      </c>
      <c r="F44" s="1586">
        <v>2860</v>
      </c>
      <c r="G44" s="1586"/>
      <c r="H44" s="1586"/>
      <c r="I44" s="1574"/>
      <c r="J44" s="1574"/>
      <c r="K44" s="1678">
        <f>SUM(C44:J44)</f>
        <v>46935</v>
      </c>
      <c r="L44" s="1586">
        <v>91500</v>
      </c>
    </row>
    <row r="45" spans="1:14" x14ac:dyDescent="0.2">
      <c r="A45" s="1274" t="s">
        <v>810</v>
      </c>
      <c r="B45" s="503">
        <v>2220</v>
      </c>
      <c r="C45" s="1573">
        <v>47154</v>
      </c>
      <c r="D45" s="1573">
        <v>10041</v>
      </c>
      <c r="E45" s="1573">
        <v>58845</v>
      </c>
      <c r="F45" s="1573">
        <v>46870</v>
      </c>
      <c r="G45" s="1573">
        <v>81835</v>
      </c>
      <c r="H45" s="1573"/>
      <c r="I45" s="1574"/>
      <c r="J45" s="1574"/>
      <c r="K45" s="1678">
        <f>SUM(C45:J45)</f>
        <v>244745</v>
      </c>
      <c r="L45" s="1573">
        <v>267000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86786</v>
      </c>
      <c r="D47" s="1674">
        <f t="shared" ref="D47:K47" si="4">SUM(D44:D46)</f>
        <v>10687</v>
      </c>
      <c r="E47" s="1674">
        <f t="shared" si="4"/>
        <v>62642</v>
      </c>
      <c r="F47" s="1674">
        <f t="shared" si="4"/>
        <v>49730</v>
      </c>
      <c r="G47" s="1674">
        <f t="shared" si="4"/>
        <v>81835</v>
      </c>
      <c r="H47" s="1674">
        <f t="shared" si="4"/>
        <v>0</v>
      </c>
      <c r="I47" s="1674">
        <f t="shared" si="4"/>
        <v>0</v>
      </c>
      <c r="J47" s="1674">
        <f t="shared" si="4"/>
        <v>0</v>
      </c>
      <c r="K47" s="1674">
        <f t="shared" si="4"/>
        <v>291680</v>
      </c>
      <c r="L47" s="1674">
        <f>SUM(L44:L46)</f>
        <v>358500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7080</v>
      </c>
      <c r="D49" s="1586"/>
      <c r="E49" s="1586">
        <v>30145</v>
      </c>
      <c r="F49" s="1586">
        <v>1702</v>
      </c>
      <c r="G49" s="1586"/>
      <c r="H49" s="1586">
        <v>5076</v>
      </c>
      <c r="I49" s="1574"/>
      <c r="J49" s="1574"/>
      <c r="K49" s="1678">
        <f>SUM(C49:J49)</f>
        <v>44003</v>
      </c>
      <c r="L49" s="1586">
        <v>53200</v>
      </c>
    </row>
    <row r="50" spans="1:14" x14ac:dyDescent="0.2">
      <c r="A50" s="1274" t="s">
        <v>813</v>
      </c>
      <c r="B50" s="503">
        <v>2320</v>
      </c>
      <c r="C50" s="1573">
        <v>252784</v>
      </c>
      <c r="D50" s="1573">
        <v>7568</v>
      </c>
      <c r="E50" s="1573">
        <v>16975</v>
      </c>
      <c r="F50" s="1573">
        <v>2714</v>
      </c>
      <c r="G50" s="1573"/>
      <c r="H50" s="1573">
        <v>2337</v>
      </c>
      <c r="I50" s="1574"/>
      <c r="J50" s="1574"/>
      <c r="K50" s="1678">
        <f>SUM(C50:J50)</f>
        <v>282378</v>
      </c>
      <c r="L50" s="1573">
        <v>310000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259864</v>
      </c>
      <c r="D53" s="1674">
        <f t="shared" ref="D53:L53" si="5">SUM(D49:D52)</f>
        <v>7568</v>
      </c>
      <c r="E53" s="1674">
        <f t="shared" si="5"/>
        <v>47120</v>
      </c>
      <c r="F53" s="1674">
        <f t="shared" si="5"/>
        <v>4416</v>
      </c>
      <c r="G53" s="1674">
        <f t="shared" si="5"/>
        <v>0</v>
      </c>
      <c r="H53" s="1674">
        <f t="shared" si="5"/>
        <v>7413</v>
      </c>
      <c r="I53" s="1674">
        <f t="shared" si="5"/>
        <v>0</v>
      </c>
      <c r="J53" s="1674">
        <f t="shared" si="5"/>
        <v>0</v>
      </c>
      <c r="K53" s="1674">
        <f t="shared" si="5"/>
        <v>326381</v>
      </c>
      <c r="L53" s="1674">
        <f t="shared" si="5"/>
        <v>363200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574025</v>
      </c>
      <c r="D55" s="1586">
        <v>134101</v>
      </c>
      <c r="E55" s="1586">
        <v>24552</v>
      </c>
      <c r="F55" s="1586">
        <v>15187</v>
      </c>
      <c r="G55" s="1586"/>
      <c r="H55" s="1586">
        <v>1956</v>
      </c>
      <c r="I55" s="1574"/>
      <c r="J55" s="1574"/>
      <c r="K55" s="1678">
        <f>SUM(C55:J55)</f>
        <v>749821</v>
      </c>
      <c r="L55" s="1586">
        <v>828500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574025</v>
      </c>
      <c r="D57" s="1679">
        <f t="shared" ref="D57:K57" si="6">SUM(D55:D56)</f>
        <v>134101</v>
      </c>
      <c r="E57" s="1679">
        <f t="shared" si="6"/>
        <v>24552</v>
      </c>
      <c r="F57" s="1679">
        <f t="shared" si="6"/>
        <v>15187</v>
      </c>
      <c r="G57" s="1679">
        <f t="shared" si="6"/>
        <v>0</v>
      </c>
      <c r="H57" s="1679">
        <f t="shared" si="6"/>
        <v>1956</v>
      </c>
      <c r="I57" s="1679">
        <f t="shared" si="6"/>
        <v>0</v>
      </c>
      <c r="J57" s="1679">
        <f t="shared" si="6"/>
        <v>0</v>
      </c>
      <c r="K57" s="1679">
        <f t="shared" si="6"/>
        <v>749821</v>
      </c>
      <c r="L57" s="1674">
        <f>SUM(L55:L56)</f>
        <v>828500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98507</v>
      </c>
      <c r="D60" s="1573">
        <v>17674</v>
      </c>
      <c r="E60" s="1573"/>
      <c r="F60" s="1573"/>
      <c r="G60" s="1573"/>
      <c r="H60" s="1573"/>
      <c r="I60" s="1574"/>
      <c r="J60" s="1574"/>
      <c r="K60" s="1678">
        <f t="shared" si="7"/>
        <v>116181</v>
      </c>
      <c r="L60" s="1573">
        <v>135000</v>
      </c>
      <c r="M60" s="501"/>
      <c r="N60" s="501"/>
    </row>
    <row r="61" spans="1:14" s="321" customFormat="1" x14ac:dyDescent="0.2">
      <c r="A61" s="1274" t="s">
        <v>195</v>
      </c>
      <c r="B61" s="503">
        <v>2540</v>
      </c>
      <c r="C61" s="1573">
        <v>83352</v>
      </c>
      <c r="D61" s="1573">
        <v>623</v>
      </c>
      <c r="E61" s="1573"/>
      <c r="F61" s="1573"/>
      <c r="G61" s="1573"/>
      <c r="H61" s="1573"/>
      <c r="I61" s="1574"/>
      <c r="J61" s="1574"/>
      <c r="K61" s="1678">
        <f t="shared" si="7"/>
        <v>83975</v>
      </c>
      <c r="L61" s="1573">
        <v>97000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174983</v>
      </c>
      <c r="D63" s="1573">
        <v>38859</v>
      </c>
      <c r="E63" s="1573">
        <v>13117</v>
      </c>
      <c r="F63" s="1573">
        <v>125985</v>
      </c>
      <c r="G63" s="1573"/>
      <c r="H63" s="1573"/>
      <c r="I63" s="1574"/>
      <c r="J63" s="1574"/>
      <c r="K63" s="1678">
        <f t="shared" si="7"/>
        <v>352944</v>
      </c>
      <c r="L63" s="1573">
        <v>433000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356842</v>
      </c>
      <c r="D65" s="1674">
        <f t="shared" ref="D65:L65" si="8">SUM(D59:D64)</f>
        <v>57156</v>
      </c>
      <c r="E65" s="1674">
        <f t="shared" si="8"/>
        <v>13117</v>
      </c>
      <c r="F65" s="1674">
        <f t="shared" si="8"/>
        <v>125985</v>
      </c>
      <c r="G65" s="1674">
        <f t="shared" si="8"/>
        <v>0</v>
      </c>
      <c r="H65" s="1674">
        <f t="shared" si="8"/>
        <v>0</v>
      </c>
      <c r="I65" s="1674">
        <f t="shared" si="8"/>
        <v>0</v>
      </c>
      <c r="J65" s="1674">
        <f t="shared" si="8"/>
        <v>0</v>
      </c>
      <c r="K65" s="1674">
        <f t="shared" si="8"/>
        <v>553100</v>
      </c>
      <c r="L65" s="1674">
        <f t="shared" si="8"/>
        <v>665000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1489389</v>
      </c>
      <c r="D74" s="1681">
        <f t="shared" ref="D74:K74" si="10">SUM(D42,D47,D53,D57,D65,D72,D73)</f>
        <v>242086</v>
      </c>
      <c r="E74" s="1681">
        <f t="shared" si="10"/>
        <v>205041</v>
      </c>
      <c r="F74" s="1681">
        <f t="shared" si="10"/>
        <v>198962</v>
      </c>
      <c r="G74" s="1681">
        <f t="shared" si="10"/>
        <v>81835</v>
      </c>
      <c r="H74" s="1681">
        <f t="shared" si="10"/>
        <v>9369</v>
      </c>
      <c r="I74" s="1681">
        <f t="shared" si="10"/>
        <v>0</v>
      </c>
      <c r="J74" s="1681">
        <f t="shared" si="10"/>
        <v>0</v>
      </c>
      <c r="K74" s="1681">
        <f t="shared" si="10"/>
        <v>2226682</v>
      </c>
      <c r="L74" s="1681">
        <f>SUM(L42,L47,L53,L57,L65,L72,L73)</f>
        <v>2546700</v>
      </c>
    </row>
    <row r="75" spans="1:14" s="254" customFormat="1" ht="15.75" customHeight="1" thickTop="1" thickBot="1" x14ac:dyDescent="0.25">
      <c r="A75" s="1348" t="s">
        <v>47</v>
      </c>
      <c r="B75" s="1349" t="s">
        <v>571</v>
      </c>
      <c r="C75" s="1649">
        <v>12800</v>
      </c>
      <c r="D75" s="1649"/>
      <c r="E75" s="1649"/>
      <c r="F75" s="1649">
        <v>261</v>
      </c>
      <c r="G75" s="1649"/>
      <c r="H75" s="1649"/>
      <c r="I75" s="1627"/>
      <c r="J75" s="1627"/>
      <c r="K75" s="1674">
        <f>SUM(C75:J75)</f>
        <v>13061</v>
      </c>
      <c r="L75" s="1651">
        <v>15000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2346</v>
      </c>
      <c r="F78" s="1673"/>
      <c r="G78" s="1673"/>
      <c r="H78" s="1682"/>
      <c r="I78" s="1582"/>
      <c r="J78" s="1582"/>
      <c r="K78" s="1672">
        <f t="shared" ref="K78:K83" si="11">SUM(C78:J78)</f>
        <v>2346</v>
      </c>
      <c r="L78" s="1586">
        <v>2000</v>
      </c>
    </row>
    <row r="79" spans="1:14" x14ac:dyDescent="0.2">
      <c r="A79" s="1274" t="s">
        <v>301</v>
      </c>
      <c r="B79" s="503">
        <v>4120</v>
      </c>
      <c r="C79" s="1673"/>
      <c r="D79" s="1673"/>
      <c r="E79" s="1573">
        <v>637357</v>
      </c>
      <c r="F79" s="1673"/>
      <c r="G79" s="1673"/>
      <c r="H79" s="1573"/>
      <c r="I79" s="1582"/>
      <c r="J79" s="1582"/>
      <c r="K79" s="1672">
        <f t="shared" si="11"/>
        <v>637357</v>
      </c>
      <c r="L79" s="1573">
        <v>360000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1054</v>
      </c>
      <c r="F81" s="1673"/>
      <c r="G81" s="1673"/>
      <c r="H81" s="1573"/>
      <c r="I81" s="1582"/>
      <c r="J81" s="1582"/>
      <c r="K81" s="1672">
        <f t="shared" si="11"/>
        <v>1054</v>
      </c>
      <c r="L81" s="1573">
        <v>2000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640757</v>
      </c>
      <c r="F84" s="1673"/>
      <c r="G84" s="1673"/>
      <c r="H84" s="1674">
        <f>SUM(H78:H83)</f>
        <v>0</v>
      </c>
      <c r="I84" s="1582"/>
      <c r="J84" s="1582"/>
      <c r="K84" s="1674">
        <f>SUM(K78:K83)</f>
        <v>640757</v>
      </c>
      <c r="L84" s="1674">
        <f>SUM(L78:L83)</f>
        <v>364000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640757</v>
      </c>
      <c r="F102" s="1673"/>
      <c r="G102" s="1673"/>
      <c r="H102" s="1681">
        <f>SUM(H84,H92,H100,H101)</f>
        <v>0</v>
      </c>
      <c r="I102" s="1582"/>
      <c r="J102" s="1582"/>
      <c r="K102" s="1681">
        <f>SUM(K84,K92,K100,K101)</f>
        <v>640757</v>
      </c>
      <c r="L102" s="1681">
        <f>SUM(L84,L92,L100,L101)</f>
        <v>364000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v>
      </c>
      <c r="M113" s="502"/>
      <c r="N113" s="502"/>
    </row>
    <row r="114" spans="1:14" ht="12.75" customHeight="1" thickTop="1" thickBot="1" x14ac:dyDescent="0.25">
      <c r="A114" s="1380" t="s">
        <v>48</v>
      </c>
      <c r="B114" s="1388"/>
      <c r="C114" s="1674">
        <f>SUM(C33,C74,C75,C102,C112,C113)</f>
        <v>6358044</v>
      </c>
      <c r="D114" s="1674">
        <f t="shared" ref="D114:K114" si="13">SUM(D33,D74,D75,D102,D112,D113)</f>
        <v>1052705</v>
      </c>
      <c r="E114" s="1674">
        <f t="shared" si="13"/>
        <v>960225</v>
      </c>
      <c r="F114" s="1674">
        <f t="shared" si="13"/>
        <v>552843</v>
      </c>
      <c r="G114" s="1674">
        <f t="shared" si="13"/>
        <v>93175</v>
      </c>
      <c r="H114" s="1674">
        <f>SUM(H33,H74,H75,H102,H112,H113)</f>
        <v>9369</v>
      </c>
      <c r="I114" s="1674">
        <f t="shared" si="13"/>
        <v>0</v>
      </c>
      <c r="J114" s="1674">
        <f t="shared" si="13"/>
        <v>0</v>
      </c>
      <c r="K114" s="1674">
        <f t="shared" si="13"/>
        <v>9026361</v>
      </c>
      <c r="L114" s="1674">
        <f>SUM(L33,L74,L75,L102,L112,L113)</f>
        <v>9600550</v>
      </c>
    </row>
    <row r="115" spans="1:14" ht="13.5" thickTop="1" x14ac:dyDescent="0.2">
      <c r="A115" s="2264" t="s">
        <v>989</v>
      </c>
      <c r="B115" s="2265"/>
      <c r="C115" s="1675"/>
      <c r="D115" s="1675"/>
      <c r="E115" s="1675"/>
      <c r="F115" s="1675"/>
      <c r="G115" s="1675"/>
      <c r="H115" s="1675"/>
      <c r="I115" s="1675"/>
      <c r="J115" s="1675"/>
      <c r="K115" s="1689">
        <f>'Revenues 9-14'!C268-'Expenditures 15-22'!K114</f>
        <v>736354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1961</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1510</v>
      </c>
      <c r="F123" s="1573"/>
      <c r="G123" s="1573"/>
      <c r="H123" s="1573"/>
      <c r="I123" s="1574"/>
      <c r="J123" s="1574"/>
      <c r="K123" s="1674">
        <f>SUM(C123:J123)</f>
        <v>1510</v>
      </c>
      <c r="L123" s="1573">
        <v>30000</v>
      </c>
    </row>
    <row r="124" spans="1:14" ht="14.25" thickTop="1" thickBot="1" x14ac:dyDescent="0.25">
      <c r="A124" s="1274" t="s">
        <v>195</v>
      </c>
      <c r="B124" s="503">
        <v>2540</v>
      </c>
      <c r="C124" s="1573">
        <v>311885</v>
      </c>
      <c r="D124" s="1573">
        <v>71100</v>
      </c>
      <c r="E124" s="1573">
        <v>181620</v>
      </c>
      <c r="F124" s="1573">
        <v>252300</v>
      </c>
      <c r="G124" s="1573">
        <v>40744</v>
      </c>
      <c r="H124" s="1573">
        <v>289</v>
      </c>
      <c r="I124" s="1574"/>
      <c r="J124" s="1574"/>
      <c r="K124" s="1674">
        <f>SUM(C124:J124)</f>
        <v>857938</v>
      </c>
      <c r="L124" s="1573">
        <v>1072000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311885</v>
      </c>
      <c r="D127" s="1674">
        <f t="shared" ref="D127:L127" si="14">SUM(D122:D126)</f>
        <v>71100</v>
      </c>
      <c r="E127" s="1674">
        <f t="shared" si="14"/>
        <v>183130</v>
      </c>
      <c r="F127" s="1674">
        <f t="shared" si="14"/>
        <v>252300</v>
      </c>
      <c r="G127" s="1674">
        <f t="shared" si="14"/>
        <v>40744</v>
      </c>
      <c r="H127" s="1674">
        <f t="shared" si="14"/>
        <v>289</v>
      </c>
      <c r="I127" s="1674">
        <f t="shared" si="14"/>
        <v>0</v>
      </c>
      <c r="J127" s="1674">
        <f t="shared" si="14"/>
        <v>0</v>
      </c>
      <c r="K127" s="1674">
        <f t="shared" si="14"/>
        <v>859448</v>
      </c>
      <c r="L127" s="1674">
        <f t="shared" si="14"/>
        <v>1102000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311885</v>
      </c>
      <c r="D129" s="1681">
        <f t="shared" ref="D129:L129" si="15">SUM(D120,D127,D128)</f>
        <v>71100</v>
      </c>
      <c r="E129" s="1681">
        <f t="shared" si="15"/>
        <v>183130</v>
      </c>
      <c r="F129" s="1681">
        <f t="shared" si="15"/>
        <v>252300</v>
      </c>
      <c r="G129" s="1681">
        <f t="shared" si="15"/>
        <v>40744</v>
      </c>
      <c r="H129" s="1681">
        <f t="shared" si="15"/>
        <v>289</v>
      </c>
      <c r="I129" s="1681">
        <f t="shared" si="15"/>
        <v>0</v>
      </c>
      <c r="J129" s="1681">
        <f t="shared" si="15"/>
        <v>0</v>
      </c>
      <c r="K129" s="1681">
        <f t="shared" si="15"/>
        <v>859448</v>
      </c>
      <c r="L129" s="1681">
        <f t="shared" si="15"/>
        <v>1102000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1814</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4803</v>
      </c>
      <c r="I148" s="1575"/>
      <c r="J148" s="1673"/>
      <c r="K148" s="1678">
        <f>SUM(H148)</f>
        <v>4803</v>
      </c>
      <c r="L148" s="1599">
        <v>158000</v>
      </c>
    </row>
    <row r="149" spans="1:14" ht="12.75" customHeight="1" thickBot="1" x14ac:dyDescent="0.25">
      <c r="A149" s="1277" t="s">
        <v>633</v>
      </c>
      <c r="B149" s="504" t="s">
        <v>489</v>
      </c>
      <c r="C149" s="1673"/>
      <c r="D149" s="1673"/>
      <c r="E149" s="1673"/>
      <c r="F149" s="1673"/>
      <c r="G149" s="1673"/>
      <c r="H149" s="1674">
        <f>SUM(H147,H148)</f>
        <v>4803</v>
      </c>
      <c r="I149" s="1575"/>
      <c r="J149" s="1673"/>
      <c r="K149" s="1674">
        <f>SUM(K147:K148)</f>
        <v>4803</v>
      </c>
      <c r="L149" s="1674">
        <f>SUM(L142:L146,L148)</f>
        <v>158000</v>
      </c>
    </row>
    <row r="150" spans="1:14" ht="15.75" customHeight="1" thickTop="1" thickBot="1" x14ac:dyDescent="0.25">
      <c r="A150" s="1344" t="s">
        <v>1031</v>
      </c>
      <c r="B150" s="1351" t="s">
        <v>856</v>
      </c>
      <c r="C150" s="1673"/>
      <c r="D150" s="1673"/>
      <c r="E150" s="1673"/>
      <c r="F150" s="1673"/>
      <c r="G150" s="1673"/>
      <c r="H150" s="1698"/>
      <c r="I150" s="1617"/>
      <c r="J150" s="1673"/>
      <c r="K150" s="1676"/>
      <c r="L150" s="1649">
        <v>25000</v>
      </c>
    </row>
    <row r="151" spans="1:14" ht="12.75" customHeight="1" thickTop="1" thickBot="1" x14ac:dyDescent="0.25">
      <c r="A151" s="2281" t="s">
        <v>616</v>
      </c>
      <c r="B151" s="2261"/>
      <c r="C151" s="1674">
        <f>SUM(C129,C130,C139,C149,C150)</f>
        <v>311885</v>
      </c>
      <c r="D151" s="1674">
        <f t="shared" ref="D151:K151" si="16">SUM(D129,D130,D139,D149,D150)</f>
        <v>71100</v>
      </c>
      <c r="E151" s="1674">
        <f t="shared" si="16"/>
        <v>183130</v>
      </c>
      <c r="F151" s="1674">
        <f t="shared" si="16"/>
        <v>252300</v>
      </c>
      <c r="G151" s="1674">
        <f t="shared" si="16"/>
        <v>40744</v>
      </c>
      <c r="H151" s="1674">
        <f t="shared" si="16"/>
        <v>5092</v>
      </c>
      <c r="I151" s="1674">
        <f t="shared" si="16"/>
        <v>0</v>
      </c>
      <c r="J151" s="1674">
        <f t="shared" si="16"/>
        <v>0</v>
      </c>
      <c r="K151" s="1674">
        <f t="shared" si="16"/>
        <v>864251</v>
      </c>
      <c r="L151" s="1674">
        <f>SUM(L129,L130,L139,L149,L150)</f>
        <v>1285000</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445842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1815</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1814</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1816</v>
      </c>
      <c r="C158" s="1673"/>
      <c r="D158" s="1673"/>
      <c r="E158" s="1673"/>
      <c r="F158" s="1673"/>
      <c r="G158" s="1673"/>
      <c r="H158" s="1574"/>
      <c r="I158" s="1673"/>
      <c r="J158" s="1673"/>
      <c r="K158" s="1672">
        <f>H158</f>
        <v>0</v>
      </c>
      <c r="L158" s="1574"/>
      <c r="M158" s="505"/>
      <c r="N158" s="505"/>
    </row>
    <row r="159" spans="1:14" s="506" customFormat="1" ht="12" x14ac:dyDescent="0.2">
      <c r="A159" s="1462" t="s">
        <v>1817</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1818</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183561</v>
      </c>
      <c r="I169" s="1673"/>
      <c r="J169" s="1673"/>
      <c r="K169" s="1672">
        <f>SUM(C169:H169)</f>
        <v>183561</v>
      </c>
      <c r="L169" s="1695">
        <v>184000</v>
      </c>
    </row>
    <row r="170" spans="1:14" ht="33.75" customHeight="1" x14ac:dyDescent="0.2">
      <c r="A170" s="543" t="s">
        <v>1651</v>
      </c>
      <c r="B170" s="545" t="s">
        <v>31</v>
      </c>
      <c r="C170" s="1673"/>
      <c r="D170" s="1673"/>
      <c r="E170" s="1673"/>
      <c r="F170" s="1673"/>
      <c r="G170" s="1673"/>
      <c r="H170" s="1646">
        <v>480100</v>
      </c>
      <c r="I170" s="1673"/>
      <c r="J170" s="1673"/>
      <c r="K170" s="1672">
        <f>SUM(C170:J170)</f>
        <v>480100</v>
      </c>
      <c r="L170" s="1646">
        <v>331000</v>
      </c>
    </row>
    <row r="171" spans="1:14" ht="15.75" customHeight="1" x14ac:dyDescent="0.2">
      <c r="A171" s="507" t="s">
        <v>761</v>
      </c>
      <c r="B171" s="546" t="s">
        <v>84</v>
      </c>
      <c r="C171" s="1673"/>
      <c r="D171" s="1673"/>
      <c r="E171" s="1573"/>
      <c r="F171" s="1673"/>
      <c r="G171" s="1673"/>
      <c r="H171" s="1646"/>
      <c r="I171" s="1582"/>
      <c r="J171" s="1673"/>
      <c r="K171" s="1672">
        <f>SUM(C171:J171)</f>
        <v>0</v>
      </c>
      <c r="L171" s="1646">
        <v>3000</v>
      </c>
    </row>
    <row r="172" spans="1:14" ht="12.75" customHeight="1" thickBot="1" x14ac:dyDescent="0.25">
      <c r="A172" s="1380" t="s">
        <v>633</v>
      </c>
      <c r="B172" s="1381" t="s">
        <v>489</v>
      </c>
      <c r="C172" s="1673"/>
      <c r="D172" s="1673"/>
      <c r="E172" s="1681">
        <f>SUM(E168,E169,E170,E171)</f>
        <v>0</v>
      </c>
      <c r="F172" s="1673"/>
      <c r="G172" s="1673"/>
      <c r="H172" s="1681">
        <f>SUM(H168,H169,H170,H171)</f>
        <v>663661</v>
      </c>
      <c r="I172" s="1684"/>
      <c r="J172" s="1673"/>
      <c r="K172" s="1681">
        <f>SUM(K168,K169,K170,K171)</f>
        <v>663661</v>
      </c>
      <c r="L172" s="1681">
        <f>SUM(L168,L169,L170,L171)</f>
        <v>518000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663661</v>
      </c>
      <c r="I174" s="1684"/>
      <c r="J174" s="1673"/>
      <c r="K174" s="1681">
        <f>SUM(K160,K172,K173)</f>
        <v>663661</v>
      </c>
      <c r="L174" s="1681">
        <f>SUM(L160,L172,L173)</f>
        <v>518000</v>
      </c>
    </row>
    <row r="175" spans="1:14" ht="13.5" thickTop="1" x14ac:dyDescent="0.2">
      <c r="A175" s="2264" t="s">
        <v>989</v>
      </c>
      <c r="B175" s="2265"/>
      <c r="C175" s="1673"/>
      <c r="D175" s="1673"/>
      <c r="E175" s="1673"/>
      <c r="F175" s="1673"/>
      <c r="G175" s="1673"/>
      <c r="H175" s="1675"/>
      <c r="I175" s="1673"/>
      <c r="J175" s="1673"/>
      <c r="K175" s="1689">
        <f>'Revenues 9-14'!E268-'Expenditures 15-22'!K174</f>
        <v>-150991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1961</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17488</v>
      </c>
      <c r="D182" s="1573">
        <v>118</v>
      </c>
      <c r="E182" s="1573">
        <v>437650</v>
      </c>
      <c r="F182" s="1573">
        <v>59152</v>
      </c>
      <c r="G182" s="1573"/>
      <c r="H182" s="1573"/>
      <c r="I182" s="1574"/>
      <c r="J182" s="1574"/>
      <c r="K182" s="1672">
        <f>SUM(C182:J182)</f>
        <v>514408</v>
      </c>
      <c r="L182" s="1573">
        <v>584500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17488</v>
      </c>
      <c r="D184" s="1681">
        <f t="shared" ref="D184:J184" si="17">SUM(D180,D182,D183)</f>
        <v>118</v>
      </c>
      <c r="E184" s="1681">
        <f t="shared" si="17"/>
        <v>437650</v>
      </c>
      <c r="F184" s="1681">
        <f t="shared" si="17"/>
        <v>59152</v>
      </c>
      <c r="G184" s="1681">
        <f t="shared" si="17"/>
        <v>0</v>
      </c>
      <c r="H184" s="1681">
        <f t="shared" si="17"/>
        <v>0</v>
      </c>
      <c r="I184" s="1681">
        <f t="shared" si="17"/>
        <v>0</v>
      </c>
      <c r="J184" s="1681">
        <f t="shared" si="17"/>
        <v>0</v>
      </c>
      <c r="K184" s="1681">
        <f>SUM(K180,K182,K183)</f>
        <v>514408</v>
      </c>
      <c r="L184" s="1681">
        <f>SUM(L180, L182:L183)</f>
        <v>584500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v>167647</v>
      </c>
      <c r="F189" s="1673"/>
      <c r="G189" s="1673"/>
      <c r="H189" s="1573"/>
      <c r="I189" s="1582"/>
      <c r="J189" s="1673"/>
      <c r="K189" s="1672">
        <f t="shared" si="18"/>
        <v>167647</v>
      </c>
      <c r="L189" s="1573">
        <v>190000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167647</v>
      </c>
      <c r="F194" s="1673"/>
      <c r="G194" s="1673"/>
      <c r="H194" s="1674">
        <f>SUM(H188:H193)</f>
        <v>0</v>
      </c>
      <c r="I194" s="1582"/>
      <c r="J194" s="1673"/>
      <c r="K194" s="1674">
        <f>SUM(K188:K193)</f>
        <v>167647</v>
      </c>
      <c r="L194" s="1674">
        <f>SUM(L188:L193)</f>
        <v>190000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167647</v>
      </c>
      <c r="F196" s="1673"/>
      <c r="G196" s="1673"/>
      <c r="H196" s="1681">
        <f>SUM(H194,H195)</f>
        <v>0</v>
      </c>
      <c r="I196" s="1582"/>
      <c r="J196" s="1673"/>
      <c r="K196" s="1681">
        <f>SUM(K194,K195)</f>
        <v>167647</v>
      </c>
      <c r="L196" s="1681">
        <f>SUM(L194,L195)</f>
        <v>190000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5000</v>
      </c>
    </row>
    <row r="210" spans="1:14" ht="12.75" customHeight="1" thickTop="1" thickBot="1" x14ac:dyDescent="0.25">
      <c r="A210" s="1394" t="s">
        <v>275</v>
      </c>
      <c r="B210" s="1395"/>
      <c r="C210" s="1674">
        <f>SUM(C184,C185)</f>
        <v>17488</v>
      </c>
      <c r="D210" s="1674">
        <f>SUM(D184,D185)</f>
        <v>118</v>
      </c>
      <c r="E210" s="1674">
        <f>SUM(E184,E185,E196)</f>
        <v>605297</v>
      </c>
      <c r="F210" s="1674">
        <f>SUM(F184,F185)</f>
        <v>59152</v>
      </c>
      <c r="G210" s="1674">
        <f>SUM(G184,G185)</f>
        <v>0</v>
      </c>
      <c r="H210" s="1674">
        <f>SUM(H184,H185,H196,H208,H209)</f>
        <v>0</v>
      </c>
      <c r="I210" s="1674">
        <f>SUM(I184,I185)</f>
        <v>0</v>
      </c>
      <c r="J210" s="1674">
        <f>SUM(J184,J185)</f>
        <v>0</v>
      </c>
      <c r="K210" s="1672">
        <f>SUM(K184,K185,K196,K208,K209)</f>
        <v>682055</v>
      </c>
      <c r="L210" s="1674">
        <f>SUM(L184,L185,L196,L208,L209)</f>
        <v>779500</v>
      </c>
    </row>
    <row r="211" spans="1:14" ht="13.5" thickTop="1" x14ac:dyDescent="0.2">
      <c r="A211" s="2264" t="s">
        <v>989</v>
      </c>
      <c r="B211" s="2265"/>
      <c r="C211" s="1675"/>
      <c r="D211" s="1675"/>
      <c r="E211" s="1675"/>
      <c r="F211" s="1675"/>
      <c r="G211" s="1675"/>
      <c r="H211" s="1675"/>
      <c r="I211" s="1673"/>
      <c r="J211" s="1673"/>
      <c r="K211" s="1689">
        <f>'Revenues 9-14'!F268-'Expenditures 15-22'!K210</f>
        <v>119489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43643</v>
      </c>
      <c r="E215" s="1673"/>
      <c r="F215" s="1673"/>
      <c r="G215" s="1673"/>
      <c r="H215" s="1673"/>
      <c r="I215" s="1673"/>
      <c r="J215" s="1673"/>
      <c r="K215" s="1672">
        <f>D215</f>
        <v>43643</v>
      </c>
      <c r="L215" s="1573">
        <v>25800</v>
      </c>
    </row>
    <row r="216" spans="1:14" x14ac:dyDescent="0.2">
      <c r="A216" s="1274" t="s">
        <v>162</v>
      </c>
      <c r="B216" s="503" t="s">
        <v>961</v>
      </c>
      <c r="C216" s="1673"/>
      <c r="D216" s="1574"/>
      <c r="E216" s="1673"/>
      <c r="F216" s="1673"/>
      <c r="G216" s="1673"/>
      <c r="H216" s="1673"/>
      <c r="I216" s="1673"/>
      <c r="J216" s="1673"/>
      <c r="K216" s="1672">
        <f t="shared" ref="K216:K228" si="19">D216</f>
        <v>0</v>
      </c>
      <c r="L216" s="1573">
        <v>12800</v>
      </c>
    </row>
    <row r="217" spans="1:14" x14ac:dyDescent="0.2">
      <c r="A217" s="1274" t="s">
        <v>163</v>
      </c>
      <c r="B217" s="503">
        <v>1200</v>
      </c>
      <c r="C217" s="1673"/>
      <c r="D217" s="1573">
        <v>61480</v>
      </c>
      <c r="E217" s="1673"/>
      <c r="F217" s="1673"/>
      <c r="G217" s="1673"/>
      <c r="H217" s="1673"/>
      <c r="I217" s="1673"/>
      <c r="J217" s="1673"/>
      <c r="K217" s="1672">
        <f t="shared" si="19"/>
        <v>61480</v>
      </c>
      <c r="L217" s="1573">
        <v>63000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18713</v>
      </c>
      <c r="E219" s="1673"/>
      <c r="F219" s="1673"/>
      <c r="G219" s="1673"/>
      <c r="H219" s="1673"/>
      <c r="I219" s="1673"/>
      <c r="J219" s="1673"/>
      <c r="K219" s="1672">
        <f t="shared" si="19"/>
        <v>18713</v>
      </c>
      <c r="L219" s="1573">
        <v>15300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4047</v>
      </c>
      <c r="E222" s="1673"/>
      <c r="F222" s="1673"/>
      <c r="G222" s="1673"/>
      <c r="H222" s="1673"/>
      <c r="I222" s="1673"/>
      <c r="J222" s="1673"/>
      <c r="K222" s="1672">
        <f t="shared" si="19"/>
        <v>4047</v>
      </c>
      <c r="L222" s="1573">
        <v>4600</v>
      </c>
    </row>
    <row r="223" spans="1:14" x14ac:dyDescent="0.2">
      <c r="A223" s="1274" t="s">
        <v>957</v>
      </c>
      <c r="B223" s="503">
        <v>1500</v>
      </c>
      <c r="C223" s="1673"/>
      <c r="D223" s="1573">
        <v>6218</v>
      </c>
      <c r="E223" s="1673"/>
      <c r="F223" s="1673"/>
      <c r="G223" s="1673"/>
      <c r="H223" s="1673"/>
      <c r="I223" s="1673"/>
      <c r="J223" s="1673"/>
      <c r="K223" s="1672">
        <f t="shared" si="19"/>
        <v>6218</v>
      </c>
      <c r="L223" s="1573">
        <v>7000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134101</v>
      </c>
      <c r="E229" s="1673"/>
      <c r="F229" s="1673"/>
      <c r="G229" s="1673"/>
      <c r="H229" s="1673"/>
      <c r="I229" s="1673"/>
      <c r="J229" s="1673"/>
      <c r="K229" s="1674">
        <f>SUM(K215:K228)</f>
        <v>134101</v>
      </c>
      <c r="L229" s="1674">
        <f>SUM(L215:L228)</f>
        <v>128500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3043</v>
      </c>
      <c r="E233" s="1673"/>
      <c r="F233" s="1673"/>
      <c r="G233" s="1673"/>
      <c r="H233" s="1673"/>
      <c r="I233" s="1673"/>
      <c r="J233" s="1673"/>
      <c r="K233" s="1672">
        <f t="shared" si="20"/>
        <v>3043</v>
      </c>
      <c r="L233" s="1573">
        <v>4000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3043</v>
      </c>
      <c r="E238" s="1673"/>
      <c r="F238" s="1673"/>
      <c r="G238" s="1673"/>
      <c r="H238" s="1673"/>
      <c r="I238" s="1673"/>
      <c r="J238" s="1673"/>
      <c r="K238" s="1674">
        <f>SUM(K232:K237)</f>
        <v>3043</v>
      </c>
      <c r="L238" s="1674">
        <f>SUM(L232:L237)</f>
        <v>4000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551</v>
      </c>
      <c r="E240" s="1673"/>
      <c r="F240" s="1673"/>
      <c r="G240" s="1673"/>
      <c r="H240" s="1673"/>
      <c r="I240" s="1673"/>
      <c r="J240" s="1673"/>
      <c r="K240" s="1678">
        <f>D240</f>
        <v>551</v>
      </c>
      <c r="L240" s="1586">
        <v>3200</v>
      </c>
    </row>
    <row r="241" spans="1:12" x14ac:dyDescent="0.2">
      <c r="A241" s="1274" t="s">
        <v>810</v>
      </c>
      <c r="B241" s="503">
        <v>2220</v>
      </c>
      <c r="C241" s="1673"/>
      <c r="D241" s="1573">
        <v>690</v>
      </c>
      <c r="E241" s="1673"/>
      <c r="F241" s="1673"/>
      <c r="G241" s="1673"/>
      <c r="H241" s="1673"/>
      <c r="I241" s="1673"/>
      <c r="J241" s="1673"/>
      <c r="K241" s="1678">
        <f>D241</f>
        <v>690</v>
      </c>
      <c r="L241" s="1573">
        <v>1700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1241</v>
      </c>
      <c r="E243" s="1673"/>
      <c r="F243" s="1673"/>
      <c r="G243" s="1673"/>
      <c r="H243" s="1673"/>
      <c r="I243" s="1673"/>
      <c r="J243" s="1673"/>
      <c r="K243" s="1674">
        <f>SUM(K240:K242)</f>
        <v>1241</v>
      </c>
      <c r="L243" s="1674">
        <f>SUM(L240:L242)</f>
        <v>4900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871</v>
      </c>
      <c r="E245" s="1673"/>
      <c r="F245" s="1673"/>
      <c r="G245" s="1673"/>
      <c r="H245" s="1673"/>
      <c r="I245" s="1673"/>
      <c r="J245" s="1673"/>
      <c r="K245" s="1678">
        <f>D245</f>
        <v>871</v>
      </c>
      <c r="L245" s="1586">
        <v>1000</v>
      </c>
    </row>
    <row r="246" spans="1:12" x14ac:dyDescent="0.2">
      <c r="A246" s="1274" t="s">
        <v>813</v>
      </c>
      <c r="B246" s="503">
        <v>2320</v>
      </c>
      <c r="C246" s="1673"/>
      <c r="D246" s="1573">
        <v>6709</v>
      </c>
      <c r="E246" s="1673"/>
      <c r="F246" s="1673"/>
      <c r="G246" s="1673"/>
      <c r="H246" s="1673"/>
      <c r="I246" s="1673"/>
      <c r="J246" s="1673"/>
      <c r="K246" s="1678">
        <f t="shared" ref="K246:K256" si="21">D246</f>
        <v>6709</v>
      </c>
      <c r="L246" s="1573">
        <v>8500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1780</v>
      </c>
      <c r="B249" s="557" t="s">
        <v>280</v>
      </c>
      <c r="C249" s="1673"/>
      <c r="D249" s="1579"/>
      <c r="E249" s="1673"/>
      <c r="F249" s="1673"/>
      <c r="G249" s="1673"/>
      <c r="H249" s="1673"/>
      <c r="I249" s="1673"/>
      <c r="J249" s="1673"/>
      <c r="K249" s="1678">
        <f t="shared" si="21"/>
        <v>0</v>
      </c>
      <c r="L249" s="1573"/>
    </row>
    <row r="250" spans="1:12" x14ac:dyDescent="0.2">
      <c r="A250" s="1275" t="s">
        <v>1781</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43349</v>
      </c>
      <c r="E254" s="1673"/>
      <c r="F254" s="1673"/>
      <c r="G254" s="1673"/>
      <c r="H254" s="1673"/>
      <c r="I254" s="1673"/>
      <c r="J254" s="1673"/>
      <c r="K254" s="1678">
        <f t="shared" si="21"/>
        <v>43349</v>
      </c>
      <c r="L254" s="1573">
        <v>40000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50929</v>
      </c>
      <c r="E257" s="1673"/>
      <c r="F257" s="1673"/>
      <c r="G257" s="1673"/>
      <c r="H257" s="1673"/>
      <c r="I257" s="1673"/>
      <c r="J257" s="1673"/>
      <c r="K257" s="1674">
        <f>SUM(K245:K256)</f>
        <v>50929</v>
      </c>
      <c r="L257" s="1674">
        <f>SUM(L245:L256)</f>
        <v>49500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33886</v>
      </c>
      <c r="E259" s="1673"/>
      <c r="F259" s="1673"/>
      <c r="G259" s="1673"/>
      <c r="H259" s="1673"/>
      <c r="I259" s="1673"/>
      <c r="J259" s="1673"/>
      <c r="K259" s="1678">
        <f>D259</f>
        <v>33886</v>
      </c>
      <c r="L259" s="1586">
        <v>41000</v>
      </c>
    </row>
    <row r="260" spans="1:14" s="493" customFormat="1" x14ac:dyDescent="0.2">
      <c r="A260" s="1292" t="s">
        <v>1779</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33886</v>
      </c>
      <c r="E261" s="1673"/>
      <c r="F261" s="1673"/>
      <c r="G261" s="1673"/>
      <c r="H261" s="1673"/>
      <c r="I261" s="1673"/>
      <c r="J261" s="1673"/>
      <c r="K261" s="1674">
        <f>SUM(K259:K260)</f>
        <v>33886</v>
      </c>
      <c r="L261" s="1674">
        <f>SUM(L259:L260)</f>
        <v>41000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15988</v>
      </c>
      <c r="E264" s="1673"/>
      <c r="F264" s="1673"/>
      <c r="G264" s="1673"/>
      <c r="H264" s="1673"/>
      <c r="I264" s="1673"/>
      <c r="J264" s="1673"/>
      <c r="K264" s="1678">
        <f t="shared" ref="K264:K269" si="22">D264</f>
        <v>15988</v>
      </c>
      <c r="L264" s="1573">
        <v>20000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67249</v>
      </c>
      <c r="E266" s="1673"/>
      <c r="F266" s="1673"/>
      <c r="G266" s="1673"/>
      <c r="H266" s="1673"/>
      <c r="I266" s="1673"/>
      <c r="J266" s="1673"/>
      <c r="K266" s="1678">
        <f t="shared" si="22"/>
        <v>67249</v>
      </c>
      <c r="L266" s="1573">
        <v>81000</v>
      </c>
    </row>
    <row r="267" spans="1:14" x14ac:dyDescent="0.2">
      <c r="A267" s="1274" t="s">
        <v>947</v>
      </c>
      <c r="B267" s="503">
        <v>2550</v>
      </c>
      <c r="C267" s="1673"/>
      <c r="D267" s="1573">
        <v>2006</v>
      </c>
      <c r="E267" s="1673"/>
      <c r="F267" s="1673"/>
      <c r="G267" s="1673"/>
      <c r="H267" s="1673"/>
      <c r="I267" s="1673"/>
      <c r="J267" s="1673"/>
      <c r="K267" s="1678">
        <f t="shared" si="22"/>
        <v>2006</v>
      </c>
      <c r="L267" s="1573">
        <v>4600</v>
      </c>
    </row>
    <row r="268" spans="1:14" x14ac:dyDescent="0.2">
      <c r="A268" s="1274" t="s">
        <v>100</v>
      </c>
      <c r="B268" s="503">
        <v>2560</v>
      </c>
      <c r="C268" s="1673"/>
      <c r="D268" s="1573">
        <v>29818</v>
      </c>
      <c r="E268" s="1673"/>
      <c r="F268" s="1673"/>
      <c r="G268" s="1673"/>
      <c r="H268" s="1673"/>
      <c r="I268" s="1673"/>
      <c r="J268" s="1673"/>
      <c r="K268" s="1678">
        <f t="shared" si="22"/>
        <v>29818</v>
      </c>
      <c r="L268" s="1573">
        <v>36000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115061</v>
      </c>
      <c r="E270" s="1673"/>
      <c r="F270" s="1673"/>
      <c r="G270" s="1673"/>
      <c r="H270" s="1673"/>
      <c r="I270" s="1673"/>
      <c r="J270" s="1673"/>
      <c r="K270" s="1674">
        <f>SUM(K263:K269)</f>
        <v>115061</v>
      </c>
      <c r="L270" s="1674">
        <f>SUM(L263:L269)</f>
        <v>141600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204160</v>
      </c>
      <c r="E279" s="1673"/>
      <c r="F279" s="1673"/>
      <c r="G279" s="1673"/>
      <c r="H279" s="1673"/>
      <c r="I279" s="1673"/>
      <c r="J279" s="1673"/>
      <c r="K279" s="1681">
        <f>SUM(K238,K243,K257,K261,K270,K277,K278)</f>
        <v>204160</v>
      </c>
      <c r="L279" s="1681">
        <f>SUM(L238,L243,L257,L261,L270,L277,L278)</f>
        <v>241000</v>
      </c>
    </row>
    <row r="280" spans="1:12" ht="15.75" customHeight="1" thickTop="1" thickBot="1" x14ac:dyDescent="0.25">
      <c r="A280" s="1362" t="s">
        <v>870</v>
      </c>
      <c r="B280" s="1351">
        <v>3000</v>
      </c>
      <c r="C280" s="1673"/>
      <c r="D280" s="1651">
        <v>979</v>
      </c>
      <c r="E280" s="1673"/>
      <c r="F280" s="1673"/>
      <c r="G280" s="1673"/>
      <c r="H280" s="1673"/>
      <c r="I280" s="1673"/>
      <c r="J280" s="1673"/>
      <c r="K280" s="1687">
        <f>D280</f>
        <v>979</v>
      </c>
      <c r="L280" s="1651">
        <v>1500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1814</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2" t="s">
        <v>502</v>
      </c>
      <c r="B295" s="2283"/>
      <c r="C295" s="1673"/>
      <c r="D295" s="1674">
        <f>SUM(D229,D279,D280,D285)</f>
        <v>339240</v>
      </c>
      <c r="E295" s="1673"/>
      <c r="F295" s="1673"/>
      <c r="G295" s="1673"/>
      <c r="H295" s="1674">
        <f>H293</f>
        <v>0</v>
      </c>
      <c r="I295" s="1673"/>
      <c r="J295" s="1673"/>
      <c r="K295" s="1674">
        <f>SUM(K229,K279,K280,K285,K293,K294)</f>
        <v>339240</v>
      </c>
      <c r="L295" s="1674">
        <f>SUM(L229,L279,L280,L285,L293,L294)</f>
        <v>371000</v>
      </c>
    </row>
    <row r="296" spans="1:14" ht="13.5" thickTop="1" x14ac:dyDescent="0.2">
      <c r="A296" s="2264" t="s">
        <v>989</v>
      </c>
      <c r="B296" s="2265"/>
      <c r="C296" s="1673"/>
      <c r="D296" s="1675"/>
      <c r="E296" s="1673"/>
      <c r="F296" s="1673"/>
      <c r="G296" s="1673"/>
      <c r="H296" s="1707"/>
      <c r="I296" s="1673"/>
      <c r="J296" s="1673"/>
      <c r="K296" s="1689">
        <f>'Revenues 9-14'!G268-'Expenditures 15-22'!K295</f>
        <v>-62451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42670</v>
      </c>
      <c r="H301" s="1573"/>
      <c r="I301" s="1574"/>
      <c r="J301" s="1574"/>
      <c r="K301" s="1672">
        <f>SUM(C301:J301)</f>
        <v>42670</v>
      </c>
      <c r="L301" s="1574">
        <v>75000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42670</v>
      </c>
      <c r="H303" s="1681">
        <f t="shared" si="23"/>
        <v>0</v>
      </c>
      <c r="I303" s="1681">
        <f t="shared" si="23"/>
        <v>0</v>
      </c>
      <c r="J303" s="1681">
        <f t="shared" si="23"/>
        <v>0</v>
      </c>
      <c r="K303" s="1681">
        <f t="shared" si="23"/>
        <v>42670</v>
      </c>
      <c r="L303" s="1681">
        <f t="shared" si="23"/>
        <v>75000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1819</v>
      </c>
      <c r="B306" s="562" t="s">
        <v>1814</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9" t="s">
        <v>275</v>
      </c>
      <c r="B312" s="2280"/>
      <c r="C312" s="1674">
        <f>SUM(C303)</f>
        <v>0</v>
      </c>
      <c r="D312" s="1674">
        <f>SUM(D303)</f>
        <v>0</v>
      </c>
      <c r="E312" s="1674">
        <f>SUM(E303,E310)</f>
        <v>0</v>
      </c>
      <c r="F312" s="1674">
        <f>SUM(F303)</f>
        <v>0</v>
      </c>
      <c r="G312" s="1674">
        <f>SUM(G303)</f>
        <v>42670</v>
      </c>
      <c r="H312" s="1674">
        <f>SUM(H303,H310)</f>
        <v>0</v>
      </c>
      <c r="I312" s="1674">
        <f>SUM(I303)</f>
        <v>0</v>
      </c>
      <c r="J312" s="1674">
        <f>SUM(J303)</f>
        <v>0</v>
      </c>
      <c r="K312" s="1674">
        <f>SUM(K303,K310,K311)</f>
        <v>42670</v>
      </c>
      <c r="L312" s="1674">
        <f>SUM(L303,L310,L311)</f>
        <v>75000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-19927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1780</v>
      </c>
      <c r="B320" s="568" t="s">
        <v>280</v>
      </c>
      <c r="C320" s="1574"/>
      <c r="D320" s="1574"/>
      <c r="E320" s="1574">
        <v>38107</v>
      </c>
      <c r="F320" s="1574"/>
      <c r="G320" s="1574"/>
      <c r="H320" s="1574"/>
      <c r="I320" s="1574"/>
      <c r="J320" s="1574"/>
      <c r="K320" s="1672">
        <f t="shared" ref="K320:K327" si="24">SUM(C320:J320)</f>
        <v>38107</v>
      </c>
      <c r="L320" s="1574">
        <v>50000</v>
      </c>
      <c r="M320" s="539"/>
      <c r="N320" s="539"/>
    </row>
    <row r="321" spans="1:14" s="548" customFormat="1" x14ac:dyDescent="0.2">
      <c r="A321" s="1289" t="s">
        <v>297</v>
      </c>
      <c r="B321" s="567" t="s">
        <v>281</v>
      </c>
      <c r="C321" s="1574"/>
      <c r="D321" s="1574"/>
      <c r="E321" s="1574">
        <v>7140</v>
      </c>
      <c r="F321" s="1574"/>
      <c r="G321" s="1574"/>
      <c r="H321" s="1574"/>
      <c r="I321" s="1574"/>
      <c r="J321" s="1574"/>
      <c r="K321" s="1672">
        <f t="shared" si="24"/>
        <v>7140</v>
      </c>
      <c r="L321" s="1574">
        <v>20000</v>
      </c>
      <c r="M321" s="539"/>
      <c r="N321" s="539"/>
    </row>
    <row r="322" spans="1:14" s="548" customFormat="1" x14ac:dyDescent="0.2">
      <c r="A322" s="1289" t="s">
        <v>236</v>
      </c>
      <c r="B322" s="567" t="s">
        <v>282</v>
      </c>
      <c r="C322" s="1574"/>
      <c r="D322" s="1574"/>
      <c r="E322" s="1574">
        <v>52581</v>
      </c>
      <c r="F322" s="1574"/>
      <c r="G322" s="1574"/>
      <c r="H322" s="1574"/>
      <c r="I322" s="1574"/>
      <c r="J322" s="1574"/>
      <c r="K322" s="1672">
        <f t="shared" si="24"/>
        <v>52581</v>
      </c>
      <c r="L322" s="1574">
        <v>60000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656694</v>
      </c>
      <c r="D325" s="1574">
        <v>11613</v>
      </c>
      <c r="E325" s="1574">
        <v>108274</v>
      </c>
      <c r="F325" s="1574"/>
      <c r="G325" s="1574"/>
      <c r="H325" s="1574"/>
      <c r="I325" s="1574"/>
      <c r="J325" s="1574"/>
      <c r="K325" s="1672">
        <f t="shared" si="24"/>
        <v>776581</v>
      </c>
      <c r="L325" s="1574">
        <v>666000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4531</v>
      </c>
      <c r="F327" s="1574"/>
      <c r="G327" s="1574"/>
      <c r="H327" s="1574"/>
      <c r="I327" s="1574"/>
      <c r="J327" s="1574"/>
      <c r="K327" s="1672">
        <f t="shared" si="24"/>
        <v>4531</v>
      </c>
      <c r="L327" s="1574">
        <v>120000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656694</v>
      </c>
      <c r="D330" s="1674">
        <f t="shared" ref="D330:J330" si="25">SUM(D319:D329)</f>
        <v>11613</v>
      </c>
      <c r="E330" s="1674">
        <f t="shared" si="25"/>
        <v>210633</v>
      </c>
      <c r="F330" s="1674">
        <f t="shared" si="25"/>
        <v>0</v>
      </c>
      <c r="G330" s="1674">
        <f t="shared" si="25"/>
        <v>0</v>
      </c>
      <c r="H330" s="1674">
        <f t="shared" si="25"/>
        <v>0</v>
      </c>
      <c r="I330" s="1674">
        <f t="shared" si="25"/>
        <v>0</v>
      </c>
      <c r="J330" s="1674">
        <f t="shared" si="25"/>
        <v>0</v>
      </c>
      <c r="K330" s="1674">
        <f>SUM(K319:K329)</f>
        <v>878940</v>
      </c>
      <c r="L330" s="1674">
        <f>SUM(L319:L329)</f>
        <v>916000</v>
      </c>
      <c r="M330" s="539"/>
      <c r="N330" s="539"/>
    </row>
    <row r="331" spans="1:14" s="548" customFormat="1" ht="12.75" customHeight="1" thickTop="1" x14ac:dyDescent="0.2">
      <c r="A331" s="1467" t="s">
        <v>1820</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1814</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1816</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1821</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656694</v>
      </c>
      <c r="D342" s="1674">
        <f>SUM(D330)</f>
        <v>11613</v>
      </c>
      <c r="E342" s="1674">
        <f>SUM(E330)</f>
        <v>210633</v>
      </c>
      <c r="F342" s="1674">
        <f>SUM(F330)</f>
        <v>0</v>
      </c>
      <c r="G342" s="1674">
        <f>SUM(G330)</f>
        <v>0</v>
      </c>
      <c r="H342" s="1674">
        <f>SUM(H330,H334,H340)</f>
        <v>0</v>
      </c>
      <c r="I342" s="1674">
        <f>SUM(I330)</f>
        <v>0</v>
      </c>
      <c r="J342" s="1674">
        <f>SUM(J330)</f>
        <v>0</v>
      </c>
      <c r="K342" s="1674">
        <f>SUM(K330,K334,K340)</f>
        <v>878940</v>
      </c>
      <c r="L342" s="1681">
        <f>SUM(L330,L334,L340,L341)</f>
        <v>916000</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-8514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v>17544</v>
      </c>
      <c r="G348" s="1573"/>
      <c r="H348" s="1573"/>
      <c r="I348" s="1574"/>
      <c r="J348" s="1574"/>
      <c r="K348" s="1672">
        <f>SUM(C348:J348)</f>
        <v>17544</v>
      </c>
      <c r="L348" s="1573">
        <v>25000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17544</v>
      </c>
      <c r="G350" s="1674">
        <f t="shared" si="26"/>
        <v>0</v>
      </c>
      <c r="H350" s="1674">
        <f t="shared" si="26"/>
        <v>0</v>
      </c>
      <c r="I350" s="1674">
        <f t="shared" si="26"/>
        <v>0</v>
      </c>
      <c r="J350" s="1674">
        <f t="shared" si="26"/>
        <v>0</v>
      </c>
      <c r="K350" s="1674">
        <f t="shared" si="26"/>
        <v>17544</v>
      </c>
      <c r="L350" s="1674">
        <f t="shared" si="26"/>
        <v>25000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17544</v>
      </c>
      <c r="G352" s="1674">
        <f t="shared" si="27"/>
        <v>0</v>
      </c>
      <c r="H352" s="1674">
        <f t="shared" si="27"/>
        <v>0</v>
      </c>
      <c r="I352" s="1674">
        <f t="shared" si="27"/>
        <v>0</v>
      </c>
      <c r="J352" s="1674">
        <f t="shared" si="27"/>
        <v>0</v>
      </c>
      <c r="K352" s="1674">
        <f t="shared" si="27"/>
        <v>17544</v>
      </c>
      <c r="L352" s="1674">
        <f t="shared" si="27"/>
        <v>25000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1822</v>
      </c>
      <c r="B354" s="557" t="s">
        <v>1814</v>
      </c>
      <c r="C354" s="1673"/>
      <c r="D354" s="1673"/>
      <c r="E354" s="1673"/>
      <c r="F354" s="1673"/>
      <c r="G354" s="1673"/>
      <c r="H354" s="1579"/>
      <c r="I354" s="1716"/>
      <c r="J354" s="1673"/>
      <c r="K354" s="1713">
        <f>H354</f>
        <v>0</v>
      </c>
      <c r="L354" s="1577"/>
    </row>
    <row r="355" spans="1:14" ht="12.75" customHeight="1" x14ac:dyDescent="0.2">
      <c r="A355" s="1283" t="s">
        <v>1823</v>
      </c>
      <c r="B355" s="562" t="s">
        <v>1816</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17544</v>
      </c>
      <c r="G367" s="1674">
        <f t="shared" si="28"/>
        <v>0</v>
      </c>
      <c r="H367" s="1674">
        <f t="shared" si="28"/>
        <v>0</v>
      </c>
      <c r="I367" s="1674">
        <f t="shared" si="28"/>
        <v>0</v>
      </c>
      <c r="J367" s="1674">
        <f t="shared" si="28"/>
        <v>0</v>
      </c>
      <c r="K367" s="1674">
        <f t="shared" si="28"/>
        <v>17544</v>
      </c>
      <c r="L367" s="1674">
        <f t="shared" si="28"/>
        <v>25000</v>
      </c>
    </row>
    <row r="368" spans="1:14" ht="13.5" thickTop="1" x14ac:dyDescent="0.2">
      <c r="A368" s="2264" t="s">
        <v>989</v>
      </c>
      <c r="B368" s="2265"/>
      <c r="C368" s="1694"/>
      <c r="D368" s="1694"/>
      <c r="E368" s="1677"/>
      <c r="F368" s="1677"/>
      <c r="G368" s="1677"/>
      <c r="H368" s="1677"/>
      <c r="I368" s="1677"/>
      <c r="J368" s="1676"/>
      <c r="K368" s="1672">
        <f>'Revenues 9-14'!K268-'Expenditures 15-22'!K367</f>
        <v>50839</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purl.org/dc/terms/"/>
    <ds:schemaRef ds:uri="http://schemas.microsoft.com/office/2006/metadata/properties"/>
    <ds:schemaRef ds:uri="http://schemas.microsoft.com/office/2006/documentManagement/types"/>
    <ds:schemaRef ds:uri="http://purl.org/dc/elements/1.1/"/>
    <ds:schemaRef ds:uri="http://purl.org/dc/dcmitype/"/>
    <ds:schemaRef ds:uri="6ce3111e-7420-4802-b50a-75d4e9a0b980"/>
    <ds:schemaRef ds:uri="http://schemas.microsoft.com/sharepoint/v3"/>
    <ds:schemaRef ds:uri="http://schemas.microsoft.com/office/infopath/2007/PartnerControls"/>
    <ds:schemaRef ds:uri="http://schemas.openxmlformats.org/package/2006/metadata/core-properties"/>
    <ds:schemaRef ds:uri="d21dc803-237d-4c68-8692-8d731fd29118"/>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2020-09-24T16:48:33Z</cp:lastPrinted>
  <dcterms:created xsi:type="dcterms:W3CDTF">2003-10-29T19:06:34Z</dcterms:created>
  <dcterms:modified xsi:type="dcterms:W3CDTF">2020-11-17T17:08:11Z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