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5232EAF-D479-46CF-9ECD-ECC24D62074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C352" i="29" l="1"/>
  <c r="I129" i="29"/>
  <c r="B7037" i="106" s="1"/>
  <c r="D7037" i="106" s="1"/>
  <c r="B6289" i="106"/>
  <c r="D6289" i="106" s="1"/>
  <c r="F64" i="34"/>
  <c r="H33" i="118"/>
  <c r="H342" i="29"/>
  <c r="F36" i="34"/>
  <c r="B7828" i="106" s="1"/>
  <c r="D7828" i="106" s="1"/>
  <c r="J129" i="29"/>
  <c r="B7038" i="106" s="1"/>
  <c r="D7038" i="106" s="1"/>
  <c r="D69" i="36"/>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B5770" i="106"/>
  <c r="D5770" i="106" s="1"/>
  <c r="L16" i="11"/>
  <c r="B2061" i="106" s="1"/>
  <c r="D2061" i="106" s="1"/>
  <c r="B6216" i="106"/>
  <c r="D6216" i="106" s="1"/>
  <c r="B1381" i="106"/>
  <c r="D1381" i="106" s="1"/>
  <c r="C151" i="29"/>
  <c r="B1226" i="106" s="1"/>
  <c r="D1226" i="106" s="1"/>
  <c r="F41" i="108"/>
  <c r="G43" i="108"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3" i="106" l="1"/>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<sst xmlns="http://schemas.openxmlformats.org/spreadsheetml/2006/main" count="5180" uniqueCount="2114">
  <si>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</si>
  <si>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</si>
  <si>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</si>
  <si>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</si>
  <si>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</si>
  <si>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</si>
  <si>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</si>
  <si>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</si>
  <si>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</si>
  <si>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</si>
  <si>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</si>
  <si>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</si>
  <si>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</si>
  <si>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</si>
  <si>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</si>
  <si>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</si>
  <si>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</si>
  <si>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</si>
  <si>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</si>
  <si>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</si>
  <si>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</si>
  <si>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</si>
  <si>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</si>
  <si>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</si>
  <si>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</si>
  <si>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</si>
  <si>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</si>
  <si>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</si>
  <si>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</si>
  <si>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</si>
  <si>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</si>
  <si>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</si>
  <si>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</si>
  <si>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</si>
  <si>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</si>
  <si>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</si>
  <si>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</si>
  <si>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</si>
  <si>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</si>
  <si>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</si>
  <si>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</si>
  <si>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</si>
  <si>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</si>
  <si>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</si>
  <si>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</si>
  <si>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</si>
  <si>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</si>
  <si>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</si>
  <si>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</si>
  <si>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</si>
  <si>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</si>
  <si>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</si>
  <si>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</si>
  <si>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</si>
  <si>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</si>
  <si>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</si>
  <si>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</si>
  <si>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</si>
  <si>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</si>
  <si>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</si>
  <si>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</si>
  <si>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</si>
  <si>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</si>
  <si>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</si>
  <si>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</si>
  <si>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</si>
  <si>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</si>
  <si>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</si>
  <si>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</si>
  <si>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</si>
  <si>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</si>
  <si>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</si>
  <si>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</si>
  <si>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</si>
  <si>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</si>
  <si>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</si>
  <si>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</si>
  <si>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</si>
  <si>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</si>
  <si>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</si>
  <si>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</si>
  <si>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</si>
  <si>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</si>
  <si>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</si>
  <si>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</si>
  <si>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</si>
  <si>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</si>
  <si>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</si>
  <si>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</si>
  <si>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</si>
  <si>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</si>
  <si>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</si>
  <si>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</si>
  <si>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</si>
  <si>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</si>
  <si>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</si>
  <si>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</si>
  <si>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</si>
  <si>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</si>
  <si>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</si>
  <si>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</si>
  <si>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</si>
  <si>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</si>
  <si>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</si>
  <si>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</si>
  <si>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</si>
  <si>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</si>
  <si>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</si>
  <si>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</si>
  <si>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</si>
  <si>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</si>
  <si>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</si>
  <si>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</si>
  <si>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</si>
  <si>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</si>
  <si>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</si>
  <si>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</si>
  <si>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</si>
  <si>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</si>
  <si>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</si>
  <si>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</si>
  <si>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</si>
  <si>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</si>
  <si>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</si>
  <si>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</si>
  <si>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</si>
  <si>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</si>
  <si>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</si>
  <si>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</si>
  <si>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</si>
  <si>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</si>
  <si>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</si>
  <si>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</si>
  <si>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</si>
  <si>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</si>
  <si>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</si>
  <si>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</si>
  <si>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</si>
  <si>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</si>
  <si>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</si>
  <si>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</si>
  <si>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</si>
  <si>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</si>
  <si>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</si>
  <si>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</si>
  <si>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</si>
  <si>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</si>
  <si>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</si>
  <si>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</si>
  <si>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</si>
  <si>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</si>
  <si>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</si>
  <si>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</si>
  <si>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</si>
  <si>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</si>
  <si>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</si>
  <si>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</si>
  <si>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</si>
  <si>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</si>
  <si>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</si>
  <si>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</si>
  <si>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</si>
  <si>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</si>
  <si>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</si>
  <si>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</si>
  <si>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</si>
  <si>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</si>
  <si>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</si>
  <si>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</si>
  <si>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</si>
  <si>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</si>
  <si>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</si>
  <si>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</si>
  <si>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</si>
  <si>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</si>
  <si>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</si>
  <si>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</si>
  <si>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</si>
  <si>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</si>
  <si>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</si>
  <si>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</si>
  <si>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</si>
  <si>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</si>
  <si>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</si>
  <si>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</si>
  <si>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</si>
  <si>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</si>
  <si>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</si>
  <si>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</si>
  <si>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</si>
  <si>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</si>
  <si>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</si>
  <si>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</si>
  <si>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</si>
  <si>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</si>
  <si>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</si>
  <si>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</si>
  <si>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</si>
  <si>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</si>
  <si>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</si>
  <si>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</si>
  <si>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</si>
  <si>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</si>
  <si>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</si>
  <si>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</si>
  <si>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</si>
  <si>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</si>
  <si>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</si>
  <si>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</si>
  <si>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</si>
  <si>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</si>
  <si>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</si>
  <si>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</si>
  <si>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</si>
  <si>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</si>
  <si>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</si>
  <si>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</si>
  <si>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</si>
  <si>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</si>
  <si>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</si>
  <si>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</si>
  <si>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</si>
  <si>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</si>
  <si>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</si>
  <si>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</si>
  <si>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</si>
  <si>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</si>
  <si>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</si>
  <si>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</si>
  <si>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</si>
  <si>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</si>
  <si>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</si>
  <si>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</si>
  <si>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</si>
  <si>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</si>
  <si>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</si>
  <si>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</si>
  <si>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</si>
  <si>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</si>
  <si>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</si>
  <si>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</si>
  <si>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</si>
  <si>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</si>
  <si>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</si>
  <si>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</si>
  <si>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</si>
  <si>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</si>
  <si>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</si>
  <si>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</si>
  <si>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</si>
  <si>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</si>
  <si>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</si>
  <si>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</si>
  <si>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</si>
  <si>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</si>
  <si>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</si>
  <si>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</si>
  <si>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</si>
  <si>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</si>
  <si>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</si>
  <si>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</si>
  <si>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</si>
  <si>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</si>
  <si>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</si>
  <si>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</si>
  <si>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</si>
  <si>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</si>
  <si>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</si>
  <si>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</si>
  <si>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</si>
  <si>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</si>
  <si>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</si>
  <si>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</si>
  <si>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</si>
  <si>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</si>
  <si>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</si>
  <si>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</si>
  <si>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</si>
  <si>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</si>
  <si>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</si>
  <si>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</si>
  <si>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</si>
  <si>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</si>
  <si>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</si>
  <si>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</si>
  <si>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</si>
  <si>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</si>
  <si>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</si>
  <si>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</si>
  <si>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</si>
  <si>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</si>
  <si>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</si>
  <si>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</si>
  <si>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</si>
  <si>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</si>
  <si>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</si>
  <si>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</si>
  <si>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</si>
  <si>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</si>
  <si>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</si>
  <si>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</si>
  <si>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</si>
  <si>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</si>
  <si>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</si>
  <si>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</si>
  <si>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</si>
  <si>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</si>
  <si>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</si>
  <si>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</si>
  <si>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</si>
  <si>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</si>
  <si>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</si>
  <si>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</si>
  <si>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</si>
  <si>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</si>
  <si>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</si>
  <si>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</si>
  <si>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</si>
  <si>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</si>
  <si>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</si>
  <si>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</si>
  <si>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</si>
  <si>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</si>
  <si>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</si>
  <si>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</si>
  <si>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</si>
  <si>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</si>
  <si>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</si>
  <si>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</si>
  <si>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</si>
  <si>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</si>
  <si>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</si>
  <si>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</si>
  <si>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</si>
  <si>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</si>
  <si>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</si>
  <si>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</si>
  <si>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</si>
  <si>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</si>
  <si>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</si>
  <si>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</si>
  <si>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</si>
  <si>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</si>
  <si>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</si>
  <si>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</si>
  <si>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</si>
  <si>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</si>
  <si>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</si>
  <si>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</si>
  <si>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</si>
  <si>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</si>
  <si>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</si>
  <si>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</si>
  <si>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</si>
  <si>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</si>
  <si>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</si>
  <si>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</si>
  <si>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</si>
  <si>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</si>
  <si>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</si>
  <si>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</si>
  <si>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</si>
  <si>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</si>
  <si>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</si>
  <si>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</si>
  <si>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</si>
  <si>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</si>
  <si>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</si>
  <si>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</si>
  <si>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</si>
  <si>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</si>
  <si>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</si>
  <si>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</si>
  <si>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</si>
  <si>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</si>
  <si>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</si>
  <si>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</si>
  <si>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</si>
  <si>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</si>
  <si>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</si>
  <si>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</si>
  <si>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</si>
  <si>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</si>
  <si>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</si>
  <si>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</si>
  <si>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</si>
  <si>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</si>
  <si>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</si>
  <si>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</si>
  <si>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</si>
  <si>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</si>
  <si>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</si>
  <si>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</si>
  <si>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</si>
  <si>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</si>
  <si>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</si>
  <si>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</si>
  <si>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</si>
  <si>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</si>
  <si>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</si>
  <si>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</si>
  <si>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</si>
  <si>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</si>
  <si>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</si>
  <si>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</si>
  <si>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</si>
  <si>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</si>
  <si>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</si>
  <si>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</si>
  <si>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</si>
  <si>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</si>
  <si>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</si>
  <si>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</si>
  <si>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</si>
  <si>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</si>
  <si>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</si>
  <si>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</si>
  <si>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</si>
  <si>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</si>
  <si>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</si>
  <si>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</si>
  <si>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</si>
  <si>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</si>
  <si>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</si>
  <si>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</si>
  <si>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</si>
  <si>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</si>
  <si>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</si>
  <si>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</si>
  <si>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</si>
  <si>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</si>
  <si>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</si>
  <si>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</si>
  <si>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</si>
  <si>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</si>
  <si>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</si>
  <si>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</si>
  <si>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</si>
  <si>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</si>
  <si>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</si>
  <si>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</si>
  <si>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</si>
  <si>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</si>
  <si>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</si>
  <si>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</si>
  <si>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</si>
  <si>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</si>
  <si>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</si>
  <si>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</si>
  <si>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</si>
  <si>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</si>
  <si>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</si>
  <si>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</si>
  <si>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</si>
  <si>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</si>
  <si>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</si>
  <si>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</si>
  <si>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</si>
  <si>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</si>
  <si>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</si>
  <si>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</si>
  <si>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</si>
  <si>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</si>
  <si>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</si>
  <si>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</si>
  <si>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</si>
  <si>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</si>
  <si>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</si>
  <si>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</si>
  <si>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</si>
  <si>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</si>
  <si>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</si>
  <si>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</si>
  <si>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</si>
  <si>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</si>
  <si>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</si>
  <si>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</si>
  <si>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</si>
  <si>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</si>
  <si>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</si>
  <si>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</si>
  <si>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</si>
  <si>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</si>
  <si>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</si>
  <si>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</si>
  <si>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</si>
  <si>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</si>
  <si>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</si>
  <si>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</si>
  <si>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</si>
  <si>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</si>
  <si>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</si>
  <si>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</si>
  <si>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</si>
  <si>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</si>
  <si>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</si>
  <si>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</si>
  <si>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</si>
  <si>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</si>
  <si>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</si>
  <si>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</si>
  <si>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</si>
  <si>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</si>
  <si>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</si>
  <si>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</si>
  <si>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</si>
  <si>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</si>
  <si>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</si>
  <si>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</si>
  <si>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</si>
  <si>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</si>
  <si>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</si>
  <si>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</si>
  <si>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</si>
  <si>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</si>
  <si>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</si>
  <si>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</si>
  <si>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</si>
  <si>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</si>
  <si>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</si>
  <si>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</si>
  <si>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</si>
  <si>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</si>
  <si>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</si>
  <si>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</si>
  <si>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</si>
  <si>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</si>
  <si>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</si>
  <si>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</si>
  <si>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</si>
  <si>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</si>
  <si>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</si>
  <si>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</si>
  <si>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</si>
  <si>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</si>
  <si>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</si>
  <si>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</si>
  <si>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</si>
  <si>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</si>
  <si>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</si>
  <si>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</si>
  <si>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</si>
  <si>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</si>
  <si>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</si>
  <si>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</si>
  <si>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</si>
  <si>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</si>
  <si>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</si>
  <si>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</si>
  <si>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</si>
  <si>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</si>
  <si>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</si>
  <si>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</si>
  <si>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</si>
  <si>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</si>
  <si>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</si>
  <si>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</si>
  <si>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</si>
  <si>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</si>
  <si>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</si>
  <si>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</si>
  <si>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</si>
  <si>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</si>
  <si>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</si>
  <si>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</si>
  <si>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</si>
  <si>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</si>
  <si>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</si>
  <si>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</si>
  <si>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</si>
  <si>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</si>
  <si>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</si>
  <si>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</si>
  <si>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</si>
  <si>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</si>
  <si>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</si>
  <si>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</si>
  <si>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</si>
  <si>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</si>
  <si>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</si>
  <si>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</si>
  <si>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</si>
  <si>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</si>
  <si>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</si>
  <si>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</si>
  <si>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</si>
  <si>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</si>
  <si>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</si>
  <si>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</si>
  <si>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</si>
  <si>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</si>
  <si>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</si>
  <si>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</si>
  <si>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</si>
  <si>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</si>
  <si>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</si>
  <si>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</si>
  <si>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</si>
  <si>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</si>
  <si>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</si>
  <si>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</si>
  <si>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</si>
  <si>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</si>
  <si>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</si>
  <si>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</si>
  <si>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</si>
  <si>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</si>
  <si>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</si>
  <si>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</si>
  <si>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</si>
  <si>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</si>
  <si>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</si>
  <si>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</si>
  <si>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</si>
  <si>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</si>
  <si>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</si>
  <si>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</si>
  <si>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</si>
  <si>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</si>
  <si>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</si>
  <si>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</si>
  <si>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</si>
  <si>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</si>
  <si>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</si>
  <si>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</si>
  <si>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</si>
  <si>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</si>
  <si>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</si>
  <si>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</si>
  <si>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</si>
  <si>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</si>
  <si>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</si>
  <si>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</si>
  <si>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</si>
  <si>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</si>
  <si>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</si>
  <si>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</si>
  <si>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</si>
  <si>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</si>
  <si>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</si>
  <si>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</si>
  <si>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</si>
  <si>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</si>
  <si>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</si>
  <si>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</si>
  <si>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</si>
  <si>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</si>
  <si>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</si>
  <si>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</si>
  <si>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</si>
  <si>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</si>
  <si>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</si>
  <si>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</si>
  <si>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</si>
  <si>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</si>
  <si>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</si>
  <si>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</si>
  <si>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</si>
  <si>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</si>
  <si>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</si>
  <si>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</si>
  <si>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</si>
  <si>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</si>
  <si>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</si>
  <si>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</si>
  <si>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</si>
  <si>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</si>
  <si>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</si>
  <si>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</si>
  <si>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</si>
  <si>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</si>
  <si>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</si>
  <si>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</si>
  <si>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</si>
  <si>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</si>
  <si>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</si>
  <si>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</si>
  <si>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</si>
  <si>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</si>
  <si>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</si>
  <si>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</si>
  <si>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</si>
  <si>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</si>
  <si>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</si>
  <si>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</si>
  <si>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</si>
  <si>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</si>
  <si>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</si>
  <si>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</si>
  <si>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</si>
  <si>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</si>
  <si>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</si>
  <si>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</si>
  <si>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</si>
  <si>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</si>
  <si>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</si>
  <si>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</si>
  <si>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</si>
  <si>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</si>
  <si>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</si>
  <si>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</si>
  <si>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</si>
  <si>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</si>
  <si>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</si>
  <si>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</si>
  <si>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</si>
  <si>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</si>
  <si>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</si>
  <si>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</si>
  <si>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</si>
  <si>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</si>
  <si>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</si>
  <si>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</si>
  <si>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</si>
  <si>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</si>
  <si>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</si>
  <si>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</si>
  <si>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</si>
  <si>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</si>
  <si>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</si>
  <si>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</si>
  <si>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</si>
  <si>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</si>
  <si>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</si>
  <si>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</si>
  <si>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</si>
  <si>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</si>
  <si>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</si>
  <si>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</si>
  <si>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</si>
  <si>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</si>
  <si>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</si>
  <si>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</si>
  <si>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</si>
  <si>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</si>
  <si>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</si>
  <si>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</si>
  <si>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</si>
  <si>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</si>
  <si>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</si>
  <si>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</si>
  <si>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</si>
  <si>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</si>
  <si>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</si>
  <si>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</si>
  <si>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</si>
  <si>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</si>
  <si>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</si>
  <si>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</si>
  <si>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</si>
  <si>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</si>
  <si>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</si>
  <si>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</si>
  <si>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</si>
  <si>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</si>
  <si>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</si>
  <si>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</si>
  <si>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</si>
  <si>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</si>
  <si>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</si>
  <si>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</si>
  <si>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</si>
  <si>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</si>
  <si>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</si>
  <si>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</si>
  <si>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</si>
  <si>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</si>
  <si>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</si>
  <si>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</si>
  <si>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</si>
  <si>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</si>
  <si>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</si>
  <si>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</si>
  <si>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</si>
  <si>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</si>
  <si>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</si>
  <si>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</si>
  <si>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</si>
  <si>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</si>
  <si>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</si>
  <si>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</si>
  <si>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</si>
  <si>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</si>
  <si>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</si>
  <si>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</si>
  <si>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</si>
  <si>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</si>
  <si>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</si>
  <si>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</si>
  <si>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</si>
  <si>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</si>
  <si>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</si>
  <si>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</si>
  <si>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</si>
  <si>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</si>
  <si>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</si>
  <si>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</si>
  <si>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</si>
  <si>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</si>
  <si>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</si>
  <si>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</si>
  <si>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</si>
  <si>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</si>
  <si>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</si>
  <si>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</si>
  <si>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</si>
  <si>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</si>
  <si>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</si>
  <si>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</si>
  <si>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</si>
  <si>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</si>
  <si>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</si>
  <si>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</si>
  <si>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</si>
  <si>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</si>
  <si>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</si>
  <si>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</si>
  <si>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</si>
  <si>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</si>
  <si>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</si>
  <si>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</si>
  <si>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</si>
  <si>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</si>
  <si>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</si>
  <si>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</si>
  <si>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</si>
  <si>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</si>
  <si>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</si>
  <si>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</si>
  <si>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</si>
  <si>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</si>
  <si>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</si>
  <si>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</si>
  <si>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</si>
  <si>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</si>
  <si>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</si>
  <si>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</si>
  <si>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</si>
  <si>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</si>
  <si>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</si>
  <si>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</si>
  <si>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</si>
  <si>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</si>
  <si>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</si>
  <si>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</si>
  <si>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</si>
  <si>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</si>
  <si>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</si>
  <si>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</si>
  <si>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</si>
  <si>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</si>
  <si>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</si>
  <si>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</si>
  <si>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</si>
  <si>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</si>
  <si>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</si>
  <si>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</si>
  <si>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</si>
  <si>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</si>
  <si>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</si>
  <si>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</si>
  <si>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</si>
  <si>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</si>
  <si>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</si>
  <si>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</si>
  <si>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</si>
  <si>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</si>
  <si>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</si>
  <si>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</si>
  <si>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</si>
  <si>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</si>
  <si>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</si>
  <si>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</si>
  <si>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</si>
  <si>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</si>
  <si>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</si>
  <si>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</si>
  <si>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</si>
  <si>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</si>
  <si>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</si>
  <si>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</si>
  <si>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</si>
  <si>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</si>
  <si>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</si>
  <si>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</si>
  <si>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</si>
  <si>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</si>
  <si>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</si>
  <si>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</si>
  <si>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</si>
  <si>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</si>
  <si>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</si>
  <si>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</si>
  <si>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</si>
  <si>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</si>
  <si>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</si>
  <si>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</si>
  <si>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</si>
  <si>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</si>
  <si>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</si>
  <si>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</si>
  <si>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</si>
  <si>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</si>
  <si>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</si>
  <si>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</si>
  <si>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</si>
  <si>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</si>
  <si>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</si>
  <si>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</si>
  <si>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</si>
  <si>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</si>
  <si>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</si>
  <si>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</si>
  <si>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</si>
  <si>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</si>
  <si>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</si>
  <si>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</si>
  <si>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</si>
  <si>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</si>
  <si>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</si>
  <si>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</si>
  <si>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</si>
  <si>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</si>
  <si>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</si>
  <si>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</si>
  <si>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</si>
  <si>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</si>
  <si>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</si>
  <si>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</si>
  <si>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</si>
  <si>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</si>
  <si>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</si>
  <si>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</si>
  <si>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</si>
  <si>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</si>
  <si>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</si>
  <si>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</si>
  <si>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</si>
  <si>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</si>
  <si>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</si>
  <si>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</si>
  <si>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</si>
  <si>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</si>
  <si>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</si>
  <si>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</si>
  <si>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</si>
  <si>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</si>
  <si>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</si>
  <si>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</si>
  <si>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</si>
  <si>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</si>
  <si>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</si>
  <si>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</si>
  <si>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</si>
  <si>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</si>
  <si>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</si>
  <si>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</si>
  <si>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</si>
  <si>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</si>
  <si>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</si>
  <si>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</si>
  <si>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</si>
  <si>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</si>
  <si>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</si>
  <si>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</si>
  <si>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</si>
  <si>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</si>
  <si>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</si>
  <si>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</si>
  <si>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</si>
  <si>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</si>
  <si>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</si>
  <si>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</si>
  <si>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</si>
  <si>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</si>
  <si>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</si>
  <si>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</si>
  <si>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</si>
  <si>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</si>
  <si>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</si>
  <si>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</si>
  <si>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</si>
  <si>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</si>
  <si>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</si>
  <si>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</si>
  <si>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</si>
  <si>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</si>
  <si>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</si>
  <si>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</si>
  <si>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</si>
  <si>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</si>
  <si>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</si>
  <si>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</si>
  <si>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</si>
  <si>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</si>
  <si>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</si>
  <si>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</si>
  <si>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</si>
  <si>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</si>
  <si>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</si>
  <si>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</si>
  <si>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</si>
  <si>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</si>
  <si>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</si>
  <si>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</si>
  <si>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</si>
  <si>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</si>
  <si>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</si>
  <si>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</si>
  <si>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</si>
  <si>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</si>
  <si>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</si>
  <si>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</si>
  <si>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</si>
  <si>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</si>
  <si>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</si>
  <si>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</si>
  <si>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</si>
  <si>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</si>
  <si>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</si>
  <si>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</si>
  <si>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</si>
  <si>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</si>
  <si>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</si>
  <si>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</si>
  <si>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</si>
  <si>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</si>
  <si>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</si>
  <si>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</si>
  <si>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</si>
  <si>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</si>
  <si>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</si>
  <si>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</si>
  <si>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</si>
  <si>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</si>
  <si>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</si>
  <si>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</si>
  <si>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</si>
  <si>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</si>
  <si>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</si>
  <si>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</si>
  <si>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</si>
  <si>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</si>
  <si>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</si>
  <si>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</si>
  <si>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</si>
  <si>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</si>
  <si>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</si>
  <si>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</si>
  <si>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</si>
  <si>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</si>
  <si>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</si>
  <si>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</si>
  <si>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</si>
  <si>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</si>
  <si>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</si>
  <si>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</si>
  <si>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</si>
  <si>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</si>
  <si>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</si>
  <si>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</si>
  <si>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</si>
  <si>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</si>
  <si>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</si>
  <si>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</si>
  <si>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</si>
  <si>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</si>
  <si>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</si>
  <si>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</si>
  <si>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</si>
  <si>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</si>
  <si>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</si>
  <si>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</si>
  <si>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</si>
  <si>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</si>
  <si>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</si>
  <si>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</si>
  <si>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</si>
  <si>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</si>
  <si>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</si>
  <si>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</si>
  <si>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</si>
  <si>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</si>
  <si>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</si>
  <si>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</si>
  <si>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</si>
  <si>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</si>
  <si>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</si>
  <si>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</si>
  <si>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</si>
  <si>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</si>
  <si>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</si>
  <si>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</si>
  <si>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</si>
  <si>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</si>
  <si>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</si>
  <si>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</si>
  <si>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</si>
  <si>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</si>
  <si>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</si>
  <si>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</si>
  <si>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</si>
  <si>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</si>
  <si>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</si>
  <si>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</si>
  <si>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</si>
  <si>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</si>
  <si>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</si>
  <si>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</si>
  <si>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</si>
  <si>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</si>
  <si>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</si>
  <si>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</si>
  <si>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</si>
  <si>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</si>
  <si>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</si>
  <si>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</si>
  <si>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</si>
  <si>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</si>
  <si>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</si>
  <si>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</si>
  <si>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</si>
  <si>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</si>
  <si>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</si>
  <si>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</si>
  <si>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</si>
  <si>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</si>
  <si>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</si>
  <si>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</si>
  <si>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</si>
  <si>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</si>
  <si>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</si>
  <si>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</si>
  <si>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</si>
  <si>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</si>
  <si>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</si>
  <si>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</si>
  <si>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</si>
  <si>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</si>
  <si>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</si>
  <si>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</si>
  <si>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</si>
  <si>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</si>
  <si>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</si>
  <si>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</si>
  <si>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</si>
  <si>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</si>
  <si>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</si>
  <si>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</si>
  <si>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</si>
  <si>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</si>
  <si>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</si>
  <si>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</si>
  <si>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</si>
  <si>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</si>
  <si>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</si>
  <si>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</si>
  <si>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</si>
  <si>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</si>
  <si>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</si>
  <si>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</si>
  <si>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</si>
  <si>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</si>
  <si>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</si>
  <si>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</si>
  <si>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</si>
  <si>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</si>
  <si>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</si>
  <si>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</si>
  <si>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</si>
  <si>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</si>
  <si>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</si>
  <si>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</si>
  <si>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</si>
  <si>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</si>
  <si>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</si>
  <si>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</si>
  <si>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</si>
  <si>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</si>
  <si>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</si>
  <si>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</si>
  <si>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</si>
  <si>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</si>
  <si>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</si>
  <si>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</si>
  <si>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</si>
  <si>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</si>
  <si>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</si>
  <si>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</si>
  <si>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</si>
  <si>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</si>
  <si>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</si>
  <si>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</si>
  <si>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</si>
  <si>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</si>
  <si>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</si>
  <si>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</si>
  <si>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</si>
  <si>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</si>
  <si>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</si>
  <si>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</si>
  <si>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</si>
  <si>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</si>
  <si>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</si>
  <si>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</si>
  <si>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</si>
  <si>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</si>
  <si>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</si>
  <si>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</si>
  <si>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</si>
  <si>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</si>
  <si>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</si>
  <si>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</si>
  <si>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</si>
  <si>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</si>
  <si>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</si>
  <si>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</si>
  <si>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</si>
  <si>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</si>
  <si>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</si>
  <si>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</si>
  <si>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</si>
  <si>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</si>
  <si>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</si>
  <si>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</si>
  <si>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</si>
  <si>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</si>
  <si>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</si>
  <si>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</si>
  <si>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</si>
  <si>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</si>
  <si>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</si>
  <si>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</si>
  <si>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</si>
  <si>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</si>
  <si>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</si>
  <si>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</si>
  <si>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</si>
  <si>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</si>
  <si>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</si>
  <si>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</si>
  <si>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</si>
  <si>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</si>
  <si>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</si>
  <si>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</si>
  <si>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</si>
  <si>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</si>
  <si>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</si>
  <si>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</si>
  <si>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</si>
  <si>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</si>
  <si>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</si>
  <si>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</si>
  <si>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</si>
  <si>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</si>
  <si>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</si>
  <si>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</si>
  <si>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</si>
  <si>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</si>
  <si>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</si>
  <si>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</si>
  <si>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</si>
  <si>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</si>
  <si>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</si>
  <si>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</si>
  <si>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</si>
  <si>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</si>
  <si>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</si>
  <si>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</si>
  <si>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</si>
  <si>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</si>
  <si>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</si>
  <si>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</si>
  <si>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</si>
  <si>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</si>
  <si>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</si>
  <si>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</si>
  <si>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</si>
  <si>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</si>
  <si>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</si>
  <si>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</si>
  <si>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</si>
  <si>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</si>
  <si>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</si>
  <si>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</si>
  <si>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</si>
  <si>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</si>
  <si>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</si>
  <si>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</si>
  <si>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</si>
  <si>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</si>
  <si>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</si>
  <si>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</si>
  <si>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</si>
  <si>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</si>
  <si>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</si>
  <si>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</si>
  <si>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</si>
  <si>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</si>
  <si>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</si>
  <si>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</si>
  <si>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</si>
  <si>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</si>
  <si>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</si>
  <si>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</si>
  <si>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</si>
  <si>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</si>
  <si>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</si>
  <si>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</si>
  <si>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</si>
  <si>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</si>
  <si>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</si>
  <si>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</si>
  <si>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</si>
  <si>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</si>
  <si>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</si>
  <si>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</si>
  <si>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</si>
  <si>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</si>
  <si>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</si>
  <si>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</si>
  <si>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</si>
  <si>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</si>
  <si>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</si>
  <si>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</si>
  <si>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</si>
  <si>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</si>
  <si>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</si>
  <si>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</si>
  <si>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</si>
  <si>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</si>
  <si>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</si>
  <si>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</si>
  <si>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</si>
  <si>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</si>
  <si>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</si>
  <si>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</si>
  <si>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</si>
  <si>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</si>
  <si>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</si>
  <si>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</si>
  <si>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</si>
  <si>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</si>
  <si>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</si>
  <si>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</si>
  <si>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</si>
  <si>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</si>
  <si>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</si>
  <si>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</si>
  <si>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</si>
  <si>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</si>
  <si>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</si>
  <si>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</si>
  <si>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</si>
  <si>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</si>
  <si>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</si>
  <si>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</si>
  <si>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</si>
  <si>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</si>
  <si>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</si>
  <si>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</si>
  <si>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</si>
  <si>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</si>
  <si>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</si>
  <si>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</si>
  <si>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</si>
  <si>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</si>
  <si>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</si>
  <si>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</si>
  <si>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</si>
  <si>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</si>
  <si>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</si>
  <si>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</si>
  <si>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</si>
  <si>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</si>
  <si>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</si>
  <si>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</si>
  <si>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</si>
  <si>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</si>
  <si>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</si>
  <si>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</si>
  <si>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</si>
  <si>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</si>
  <si>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</si>
  <si>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</si>
  <si>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</si>
  <si>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</si>
  <si>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</si>
  <si>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</si>
  <si>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</si>
  <si>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</si>
  <si>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</si>
  <si>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</si>
  <si>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</si>
  <si>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</si>
  <si>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</si>
  <si>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</si>
  <si>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</si>
  <si>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</si>
  <si>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</si>
  <si>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</si>
  <si>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</si>
  <si>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</si>
  <si>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</si>
  <si>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</si>
  <si>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</si>
  <si>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</si>
  <si>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</si>
  <si>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</si>
  <si>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</si>
  <si>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</si>
  <si>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</si>
  <si>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</si>
  <si>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</si>
  <si>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</si>
  <si>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</si>
  <si>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</si>
  <si>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</si>
  <si>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</si>
  <si>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</si>
  <si>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</si>
  <si>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</si>
  <si>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</si>
  <si>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</si>
  <si>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</si>
  <si>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</si>
  <si>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</si>
  <si>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</si>
  <si>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</si>
  <si>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</si>
  <si>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</si>
  <si>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</si>
  <si>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</si>
  <si>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</si>
  <si>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</si>
  <si>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</si>
  <si>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</si>
  <si>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</si>
  <si>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</si>
  <si>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</si>
  <si>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</si>
  <si>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</si>
  <si>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</si>
  <si>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</si>
  <si>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</si>
  <si>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</si>
  <si>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</si>
  <si>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</si>
  <si>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</si>
  <si>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</si>
  <si>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</si>
  <si>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</si>
  <si>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</si>
  <si>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</si>
  <si>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</si>
  <si>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</si>
  <si>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</si>
  <si>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</si>
  <si>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</si>
  <si>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</si>
  <si>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</si>
  <si>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</si>
  <si>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</si>
  <si>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</si>
  <si>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</si>
  <si>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</si>
  <si>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</si>
  <si>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</si>
  <si>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</si>
  <si>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</si>
  <si>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</si>
  <si>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</si>
  <si>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</si>
  <si>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</si>
  <si>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</si>
  <si>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</si>
  <si>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</si>
  <si>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</si>
  <si>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</si>
  <si>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</si>
  <si>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</si>
  <si>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</si>
  <si>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</si>
  <si>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</si>
  <si>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</si>
  <si>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</si>
  <si>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</si>
  <si>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</si>
  <si>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</si>
  <si>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</si>
  <si>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</si>
  <si>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</si>
  <si>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</si>
  <si>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</si>
  <si>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</si>
  <si>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</si>
  <si>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</si>
  <si>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</si>
  <si>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</si>
  <si>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</si>
  <si>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</si>
  <si>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</si>
  <si>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</si>
  <si>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</si>
  <si>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</si>
  <si>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</si>
  <si>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</si>
  <si>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</si>
  <si>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</si>
  <si>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</si>
  <si>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</si>
  <si>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</si>
  <si>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</si>
  <si>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</si>
  <si>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</si>
  <si>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</si>
  <si>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</si>
  <si>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</si>
  <si>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</si>
  <si>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</si>
  <si>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</si>
  <si>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</si>
  <si>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</si>
  <si>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</si>
  <si>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</si>
  <si>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</si>
  <si>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</si>
  <si>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</si>
  <si>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</si>
  <si>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</si>
  <si>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</si>
  <si>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</si>
  <si>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</si>
  <si>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</si>
  <si>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</si>
  <si>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</si>
  <si>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</si>
  <si>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</si>
  <si>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</si>
  <si>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</si>
  <si>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</si>
  <si>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</si>
  <si>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</si>
  <si>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</si>
  <si>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</si>
  <si>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</si>
  <si>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</si>
  <si>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</si>
  <si>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</si>
  <si>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</si>
  <si>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</si>
  <si>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</si>
  <si>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</si>
  <si>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</si>
  <si>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</si>
  <si>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</si>
  <si>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</si>
  <si>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</si>
  <si>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</si>
  <si>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</si>
  <si>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</si>
  <si>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</si>
  <si>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</si>
  <si>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</si>
  <si>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</si>
  <si>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</si>
  <si>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</si>
  <si>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</si>
  <si>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</si>
  <si>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</si>
  <si>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</si>
  <si>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</si>
  <si>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</si>
  <si>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</si>
  <si>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</si>
  <si>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</si>
  <si>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</si>
  <si>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</si>
  <si>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</si>
  <si>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</si>
  <si>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</si>
  <si>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</si>
  <si>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</si>
  <si>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</si>
  <si>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</si>
  <si>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</si>
  <si>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</si>
  <si>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</si>
  <si>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</si>
  <si>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</si>
  <si>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</si>
  <si>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</si>
  <si>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</si>
  <si>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</si>
  <si>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</si>
  <si>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</si>
  <si>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</si>
  <si>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</si>
  <si>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</si>
  <si>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</si>
  <si>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</si>
  <si>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</si>
  <si>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</si>
  <si>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</si>
  <si>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</si>
  <si>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</si>
  <si>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</si>
  <si>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</si>
  <si>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</si>
  <si>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</si>
  <si>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</si>
  <si>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</si>
  <si>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</si>
  <si>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</si>
  <si>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</si>
  <si>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</si>
  <si>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</si>
  <si>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</si>
  <si>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</si>
  <si>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</si>
  <si>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</si>
  <si>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</si>
  <si>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</si>
  <si>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</si>
  <si>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</si>
  <si>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</si>
  <si>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</si>
  <si>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</si>
  <si>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</si>
  <si>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</si>
  <si>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</si>
  <si>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</si>
  <si>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</si>
  <si>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</si>
  <si>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</si>
  <si>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</si>
  <si>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</si>
  <si>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</si>
  <si>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</si>
  <si>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</si>
  <si>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</si>
  <si>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</si>
  <si>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</si>
  <si>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</si>
  <si>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</si>
  <si>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</si>
  <si>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</si>
  <si>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</si>
  <si>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</si>
  <si>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</si>
  <si>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</si>
  <si>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</si>
  <si>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</si>
  <si>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</si>
  <si>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</si>
  <si>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</si>
  <si>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</si>
  <si>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</si>
  <si>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</si>
  <si>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</si>
  <si>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</si>
  <si>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</si>
  <si>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</si>
  <si>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</si>
  <si>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</si>
  <si>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</si>
  <si>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</si>
  <si>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</si>
  <si>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</si>
  <si>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</si>
  <si>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</si>
  <si>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</si>
  <si>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</si>
  <si>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</si>
  <si>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</si>
  <si>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</si>
  <si>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</si>
  <si>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</si>
  <si>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</si>
  <si>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</si>
  <si>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</si>
  <si>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</si>
  <si>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</si>
  <si>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</si>
  <si>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</si>
  <si>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</si>
  <si>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</si>
  <si>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</si>
  <si>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</si>
  <si>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</si>
  <si>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</si>
  <si>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</si>
  <si>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</si>
  <si>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</si>
  <si>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</si>
  <si>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</si>
  <si>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</si>
  <si>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</si>
  <si>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</si>
  <si>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</si>
  <si>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</si>
  <si>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</si>
  <si>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</si>
  <si>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</si>
  <si>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</si>
  <si>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</si>
  <si>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</si>
  <si>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</si>
  <si>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</si>
  <si>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</si>
  <si>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</si>
  <si>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</si>
  <si>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</si>
  <si>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</si>
  <si>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</si>
  <si>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</si>
  <si>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</si>
  <si>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</si>
  <si>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</si>
  <si>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</si>
  <si>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</si>
  <si>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</si>
  <si>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</si>
  <si>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</si>
  <si>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</si>
  <si>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</si>
  <si>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</si>
  <si>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</si>
  <si>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</si>
  <si>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</si>
  <si>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</si>
  <si>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</si>
  <si>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</si>
  <si>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</si>
  <si>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</si>
  <si>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</si>
  <si>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</si>
  <si>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</si>
  <si>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</si>
  <si>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</si>
  <si>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</si>
  <si>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</si>
  <si>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</si>
  <si>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</si>
  <si>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</si>
  <si>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</si>
  <si>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</si>
  <si>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</si>
  <si>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</si>
  <si>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</si>
  <si>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</si>
  <si>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</si>
  <si>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</si>
  <si>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</si>
  <si>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</si>
  <si>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</si>
  <si>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</si>
  <si>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</si>
  <si>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</si>
  <si>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</si>
  <si>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</si>
  <si>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</si>
  <si>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</si>
  <si>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</si>
  <si>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</si>
  <si>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</si>
  <si>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</si>
  <si>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</si>
  <si>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</si>
  <si>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</si>
  <si>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</si>
  <si>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</si>
  <si>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</si>
  <si>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</si>
  <si>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</si>
  <si>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</si>
  <si>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</si>
  <si>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</si>
  <si>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</si>
  <si>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</si>
  <si>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</si>
  <si>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</si>
  <si>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</si>
  <si>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</si>
  <si>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</si>
  <si>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</si>
  <si>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</si>
  <si>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</si>
  <si>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</si>
  <si>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</si>
  <si>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</si>
  <si>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</si>
  <si>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</si>
  <si>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</si>
  <si>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</si>
  <si>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</si>
  <si>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</si>
  <si>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</si>
  <si>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</si>
  <si>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</si>
  <si>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</si>
  <si>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</si>
  <si>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</si>
  <si>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</si>
  <si>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</si>
  <si>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</si>
  <si>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</si>
  <si>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</si>
  <si>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</si>
  <si>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</si>
  <si>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</si>
  <si>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</si>
  <si>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</si>
  <si>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</si>
  <si>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</si>
  <si>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</si>
  <si>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</si>
  <si>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</si>
  <si>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</si>
  <si>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</si>
  <si>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</si>
  <si>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</si>
  <si>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</si>
  <si>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</si>
  <si>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</si>
  <si>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</si>
  <si>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</si>
  <si>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</si>
  <si>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</si>
  <si>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</si>
  <si>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</si>
  <si>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</si>
  <si>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</si>
  <si>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</si>
  <si>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</si>
  <si>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</si>
  <si>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</si>
  <si>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</si>
  <si>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</si>
  <si>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</si>
  <si>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</si>
  <si>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</si>
  <si>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</si>
  <si>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</si>
  <si>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</si>
  <si>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</si>
  <si>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</si>
  <si>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</si>
  <si>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</si>
  <si>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</si>
  <si>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</si>
  <si>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</si>
  <si>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</si>
  <si>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</si>
  <si>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</si>
  <si>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</si>
  <si>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</si>
  <si>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</si>
  <si>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</si>
  <si>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</si>
  <si>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</si>
  <si>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</si>
  <si>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</si>
  <si>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</si>
  <si>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</si>
  <si>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</si>
  <si>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</si>
  <si>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</si>
  <si>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</si>
  <si>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</si>
  <si>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</si>
  <si>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</si>
  <si>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</si>
  <si>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</si>
  <si>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</si>
  <si>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</si>
  <si>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</si>
  <si>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</si>
  <si>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</si>
  <si>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</si>
  <si>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</si>
  <si>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</si>
  <si>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</si>
  <si>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</si>
  <si>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</si>
  <si>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</si>
  <si>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</si>
  <si>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</si>
  <si>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</si>
  <si>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</si>
  <si>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</si>
  <si>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</si>
  <si>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</si>
  <si>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</si>
  <si>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</si>
  <si>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</si>
  <si>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</si>
  <si>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</si>
  <si>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</si>
  <si>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</si>
  <si>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</si>
  <si>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</si>
  <si>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</si>
  <si>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</si>
  <si>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</si>
  <si>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</si>
  <si>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</si>
  <si>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</si>
  <si>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</si>
  <si>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</si>
  <si>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</si>
  <si>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</si>
  <si>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</si>
  <si>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</si>
  <si>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</si>
  <si>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</si>
  <si>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</si>
  <si>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</si>
  <si>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</si>
  <si>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</si>
  <si>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</si>
  <si>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</si>
  <si>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</si>
  <si>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</si>
  <si>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</si>
  <si>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</si>
  <si>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</si>
  <si>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</si>
  <si>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</si>
  <si>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</si>
  <si>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</si>
  <si>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</si>
  <si>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</si>
  <si>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</si>
  <si>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</si>
  <si>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</si>
  <si>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</si>
  <si>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</si>
  <si>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</si>
  <si>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</si>
  <si>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</si>
  <si>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</si>
  <si>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</si>
  <si>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</si>
  <si>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</si>
  <si>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</si>
  <si>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</si>
  <si>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</si>
  <si>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</si>
  <si>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</si>
  <si>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</si>
  <si>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</si>
  <si>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</si>
  <si>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</si>
  <si>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</si>
  <si>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</si>
  <si>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</si>
  <si>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</si>
  <si>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</si>
  <si>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</si>
  <si>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</si>
  <si>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</si>
  <si>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</si>
  <si>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</si>
  <si>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</si>
  <si>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</si>
  <si>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</si>
  <si>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</si>
  <si>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</si>
  <si>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</si>
  <si>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</si>
  <si>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</si>
  <si>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</si>
  <si>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</si>
  <si>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</si>
  <si>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</si>
  <si>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</si>
  <si>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</si>
  <si>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</si>
  <si>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</si>
  <si>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</si>
  <si>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</si>
  <si>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</si>
  <si>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</si>
  <si>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</si>
  <si>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</si>
  <si>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</si>
  <si>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</si>
  <si>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</si>
  <si>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</si>
  <si>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</si>
  <si>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</si>
  <si>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</si>
  <si>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</si>
  <si>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</si>
  <si>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</si>
  <si>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</si>
  <si>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</si>
  <si>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</si>
  <si>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</si>
  <si>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</si>
  <si>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</si>
  <si>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</si>
  <si>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</si>
  <si>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</si>
  <si>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</si>
  <si>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</si>
  <si>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</si>
  <si>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</si>
  <si>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</si>
  <si>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</si>
  <si>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</si>
  <si>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</si>
  <si>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</si>
  <si>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</si>
  <si>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</si>
  <si>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</si>
  <si>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</si>
  <si>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</si>
  <si>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</si>
  <si>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</si>
  <si>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</si>
  <si>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</si>
  <si>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</si>
  <si>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</si>
  <si>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</si>
  <si>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</si>
  <si>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</si>
  <si>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</si>
  <si>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</si>
  <si>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</si>
  <si>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</si>
  <si>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</si>
  <si>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</si>
  <si>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</si>
  <si>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</si>
  <si>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</si>
  <si>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</si>
  <si>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</si>
  <si>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</si>
  <si>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</si>
  <si>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</si>
  <si>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</si>
  <si>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</si>
  <si>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</si>
  <si>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</si>
  <si>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</si>
  <si>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</si>
  <si>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</si>
  <si>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</si>
  <si>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</si>
  <si>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</si>
  <si>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CHAMPAIGN</t>
  </si>
  <si>
    <t>404 S 5TH ST, PO BOX 409</t>
  </si>
  <si>
    <t>ST JOSEPH</t>
  </si>
  <si>
    <t>TODD PENCE</t>
  </si>
  <si>
    <t>tepence@stjoe.k12.il.us</t>
  </si>
  <si>
    <t>217-469-2291</t>
  </si>
  <si>
    <t>217-469-8906</t>
  </si>
  <si>
    <t>RUSSELL LEIGH &amp; ASSOCIATES LLC</t>
  </si>
  <si>
    <t>RUSS LEIGH</t>
  </si>
  <si>
    <t>228 E MAIN ST</t>
  </si>
  <si>
    <t>HOOPESTON</t>
  </si>
  <si>
    <t>IL</t>
  </si>
  <si>
    <t>217-283-9336</t>
  </si>
  <si>
    <t>217-283-9736</t>
  </si>
  <si>
    <t>065.018319</t>
  </si>
  <si>
    <t>admin@russleigh.com</t>
  </si>
  <si>
    <t>Russell Leigh &amp; Associates LLC</t>
  </si>
  <si>
    <t>2011A General Obligation Refunding Bonds</t>
  </si>
  <si>
    <t>2012 General Obligation Bond</t>
  </si>
  <si>
    <t>2016 Alternative Revenue Refunding Bond</t>
  </si>
  <si>
    <t>FY 2018 ISBE Technology Loan</t>
  </si>
  <si>
    <t>Capital Lease - Buses</t>
  </si>
  <si>
    <t>2019 Working Cash Fund Bonds</t>
  </si>
  <si>
    <t>No applicable contracts paid in current year.</t>
  </si>
  <si>
    <t>Rural Champaign County Special Education Cooperative</t>
  </si>
  <si>
    <t>Page 8 - Acct 8990 - Other Uses Not Classified Elsewhere</t>
  </si>
  <si>
    <t>Col 70 - Working Cash</t>
  </si>
  <si>
    <t>Bond Issue Costs - $22,000</t>
  </si>
  <si>
    <t>Page 10 - Acct 1614 - Other Food Service Revenue</t>
  </si>
  <si>
    <t>Col 10 - Educational</t>
  </si>
  <si>
    <t>Milk Revenue - $9,392</t>
  </si>
  <si>
    <t>Page 10 - Acct 1790 - Other District/School Activity Revenue</t>
  </si>
  <si>
    <t>Concessions - $10,685</t>
  </si>
  <si>
    <t>Misc Refunds &amp; Reimbursements - $5,275</t>
  </si>
  <si>
    <t>Page 10 - Acct 1990 - Other Local Revenue</t>
  </si>
  <si>
    <t>Misc Refunds &amp; Reimbursements - $2,212</t>
  </si>
  <si>
    <t>Page 14 - Acct 3999 - Other Restricted Revenue from State Sources</t>
  </si>
  <si>
    <t>State Library Grant - $750</t>
  </si>
  <si>
    <t>Page 15 - Acct 2190 - Other Support Services</t>
  </si>
  <si>
    <t>Crossing Guard Salary - $4,063</t>
  </si>
  <si>
    <t>Resource Officer - $9,135</t>
  </si>
  <si>
    <t>Supplies - $9,120</t>
  </si>
  <si>
    <t>Concession Expenses - $5,902</t>
  </si>
  <si>
    <t>Reimursed Expenses - $4,918</t>
  </si>
  <si>
    <t>Page 18 - Acct 5400-600 - Debt Service - Other</t>
  </si>
  <si>
    <t>Col 30 - Debt Service</t>
  </si>
  <si>
    <t>Bond Fees - $2,250</t>
  </si>
  <si>
    <t>Page 19 - Acct 2190 - Other Support Services</t>
  </si>
  <si>
    <t>Col 50 - Municipal Retirement</t>
  </si>
  <si>
    <t>Crossing Guard Benefits - $311</t>
  </si>
  <si>
    <t>AUDITCHECK Tab - Line 8 Error Message</t>
  </si>
  <si>
    <t>Error for long term debt retired due to Transportation Leases paid that are paid from the Transportation Fund</t>
  </si>
  <si>
    <t>AUDITCHECK Tab - Line 15 Error Message</t>
  </si>
  <si>
    <t>No applicable contracts paid in the current year.</t>
  </si>
  <si>
    <t>Page 2 - Auditor's Questionnaire</t>
  </si>
  <si>
    <t>#20 - Other Findings</t>
  </si>
  <si>
    <t>Issues new Working Cash Bonds purchased by Education Fund that didn't appear on books.</t>
  </si>
  <si>
    <t>Approved Interfund Transfers that didn't get booked.</t>
  </si>
  <si>
    <t>Alternative Revenue Bond</t>
  </si>
  <si>
    <t>Capital Lease</t>
  </si>
  <si>
    <t>ISBE Loan</t>
  </si>
  <si>
    <t xml:space="preserve">   St. Joseph CCSD 169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</si>
</sst>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2003</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2051</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9010169004</v>
      </c>
      <c r="B13" s="2089"/>
      <c r="C13" s="2089"/>
      <c r="D13" s="2089"/>
      <c r="E13" s="2089"/>
      <c r="F13" s="2089"/>
      <c r="G13" s="2089"/>
      <c r="H13" s="2090"/>
      <c r="I13" s="31"/>
      <c r="J13" s="30"/>
      <c r="K13" s="28"/>
      <c r="L13" s="30"/>
      <c r="M13" s="30"/>
      <c r="N13" s="30"/>
      <c r="O13" s="30"/>
      <c r="P13" s="30"/>
      <c r="Q13" s="30"/>
      <c r="R13" s="30"/>
      <c r="S13" s="30"/>
      <c r="T13" s="2093" t="s">
        <v>2059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2060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2113</v>
      </c>
      <c r="B17" s="2117"/>
      <c r="C17" s="2117"/>
      <c r="D17" s="2117"/>
      <c r="E17" s="2117"/>
      <c r="F17" s="2117"/>
      <c r="G17" s="2117"/>
      <c r="H17" s="2118"/>
      <c r="T17" s="2103" t="s">
        <v>2061</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2062</v>
      </c>
      <c r="U19" s="2084"/>
      <c r="V19" s="2084"/>
      <c r="W19" s="2085"/>
      <c r="X19" s="2101" t="s">
        <v>2063</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2064</v>
      </c>
      <c r="U21" s="2052"/>
      <c r="V21" s="2052"/>
      <c r="W21" s="2052"/>
      <c r="X21" s="2065" t="s">
        <v>2065</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2066</v>
      </c>
      <c r="U23" s="2047"/>
      <c r="V23" s="2047"/>
      <c r="W23" s="2047"/>
      <c r="X23" s="2062">
        <v>44469</v>
      </c>
      <c r="Y23" s="2063"/>
      <c r="Z23" s="2063"/>
      <c r="AA23" s="2064"/>
    </row>
    <row r="24" spans="1:27" ht="14.1" customHeight="1" x14ac:dyDescent="0.2">
      <c r="A24" s="85" t="s">
        <v>672</v>
      </c>
      <c r="B24" s="46"/>
      <c r="C24" s="46"/>
      <c r="D24" s="46"/>
      <c r="E24" s="46"/>
      <c r="F24" s="46"/>
      <c r="G24" s="46"/>
      <c r="H24" s="58"/>
      <c r="J24" s="2149" t="str">
        <f>IF(B5="x",IF(AUDITCHECK!D29="AFR form Incomplete.","",IF(AUDITCHECK!D29="Deficit reduction plan is required.","School District must complete a deficit reduction plan in the 2020-2021 Budget",)),"")</f>
        <v>School District must complete a deficit reduction plan in the 2020-2021 Budget</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61873</v>
      </c>
      <c r="B25" s="2084"/>
      <c r="C25" s="2084"/>
      <c r="D25" s="2084"/>
      <c r="E25" s="2084"/>
      <c r="F25" s="2084"/>
      <c r="G25" s="2084"/>
      <c r="H25" s="2085"/>
      <c r="I25" s="110"/>
      <c r="J25" s="2151"/>
      <c r="K25" s="2151"/>
      <c r="L25" s="2151"/>
      <c r="M25" s="2151"/>
      <c r="N25" s="2151"/>
      <c r="O25" s="2151"/>
      <c r="P25" s="2151"/>
      <c r="Q25" s="2151"/>
      <c r="R25" s="2151"/>
      <c r="S25" s="2152"/>
      <c r="T25" s="2043" t="s">
        <v>2067</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2055</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2056</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2057</v>
      </c>
      <c r="B42" s="2134"/>
      <c r="C42" s="2135"/>
      <c r="D42" s="2148" t="s">
        <v>2058</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4" sqref="C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2008462</v>
      </c>
      <c r="C4" s="1722">
        <v>308498</v>
      </c>
      <c r="D4" s="1723">
        <f>B4-C4</f>
        <v>1699964</v>
      </c>
      <c r="E4" s="1722">
        <v>2432145</v>
      </c>
      <c r="F4" s="1723">
        <f>E4-C4</f>
        <v>2123647</v>
      </c>
    </row>
    <row r="5" spans="1:8" ht="13.7" customHeight="1" x14ac:dyDescent="0.2">
      <c r="A5" s="579" t="s">
        <v>865</v>
      </c>
      <c r="B5" s="1724">
        <f>'Revenues 9-14'!D5</f>
        <v>442387</v>
      </c>
      <c r="C5" s="1664">
        <v>66908</v>
      </c>
      <c r="D5" s="1725">
        <f t="shared" ref="D5:D18" si="0">B5-C5</f>
        <v>375479</v>
      </c>
      <c r="E5" s="1664">
        <v>527489</v>
      </c>
      <c r="F5" s="1725">
        <f>E5-C5</f>
        <v>460581</v>
      </c>
    </row>
    <row r="6" spans="1:8" ht="13.7" customHeight="1" x14ac:dyDescent="0.2">
      <c r="A6" s="579" t="s">
        <v>408</v>
      </c>
      <c r="B6" s="1724">
        <f>'Revenues 9-14'!E5</f>
        <v>349135</v>
      </c>
      <c r="C6" s="1664">
        <v>73677</v>
      </c>
      <c r="D6" s="1725">
        <f t="shared" si="0"/>
        <v>275458</v>
      </c>
      <c r="E6" s="1664">
        <v>580853</v>
      </c>
      <c r="F6" s="1725">
        <f t="shared" ref="F6:F18" si="1">E6-C6</f>
        <v>507176</v>
      </c>
    </row>
    <row r="7" spans="1:8" ht="13.7" customHeight="1" x14ac:dyDescent="0.2">
      <c r="A7" s="579" t="s">
        <v>154</v>
      </c>
      <c r="B7" s="1724">
        <f>'Revenues 9-14'!F5</f>
        <v>101765</v>
      </c>
      <c r="C7" s="1664">
        <v>12703</v>
      </c>
      <c r="D7" s="1725">
        <f t="shared" si="0"/>
        <v>89062</v>
      </c>
      <c r="E7" s="1664">
        <v>100147</v>
      </c>
      <c r="F7" s="1725">
        <f t="shared" si="1"/>
        <v>87444</v>
      </c>
    </row>
    <row r="8" spans="1:8" ht="13.7" customHeight="1" x14ac:dyDescent="0.2">
      <c r="A8" s="579" t="s">
        <v>1169</v>
      </c>
      <c r="B8" s="1724">
        <f>'Revenues 9-14'!G5</f>
        <v>55476</v>
      </c>
      <c r="C8" s="1664">
        <v>7259</v>
      </c>
      <c r="D8" s="1725">
        <f t="shared" si="0"/>
        <v>48217</v>
      </c>
      <c r="E8" s="1664">
        <v>57227</v>
      </c>
      <c r="F8" s="1725">
        <f t="shared" si="1"/>
        <v>49968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54100</v>
      </c>
      <c r="C11" s="1664">
        <v>8075</v>
      </c>
      <c r="D11" s="1725">
        <f t="shared" si="0"/>
        <v>46025</v>
      </c>
      <c r="E11" s="1664">
        <v>63665</v>
      </c>
      <c r="F11" s="1725">
        <f t="shared" si="1"/>
        <v>55590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35921</v>
      </c>
      <c r="C13" s="1664">
        <v>5335</v>
      </c>
      <c r="D13" s="1725">
        <f t="shared" si="0"/>
        <v>30586</v>
      </c>
      <c r="E13" s="1664">
        <v>42062</v>
      </c>
      <c r="F13" s="1725">
        <f t="shared" si="1"/>
        <v>36727</v>
      </c>
    </row>
    <row r="14" spans="1:8" ht="13.7" customHeight="1" x14ac:dyDescent="0.2">
      <c r="A14" s="579" t="s">
        <v>407</v>
      </c>
      <c r="B14" s="1724">
        <f>SUM('Revenues 9-14'!C7:D7,'Revenues 9-14'!F7:H7)</f>
        <v>24676</v>
      </c>
      <c r="C14" s="1664">
        <v>3756</v>
      </c>
      <c r="D14" s="1725">
        <f t="shared" si="0"/>
        <v>20920</v>
      </c>
      <c r="E14" s="1664">
        <v>29615</v>
      </c>
      <c r="F14" s="1725">
        <f t="shared" si="1"/>
        <v>25859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101887</v>
      </c>
      <c r="C16" s="1664">
        <v>14518</v>
      </c>
      <c r="D16" s="1725">
        <f t="shared" si="0"/>
        <v>87369</v>
      </c>
      <c r="E16" s="1664">
        <v>114454</v>
      </c>
      <c r="F16" s="1725">
        <f t="shared" si="1"/>
        <v>99936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3173809</v>
      </c>
      <c r="C19" s="1726">
        <f>SUM(C4:C18)</f>
        <v>500729</v>
      </c>
      <c r="D19" s="1726">
        <f>SUM(D4:D18)</f>
        <v>2673080</v>
      </c>
      <c r="E19" s="1726">
        <f>SUM(E4:E18)</f>
        <v>3947657</v>
      </c>
      <c r="F19" s="1726">
        <f>SUM(F4:F18)</f>
        <v>3446928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 colorId="8" zoomScale="110" zoomScaleNormal="110" workbookViewId="0">
      <selection activeCell="A2" sqref="A2:B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2006</v>
      </c>
      <c r="B24" s="2294"/>
      <c r="C24" s="2302"/>
      <c r="D24" s="2303"/>
      <c r="E24" s="2303"/>
      <c r="F24" s="2304"/>
    </row>
    <row r="25" spans="1:11" ht="13.5" thickBot="1" x14ac:dyDescent="0.25">
      <c r="A25" s="2308" t="s">
        <v>2007</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40817</v>
      </c>
      <c r="C31" s="1734">
        <v>4520000</v>
      </c>
      <c r="D31" s="1735">
        <v>3</v>
      </c>
      <c r="E31" s="1734">
        <v>2165000</v>
      </c>
      <c r="F31" s="1734"/>
      <c r="G31" s="1734"/>
      <c r="H31" s="1734">
        <v>510000</v>
      </c>
      <c r="I31" s="1736">
        <f>((E31+F31)-H31)+G31</f>
        <v>1655000</v>
      </c>
      <c r="J31" s="1734">
        <v>1547566</v>
      </c>
      <c r="K31" s="596"/>
    </row>
    <row r="32" spans="1:11" ht="12" customHeight="1" x14ac:dyDescent="0.2">
      <c r="A32" s="594" t="s">
        <v>2070</v>
      </c>
      <c r="B32" s="595">
        <v>41157</v>
      </c>
      <c r="C32" s="1734">
        <v>1355000</v>
      </c>
      <c r="D32" s="1735">
        <v>3</v>
      </c>
      <c r="E32" s="1734">
        <v>590000</v>
      </c>
      <c r="F32" s="1734"/>
      <c r="G32" s="1734"/>
      <c r="H32" s="1734">
        <v>170000</v>
      </c>
      <c r="I32" s="1736">
        <f>((E32+F32)-H32)+G32</f>
        <v>420000</v>
      </c>
      <c r="J32" s="1734">
        <v>420000</v>
      </c>
      <c r="K32" s="596"/>
    </row>
    <row r="33" spans="1:11" ht="12" customHeight="1" x14ac:dyDescent="0.2">
      <c r="A33" s="594" t="s">
        <v>2071</v>
      </c>
      <c r="B33" s="595">
        <v>42552</v>
      </c>
      <c r="C33" s="1734">
        <v>3195000</v>
      </c>
      <c r="D33" s="1735">
        <v>7</v>
      </c>
      <c r="E33" s="1734">
        <v>3195000</v>
      </c>
      <c r="F33" s="1734"/>
      <c r="G33" s="1734"/>
      <c r="H33" s="1734">
        <v>120000</v>
      </c>
      <c r="I33" s="1736">
        <f t="shared" ref="I33:I48" si="1">((E33+F33)-H33)+G33</f>
        <v>3075000</v>
      </c>
      <c r="J33" s="1734">
        <v>3075000</v>
      </c>
      <c r="K33" s="596"/>
    </row>
    <row r="34" spans="1:11" ht="12" customHeight="1" x14ac:dyDescent="0.2">
      <c r="A34" s="594" t="s">
        <v>2072</v>
      </c>
      <c r="B34" s="595">
        <v>43087</v>
      </c>
      <c r="C34" s="1734">
        <v>95000</v>
      </c>
      <c r="D34" s="1735">
        <v>9</v>
      </c>
      <c r="E34" s="1734">
        <v>47922</v>
      </c>
      <c r="F34" s="1734"/>
      <c r="G34" s="1734"/>
      <c r="H34" s="1734">
        <v>31789</v>
      </c>
      <c r="I34" s="1736">
        <f t="shared" si="1"/>
        <v>16133</v>
      </c>
      <c r="J34" s="1734">
        <v>16133</v>
      </c>
      <c r="K34" s="597"/>
    </row>
    <row r="35" spans="1:11" ht="12" customHeight="1" x14ac:dyDescent="0.2">
      <c r="A35" s="594" t="s">
        <v>2073</v>
      </c>
      <c r="B35" s="595">
        <v>38930</v>
      </c>
      <c r="C35" s="1737">
        <v>536733</v>
      </c>
      <c r="D35" s="1735">
        <v>8</v>
      </c>
      <c r="E35" s="1737">
        <v>348489</v>
      </c>
      <c r="F35" s="1737"/>
      <c r="G35" s="1737"/>
      <c r="H35" s="1737">
        <v>61115</v>
      </c>
      <c r="I35" s="1736">
        <f t="shared" si="1"/>
        <v>287374</v>
      </c>
      <c r="J35" s="1737">
        <v>287374</v>
      </c>
      <c r="K35" s="597"/>
    </row>
    <row r="36" spans="1:11" ht="12" customHeight="1" x14ac:dyDescent="0.2">
      <c r="A36" s="594" t="s">
        <v>2074</v>
      </c>
      <c r="B36" s="595">
        <v>43676</v>
      </c>
      <c r="C36" s="1734">
        <v>750000</v>
      </c>
      <c r="D36" s="1735">
        <v>1</v>
      </c>
      <c r="E36" s="1734"/>
      <c r="F36" s="1734">
        <v>750000</v>
      </c>
      <c r="G36" s="1734"/>
      <c r="H36" s="1734"/>
      <c r="I36" s="1736">
        <f t="shared" si="1"/>
        <v>750000</v>
      </c>
      <c r="J36" s="1734">
        <v>750000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10451733</v>
      </c>
      <c r="D49" s="1742"/>
      <c r="E49" s="1736">
        <f t="shared" ref="E49:J49" si="2">SUM(E31:E48)</f>
        <v>6346411</v>
      </c>
      <c r="F49" s="1736">
        <f t="shared" si="2"/>
        <v>750000</v>
      </c>
      <c r="G49" s="1736">
        <f t="shared" si="2"/>
        <v>0</v>
      </c>
      <c r="H49" s="1736">
        <f t="shared" si="2"/>
        <v>892904</v>
      </c>
      <c r="I49" s="1736">
        <f t="shared" si="2"/>
        <v>6203507</v>
      </c>
      <c r="J49" s="1736">
        <f t="shared" si="2"/>
        <v>6096073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2110</v>
      </c>
      <c r="G52" s="2315"/>
      <c r="H52" s="596"/>
      <c r="I52" s="596"/>
      <c r="J52" s="600"/>
    </row>
    <row r="53" spans="1:11" ht="11.25" customHeight="1" x14ac:dyDescent="0.2">
      <c r="A53" s="604" t="s">
        <v>907</v>
      </c>
      <c r="B53" s="605" t="s">
        <v>945</v>
      </c>
      <c r="C53" s="600"/>
      <c r="D53" s="597"/>
      <c r="E53" s="603" t="s">
        <v>494</v>
      </c>
      <c r="F53" s="2316" t="s">
        <v>2111</v>
      </c>
      <c r="G53" s="2317"/>
      <c r="H53" s="596"/>
      <c r="I53" s="596"/>
      <c r="J53" s="600"/>
    </row>
    <row r="54" spans="1:11" ht="11.25" customHeight="1" x14ac:dyDescent="0.2">
      <c r="A54" s="606" t="s">
        <v>908</v>
      </c>
      <c r="B54" s="601" t="s">
        <v>946</v>
      </c>
      <c r="C54" s="600"/>
      <c r="D54" s="597"/>
      <c r="E54" s="603" t="s">
        <v>495</v>
      </c>
      <c r="F54" s="2316" t="s">
        <v>2112</v>
      </c>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1789</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24676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617906</v>
      </c>
      <c r="K8" s="1748"/>
    </row>
    <row r="9" spans="1:11" x14ac:dyDescent="0.2">
      <c r="A9" s="629" t="s">
        <v>137</v>
      </c>
      <c r="B9" s="630"/>
      <c r="C9" s="630"/>
      <c r="D9" s="630"/>
      <c r="E9" s="631"/>
      <c r="F9" s="628" t="s">
        <v>848</v>
      </c>
      <c r="G9" s="1753"/>
      <c r="H9" s="1749"/>
      <c r="I9" s="1749"/>
      <c r="J9" s="1752"/>
      <c r="K9" s="1745"/>
    </row>
    <row r="10" spans="1:11" x14ac:dyDescent="0.2">
      <c r="A10" s="2351" t="s">
        <v>1790</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24676</v>
      </c>
      <c r="I12" s="1755">
        <f>SUM(I5:I11)</f>
        <v>0</v>
      </c>
      <c r="J12" s="1755">
        <f>SUM(J5:J11)</f>
        <v>617906</v>
      </c>
      <c r="K12" s="1755">
        <f>SUM(K5:K11)</f>
        <v>0</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24676</v>
      </c>
      <c r="I14" s="1749"/>
      <c r="J14" s="1751"/>
      <c r="K14" s="1745"/>
    </row>
    <row r="15" spans="1:11" x14ac:dyDescent="0.2">
      <c r="A15" s="2322" t="s">
        <v>4</v>
      </c>
      <c r="B15" s="2322"/>
      <c r="C15" s="2322"/>
      <c r="D15" s="2322"/>
      <c r="E15" s="2352"/>
      <c r="F15" s="635" t="s">
        <v>850</v>
      </c>
      <c r="G15" s="1749"/>
      <c r="H15" s="1744"/>
      <c r="I15" s="1744"/>
      <c r="J15" s="1745"/>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1786</v>
      </c>
      <c r="B19" s="2359"/>
      <c r="C19" s="2359"/>
      <c r="D19" s="2359"/>
      <c r="E19" s="2360"/>
      <c r="F19" s="635" t="s">
        <v>927</v>
      </c>
      <c r="G19" s="1753"/>
      <c r="H19" s="1753"/>
      <c r="I19" s="1753"/>
      <c r="J19" s="1745">
        <v>617906</v>
      </c>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617906</v>
      </c>
      <c r="K21" s="1761"/>
    </row>
    <row r="22" spans="1:15" ht="13.5" thickTop="1" x14ac:dyDescent="0.2">
      <c r="A22" s="2322" t="s">
        <v>1792</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24676</v>
      </c>
      <c r="I23" s="1755">
        <f>SUM(I14:I16,I21,I22)</f>
        <v>0</v>
      </c>
      <c r="J23" s="1755">
        <f>SUM(J14:J16,J21,J22)</f>
        <v>617906</v>
      </c>
      <c r="K23" s="1755">
        <f>SUM(K14:K16,K21,K22)</f>
        <v>0</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164809</v>
      </c>
      <c r="D5" s="1770"/>
      <c r="E5" s="1770"/>
      <c r="F5" s="1765">
        <f>(C5+D5)-E5</f>
        <v>164809</v>
      </c>
      <c r="G5" s="676"/>
      <c r="H5" s="680"/>
      <c r="I5" s="680"/>
      <c r="J5" s="680"/>
      <c r="K5" s="637"/>
      <c r="L5" s="1442">
        <f>F5-K5</f>
        <v>164809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19743296</v>
      </c>
      <c r="D8" s="1771">
        <v>534458</v>
      </c>
      <c r="E8" s="1771"/>
      <c r="F8" s="1765">
        <f>(C8+D8)-E8</f>
        <v>20277754</v>
      </c>
      <c r="G8" s="681">
        <v>50</v>
      </c>
      <c r="H8" s="619">
        <v>7515522</v>
      </c>
      <c r="I8" s="619">
        <v>479777</v>
      </c>
      <c r="J8" s="619"/>
      <c r="K8" s="1442">
        <f>(H8+I8)-J8</f>
        <v>7995299</v>
      </c>
      <c r="L8" s="1442">
        <f>F8-K8</f>
        <v>12282455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839778</v>
      </c>
      <c r="D10" s="1772"/>
      <c r="E10" s="1772"/>
      <c r="F10" s="1773">
        <f>(C10+D10)-E10</f>
        <v>839778</v>
      </c>
      <c r="G10" s="681">
        <v>20</v>
      </c>
      <c r="H10" s="683">
        <v>389005</v>
      </c>
      <c r="I10" s="683">
        <v>40540</v>
      </c>
      <c r="J10" s="683"/>
      <c r="K10" s="1442">
        <f>(H10+I10)-J10</f>
        <v>429545</v>
      </c>
      <c r="L10" s="1442">
        <f>F10-K10</f>
        <v>410233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1226907</v>
      </c>
      <c r="D12" s="1771">
        <v>30655</v>
      </c>
      <c r="E12" s="1771"/>
      <c r="F12" s="1765">
        <f>(C12+D12)-E12</f>
        <v>1257562</v>
      </c>
      <c r="G12" s="681">
        <v>10</v>
      </c>
      <c r="H12" s="619">
        <v>967575</v>
      </c>
      <c r="I12" s="619">
        <v>45961</v>
      </c>
      <c r="J12" s="619"/>
      <c r="K12" s="1442">
        <f>(H12+I12)-J12</f>
        <v>1013536</v>
      </c>
      <c r="L12" s="1442">
        <f>F12-K12</f>
        <v>244026</v>
      </c>
    </row>
    <row r="13" spans="1:14" ht="14.25" thickTop="1" thickBot="1" x14ac:dyDescent="0.25">
      <c r="A13" s="684" t="s">
        <v>1112</v>
      </c>
      <c r="B13" s="679">
        <v>252</v>
      </c>
      <c r="C13" s="1771">
        <v>818093</v>
      </c>
      <c r="D13" s="1771">
        <v>61865</v>
      </c>
      <c r="E13" s="1771"/>
      <c r="F13" s="1765">
        <f>(C13+D13)-E13</f>
        <v>879958</v>
      </c>
      <c r="G13" s="681">
        <v>5</v>
      </c>
      <c r="H13" s="619">
        <v>666172</v>
      </c>
      <c r="I13" s="619">
        <v>111418</v>
      </c>
      <c r="J13" s="619"/>
      <c r="K13" s="1442">
        <f>(H13+I13)-J13</f>
        <v>777590</v>
      </c>
      <c r="L13" s="1442">
        <f>F13-K13</f>
        <v>102368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22792883</v>
      </c>
      <c r="D16" s="1765">
        <f>SUM(D3,D5:D6,D8:D10,D12:D15)</f>
        <v>626978</v>
      </c>
      <c r="E16" s="1765">
        <f>SUM(E3,E5:E6,E8:E10,E12:E15)</f>
        <v>0</v>
      </c>
      <c r="F16" s="1765">
        <f>SUM(F3,F5:F6,F8:F10,F12:F15)</f>
        <v>23419861</v>
      </c>
      <c r="G16" s="681"/>
      <c r="H16" s="1435">
        <f>SUM(H3,H6,H8:H10,H12:H14,)</f>
        <v>9538274</v>
      </c>
      <c r="I16" s="1435">
        <f>SUM(I3,I6,I8:I10,I12:I14,)</f>
        <v>677696</v>
      </c>
      <c r="J16" s="1435">
        <f>SUM(J3,J6,J8:J10,J12:J14,)</f>
        <v>0</v>
      </c>
      <c r="K16" s="1435">
        <f>(H16+I16)-J16</f>
        <v>10215970</v>
      </c>
      <c r="L16" s="1435">
        <f>F16-K16</f>
        <v>13203891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677696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6018824</v>
      </c>
      <c r="G8" s="701"/>
    </row>
    <row r="9" spans="1:9" x14ac:dyDescent="0.2">
      <c r="A9" s="705" t="s">
        <v>457</v>
      </c>
      <c r="B9" s="706" t="s">
        <v>1848</v>
      </c>
      <c r="C9" s="707"/>
      <c r="D9" s="705" t="s">
        <v>498</v>
      </c>
      <c r="E9" s="704"/>
      <c r="F9" s="1775">
        <f>'Expenditures 15-22'!K151</f>
        <v>1014586</v>
      </c>
      <c r="G9" s="708"/>
    </row>
    <row r="10" spans="1:9" x14ac:dyDescent="0.2">
      <c r="A10" s="705" t="s">
        <v>496</v>
      </c>
      <c r="B10" s="706" t="s">
        <v>1849</v>
      </c>
      <c r="C10" s="707"/>
      <c r="D10" s="705" t="s">
        <v>498</v>
      </c>
      <c r="E10" s="704"/>
      <c r="F10" s="1775">
        <f>'Expenditures 15-22'!K174</f>
        <v>998631</v>
      </c>
      <c r="G10" s="708"/>
    </row>
    <row r="11" spans="1:9" x14ac:dyDescent="0.2">
      <c r="A11" s="705" t="s">
        <v>458</v>
      </c>
      <c r="B11" s="706" t="s">
        <v>1850</v>
      </c>
      <c r="C11" s="707"/>
      <c r="D11" s="705" t="s">
        <v>498</v>
      </c>
      <c r="E11" s="704"/>
      <c r="F11" s="1775">
        <f>'Expenditures 15-22'!K210</f>
        <v>334529</v>
      </c>
      <c r="G11" s="708"/>
    </row>
    <row r="12" spans="1:9" x14ac:dyDescent="0.2">
      <c r="A12" s="705" t="s">
        <v>459</v>
      </c>
      <c r="B12" s="706" t="s">
        <v>1851</v>
      </c>
      <c r="C12" s="707"/>
      <c r="D12" s="705" t="s">
        <v>498</v>
      </c>
      <c r="E12" s="704"/>
      <c r="F12" s="1775">
        <f>'Expenditures 15-22'!K295</f>
        <v>182407</v>
      </c>
      <c r="G12" s="708"/>
    </row>
    <row r="13" spans="1:9" x14ac:dyDescent="0.2">
      <c r="A13" s="705" t="s">
        <v>106</v>
      </c>
      <c r="B13" s="706" t="s">
        <v>1852</v>
      </c>
      <c r="C13" s="707"/>
      <c r="D13" s="705" t="s">
        <v>498</v>
      </c>
      <c r="E13" s="704"/>
      <c r="F13" s="1775">
        <f>'Expenditures 15-22'!K342</f>
        <v>71622</v>
      </c>
      <c r="G13" s="709"/>
    </row>
    <row r="14" spans="1:9" ht="12" customHeight="1" thickBot="1" x14ac:dyDescent="0.25">
      <c r="A14" s="1443"/>
      <c r="B14" s="1444"/>
      <c r="C14" s="1445"/>
      <c r="D14" s="1446" t="s">
        <v>498</v>
      </c>
      <c r="E14" s="1447" t="s">
        <v>952</v>
      </c>
      <c r="F14" s="1776">
        <f>SUM(F8:F13)</f>
        <v>8620599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174196</v>
      </c>
      <c r="G53" s="701"/>
    </row>
    <row r="54" spans="1:7" x14ac:dyDescent="0.2">
      <c r="A54" s="705" t="s">
        <v>456</v>
      </c>
      <c r="B54" s="705" t="s">
        <v>1459</v>
      </c>
      <c r="C54" s="724" t="s">
        <v>975</v>
      </c>
      <c r="D54" s="720" t="s">
        <v>1086</v>
      </c>
      <c r="E54" s="704"/>
      <c r="F54" s="1782">
        <f>'Expenditures 15-22'!G114</f>
        <v>25958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524665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831789</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61115</v>
      </c>
      <c r="G64" s="701"/>
    </row>
    <row r="65" spans="1:9" x14ac:dyDescent="0.2">
      <c r="A65" s="705" t="s">
        <v>458</v>
      </c>
      <c r="B65" s="705" t="s">
        <v>1861</v>
      </c>
      <c r="C65" s="721" t="s">
        <v>975</v>
      </c>
      <c r="D65" s="720" t="s">
        <v>1086</v>
      </c>
      <c r="E65" s="704"/>
      <c r="F65" s="1782">
        <f>'Expenditures 15-22'!G210</f>
        <v>61865</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1679588</v>
      </c>
      <c r="G77" s="701"/>
    </row>
    <row r="78" spans="1:9" s="728" customFormat="1" ht="12" customHeight="1" thickTop="1" thickBot="1" x14ac:dyDescent="0.25">
      <c r="A78" s="1450"/>
      <c r="B78" s="1448"/>
      <c r="C78" s="1445"/>
      <c r="D78" s="1449" t="s">
        <v>2012</v>
      </c>
      <c r="E78" s="1447"/>
      <c r="F78" s="1788">
        <f>(F14-F77)</f>
        <v>6941011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837</v>
      </c>
      <c r="G79" s="733"/>
      <c r="H79" s="705"/>
      <c r="I79" s="705"/>
    </row>
    <row r="80" spans="1:9" s="728" customFormat="1" ht="12" customHeight="1" thickBot="1" x14ac:dyDescent="0.25">
      <c r="A80" s="1452"/>
      <c r="B80" s="1448"/>
      <c r="C80" s="1445"/>
      <c r="D80" s="1449" t="s">
        <v>2013</v>
      </c>
      <c r="E80" s="1447" t="s">
        <v>952</v>
      </c>
      <c r="F80" s="1790">
        <f>IF(F79&gt;0,F78/F79," Complete Line 79")</f>
        <v>8292.7252090800484</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3400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121372</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172373</v>
      </c>
      <c r="G95" s="745"/>
    </row>
    <row r="96" spans="1:7" x14ac:dyDescent="0.2">
      <c r="A96" s="741" t="s">
        <v>139</v>
      </c>
      <c r="B96" s="741" t="s">
        <v>174</v>
      </c>
      <c r="C96" s="743">
        <v>1700</v>
      </c>
      <c r="D96" s="751" t="str">
        <f>'Revenues 9-14'!A82</f>
        <v>Total District/School Activity Income</v>
      </c>
      <c r="E96" s="739"/>
      <c r="F96" s="1793">
        <f>SUM('Revenues 9-14'!C82,'Revenues 9-14'!D82)</f>
        <v>36634</v>
      </c>
      <c r="G96" s="745"/>
    </row>
    <row r="97" spans="1:7" x14ac:dyDescent="0.2">
      <c r="A97" s="741" t="s">
        <v>456</v>
      </c>
      <c r="B97" s="741" t="s">
        <v>175</v>
      </c>
      <c r="C97" s="743">
        <f>'Revenues 9-14'!B84</f>
        <v>1811</v>
      </c>
      <c r="D97" s="744" t="str">
        <f>'Revenues 9-14'!A84</f>
        <v>Rentals - Regular Textbooks</v>
      </c>
      <c r="E97" s="739"/>
      <c r="F97" s="1793">
        <f>'Revenues 9-14'!C84</f>
        <v>48818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2580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20199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639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164638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94531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44633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5154</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164735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10969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13379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230130</v>
      </c>
      <c r="G172" s="760"/>
    </row>
    <row r="173" spans="1:7" x14ac:dyDescent="0.2">
      <c r="A173" s="1529" t="s">
        <v>659</v>
      </c>
      <c r="B173" s="1530" t="s">
        <v>1885</v>
      </c>
      <c r="C173" s="1531">
        <v>3300</v>
      </c>
      <c r="D173" s="1532" t="s">
        <v>1888</v>
      </c>
      <c r="E173" s="739"/>
      <c r="F173" s="1794">
        <v>86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1135020</v>
      </c>
    </row>
    <row r="176" spans="1:7" ht="12" customHeight="1" x14ac:dyDescent="0.2">
      <c r="A176" s="1443"/>
      <c r="B176" s="1453"/>
      <c r="C176" s="1454"/>
      <c r="D176" s="1455" t="s">
        <v>2014</v>
      </c>
      <c r="E176" s="1456"/>
      <c r="F176" s="1793">
        <f>'PCTC-OEPP 27-28'!F78-F175</f>
        <v>5805991</v>
      </c>
    </row>
    <row r="177" spans="1:9" ht="12" customHeight="1" x14ac:dyDescent="0.2">
      <c r="A177" s="1443"/>
      <c r="B177" s="1453"/>
      <c r="C177" s="1454"/>
      <c r="D177" s="1455" t="s">
        <v>1794</v>
      </c>
      <c r="E177" s="1456"/>
      <c r="F177" s="1793">
        <f>'Cap Outlay Deprec 26'!I18</f>
        <v>677696</v>
      </c>
    </row>
    <row r="178" spans="1:9" ht="12" customHeight="1" x14ac:dyDescent="0.2">
      <c r="A178" s="1443"/>
      <c r="B178" s="1453"/>
      <c r="C178" s="1454"/>
      <c r="D178" s="1455" t="s">
        <v>2015</v>
      </c>
      <c r="E178" s="1456"/>
      <c r="F178" s="1793">
        <f>F176+F177</f>
        <v>6483687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837</v>
      </c>
      <c r="G179" s="763"/>
      <c r="I179" s="701"/>
    </row>
    <row r="180" spans="1:9" ht="12" customHeight="1" thickBot="1" x14ac:dyDescent="0.25">
      <c r="A180" s="1443"/>
      <c r="B180" s="1457"/>
      <c r="C180" s="1454"/>
      <c r="D180" s="1455" t="s">
        <v>2017</v>
      </c>
      <c r="E180" s="1456" t="s">
        <v>1528</v>
      </c>
      <c r="F180" s="1798">
        <f>F178/F179</f>
        <v>7746.340501792115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2075</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128712</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4161690</v>
      </c>
      <c r="F19" s="1802"/>
      <c r="G19" s="1804">
        <f>'Expenditures 15-22'!K33-SUM('Expenditures 15-22'!G33,'Expenditures 15-22'!I33)+'Expenditures 15-22'!D229</f>
        <v>4161690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317730</v>
      </c>
      <c r="F21" s="1805"/>
      <c r="G21" s="1808">
        <f>'Expenditures 15-22'!K42-SUM('Expenditures 15-22'!G42,'Expenditures 15-22'!I42)+'Expenditures 15-22'!K120-SUM('Expenditures 15-22'!G120,'Expenditures 15-22'!I120)+'Expenditures 15-22'!K180-SUM('Expenditures 15-22'!G180,'Expenditures 15-22'!I180)+'Expenditures 15-22'!D238</f>
        <v>317730</v>
      </c>
      <c r="H21" s="817"/>
      <c r="I21" s="157"/>
    </row>
    <row r="22" spans="1:9" s="542" customFormat="1" ht="12" customHeight="1" x14ac:dyDescent="0.2">
      <c r="A22" s="824" t="s">
        <v>560</v>
      </c>
      <c r="B22" s="825"/>
      <c r="C22" s="823">
        <v>2200</v>
      </c>
      <c r="D22" s="1805"/>
      <c r="E22" s="1807">
        <f>'Expenditures 15-22'!K47-SUM('Expenditures 15-22'!G47,'Expenditures 15-22'!I47)+'Expenditures 15-22'!D243</f>
        <v>216127</v>
      </c>
      <c r="F22" s="1805"/>
      <c r="G22" s="1808">
        <f>'Expenditures 15-22'!K47-SUM('Expenditures 15-22'!G47,'Expenditures 15-22'!I47)+'Expenditures 15-22'!D243</f>
        <v>216127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331688</v>
      </c>
      <c r="F23" s="1805"/>
      <c r="G23" s="1807">
        <f>'Expenditures 15-22'!K53-SUM('Expenditures 15-22'!G53,'Expenditures 15-22'!I53)+'Expenditures 15-22'!D257+'Expenditures 15-22'!K330-SUM('Expenditures 15-22'!G330,'Expenditures 15-22'!I330)</f>
        <v>331688</v>
      </c>
      <c r="H23" s="817"/>
      <c r="I23" s="157"/>
    </row>
    <row r="24" spans="1:9" s="542" customFormat="1" ht="12" customHeight="1" x14ac:dyDescent="0.2">
      <c r="A24" s="824" t="s">
        <v>562</v>
      </c>
      <c r="B24" s="825"/>
      <c r="C24" s="823">
        <v>2400</v>
      </c>
      <c r="D24" s="1805"/>
      <c r="E24" s="1807">
        <f>'Expenditures 15-22'!K57-SUM('Expenditures 15-22'!G57,'Expenditures 15-22'!I57)+'Expenditures 15-22'!D261</f>
        <v>420210</v>
      </c>
      <c r="F24" s="1805"/>
      <c r="G24" s="1808">
        <f>'Expenditures 15-22'!K57-SUM('Expenditures 15-22'!G57,'Expenditures 15-22'!I57)+'Expenditures 15-22'!D261</f>
        <v>420210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61721</v>
      </c>
      <c r="E27" s="1807">
        <f>E8</f>
        <v>0</v>
      </c>
      <c r="F27" s="1807">
        <f>'Expenditures 15-22'!K60-SUM('Expenditures 15-22'!G60,'Expenditures 15-22'!I60)+'Expenditures 15-22'!D264-E8</f>
        <v>61721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693011</v>
      </c>
      <c r="F28" s="1809">
        <f>'Expenditures 15-22'!K61-SUM('Expenditures 15-22'!G61,'Expenditures 15-22'!I61)+'Expenditures 15-22'!K124-SUM('Expenditures 15-22'!G124,'Expenditures 15-22'!I124)+'Expenditures 15-22'!D266-E9</f>
        <v>693011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216005</v>
      </c>
      <c r="F29" s="1805"/>
      <c r="G29" s="1808">
        <f>'Expenditures 15-22'!K62-SUM('Expenditures 15-22'!G62,'Expenditures 15-22'!I62)+'Expenditures 15-22'!K125-SUM('Expenditures 15-22'!G125,'Expenditures 15-22'!I125)+'Expenditures 15-22'!K182-SUM('Expenditures 15-22'!G182,'Expenditures 15-22'!I182)+'Expenditures 15-22'!D267</f>
        <v>216005</v>
      </c>
      <c r="H29" s="815"/>
    </row>
    <row r="30" spans="1:9" ht="12" customHeight="1" x14ac:dyDescent="0.2">
      <c r="A30" s="824" t="s">
        <v>100</v>
      </c>
      <c r="B30" s="827"/>
      <c r="C30" s="823">
        <v>2560</v>
      </c>
      <c r="D30" s="1805"/>
      <c r="E30" s="1807">
        <f>'Expenditures 15-22'!K63-SUM('Expenditures 15-22'!G63,'Expenditures 15-22'!I63)+'Expenditures 15-22'!D268-E10</f>
        <v>147164</v>
      </c>
      <c r="F30" s="1805"/>
      <c r="G30" s="1807">
        <f>'Expenditures 15-22'!K63-SUM('Expenditures 15-22'!G63,'Expenditures 15-22'!I63)+'Expenditures 15-22'!D268-E10</f>
        <v>147164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69379</v>
      </c>
      <c r="E37" s="1807">
        <f>E14</f>
        <v>0</v>
      </c>
      <c r="F37" s="1807">
        <f>'Expenditures 15-22'!K71-SUM('Expenditures 15-22'!G71,'Expenditures 15-22'!I71)+'Expenditures 15-22'!D276-E14</f>
        <v>69379</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131100</v>
      </c>
      <c r="E41" s="1809">
        <f>SUM(E19:E40)</f>
        <v>6503625</v>
      </c>
      <c r="F41" s="1809">
        <f>SUM(F19:F39)</f>
        <v>824111</v>
      </c>
      <c r="G41" s="1809">
        <f>SUM(G19:G40)</f>
        <v>5810614</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131100</v>
      </c>
      <c r="F43" s="1458" t="s">
        <v>470</v>
      </c>
      <c r="G43" s="1810">
        <f>F41</f>
        <v>824111</v>
      </c>
    </row>
    <row r="44" spans="1:7" ht="12" customHeight="1" x14ac:dyDescent="0.2">
      <c r="A44" s="817"/>
      <c r="B44" s="157"/>
      <c r="C44" s="831"/>
      <c r="D44" s="1458" t="s">
        <v>471</v>
      </c>
      <c r="E44" s="1810">
        <f>E41</f>
        <v>6503625</v>
      </c>
      <c r="F44" s="1458" t="s">
        <v>471</v>
      </c>
      <c r="G44" s="1810">
        <f>G41</f>
        <v>5810614</v>
      </c>
    </row>
    <row r="45" spans="1:7" ht="12" customHeight="1" x14ac:dyDescent="0.2">
      <c r="A45" s="817"/>
      <c r="B45" s="157"/>
      <c r="C45" s="157"/>
      <c r="D45" s="1459" t="s">
        <v>999</v>
      </c>
      <c r="E45" s="1811">
        <f>(E43/E44)</f>
        <v>2.0157988813930692E-2</v>
      </c>
      <c r="F45" s="1459" t="s">
        <v>999</v>
      </c>
      <c r="G45" s="1811">
        <f>(G43/G44)</f>
        <v>0.1418285571886207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St. Joseph CCSD 169</v>
      </c>
      <c r="D6" s="2407"/>
      <c r="E6" s="2407"/>
      <c r="F6" s="1482"/>
      <c r="G6" s="1507"/>
      <c r="L6" s="1507"/>
      <c r="M6" s="1855"/>
      <c r="N6" s="1855"/>
      <c r="O6" s="1855"/>
    </row>
    <row r="7" spans="1:15" ht="11.25" customHeight="1" thickBot="1" x14ac:dyDescent="0.3">
      <c r="A7" s="1480"/>
      <c r="B7" s="1481"/>
      <c r="C7" s="2408">
        <f>COVER!A13</f>
        <v>9010169004</v>
      </c>
      <c r="D7" s="2408"/>
      <c r="E7" s="240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St. Joseph CCSD 169</v>
      </c>
      <c r="K6" s="2423"/>
      <c r="L6" s="2424"/>
      <c r="M6" s="838"/>
      <c r="N6" s="1999"/>
    </row>
    <row r="7" spans="1:14" x14ac:dyDescent="0.2">
      <c r="A7" s="2425" t="s">
        <v>864</v>
      </c>
      <c r="B7" s="2426"/>
      <c r="C7" s="2426"/>
      <c r="D7" s="2426"/>
      <c r="E7" s="2427"/>
      <c r="F7" s="839"/>
      <c r="G7" s="838"/>
      <c r="H7" s="838"/>
      <c r="I7" s="1925" t="s">
        <v>369</v>
      </c>
      <c r="J7" s="2428">
        <f>COVER!A13</f>
        <v>9010169004</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226316</v>
      </c>
      <c r="F12" s="1943"/>
      <c r="G12" s="1969">
        <f>G68</f>
        <v>0</v>
      </c>
      <c r="H12" s="1945">
        <f t="shared" ref="H12:H18" si="0">SUM(E12:G12)</f>
        <v>226316</v>
      </c>
      <c r="I12" s="1944">
        <v>237610</v>
      </c>
      <c r="J12" s="1943"/>
      <c r="K12" s="1944">
        <v>0</v>
      </c>
      <c r="L12" s="1945">
        <f t="shared" ref="L12:L18" si="1">SUM(I12:K12)</f>
        <v>237610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226316</v>
      </c>
      <c r="F19" s="1951">
        <f t="shared" si="2"/>
        <v>0</v>
      </c>
      <c r="G19" s="1951">
        <f t="shared" ref="G19" si="3">SUM(G12:G17)-G18</f>
        <v>0</v>
      </c>
      <c r="H19" s="1951">
        <f t="shared" si="2"/>
        <v>226316</v>
      </c>
      <c r="I19" s="1951">
        <f t="shared" si="2"/>
        <v>237610</v>
      </c>
      <c r="J19" s="1951">
        <f t="shared" si="2"/>
        <v>0</v>
      </c>
      <c r="K19" s="1951">
        <f t="shared" si="2"/>
        <v>0</v>
      </c>
      <c r="L19" s="1951">
        <f t="shared" si="2"/>
        <v>237610</v>
      </c>
      <c r="M19" s="838"/>
      <c r="N19" s="1999"/>
    </row>
    <row r="20" spans="1:14" ht="13.5" thickTop="1" x14ac:dyDescent="0.2">
      <c r="A20" s="2004">
        <v>9</v>
      </c>
      <c r="B20" s="2435" t="s">
        <v>2021</v>
      </c>
      <c r="C20" s="2435"/>
      <c r="D20" s="2436"/>
      <c r="E20" s="1952"/>
      <c r="F20" s="1952"/>
      <c r="G20" s="1952"/>
      <c r="H20" s="1952"/>
      <c r="I20" s="1952"/>
      <c r="J20" s="1952"/>
      <c r="K20" s="1952"/>
      <c r="L20" s="1953">
        <f>IF(AND(H19&gt;0,L19&gt;0),(((L19-H19)/H19)),"Enter Budget Data")</f>
        <v>4.9903674508209761E-2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2024</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2025</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2026</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St. Joseph CCSD 169</v>
      </c>
      <c r="M52" s="2423"/>
      <c r="N52" s="2453"/>
    </row>
    <row r="53" spans="1:14" x14ac:dyDescent="0.2">
      <c r="A53" s="1983"/>
      <c r="B53" s="1984"/>
      <c r="C53" s="1984"/>
      <c r="D53" s="1984"/>
      <c r="E53" s="1984"/>
      <c r="F53" s="1984"/>
      <c r="G53" s="1984"/>
      <c r="H53" s="1984"/>
      <c r="I53" s="1984"/>
      <c r="J53" s="1984"/>
      <c r="K53" s="1925" t="s">
        <v>369</v>
      </c>
      <c r="L53" s="2428">
        <f>J7</f>
        <v>9010169004</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2030</v>
      </c>
      <c r="H55" s="2457"/>
      <c r="I55" s="2457"/>
      <c r="J55" s="2457"/>
      <c r="K55" s="2457"/>
      <c r="L55" s="2457"/>
      <c r="M55" s="2457"/>
      <c r="N55" s="2458"/>
    </row>
    <row r="56" spans="1:14" ht="63.75" x14ac:dyDescent="0.2">
      <c r="A56" s="2459" t="s">
        <v>2031</v>
      </c>
      <c r="B56" s="2460"/>
      <c r="C56" s="246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2041</v>
      </c>
      <c r="B58" s="2442"/>
      <c r="C58" s="2442"/>
      <c r="D58" s="1968">
        <v>2362</v>
      </c>
      <c r="E58" s="1978">
        <f>'Expenditures 15-22'!K320</f>
        <v>21351</v>
      </c>
      <c r="F58" s="1973"/>
      <c r="G58" s="2032"/>
      <c r="H58" s="2033"/>
      <c r="I58" s="2033"/>
      <c r="J58" s="2033"/>
      <c r="K58" s="2033"/>
      <c r="L58" s="2033"/>
      <c r="M58" s="2033">
        <v>21351</v>
      </c>
      <c r="N58" s="1976">
        <f>IF((SUM(G58:M58))=E58,SUM(G58:M58),"Column N does not agree with Column E")</f>
        <v>21351</v>
      </c>
    </row>
    <row r="59" spans="1:14" ht="24.75" customHeight="1" x14ac:dyDescent="0.2">
      <c r="A59" s="2464" t="s">
        <v>297</v>
      </c>
      <c r="B59" s="2465"/>
      <c r="C59" s="2465"/>
      <c r="D59" s="1968">
        <v>2363</v>
      </c>
      <c r="E59" s="1978">
        <f>'Expenditures 15-22'!K321</f>
        <v>14799</v>
      </c>
      <c r="F59" s="1973"/>
      <c r="G59" s="2032"/>
      <c r="H59" s="2033"/>
      <c r="I59" s="2033"/>
      <c r="J59" s="2033"/>
      <c r="K59" s="2033"/>
      <c r="L59" s="2033"/>
      <c r="M59" s="2033">
        <v>14799</v>
      </c>
      <c r="N59" s="1976">
        <f>IF((SUM(G59:M59))=E59,SUM(G59:M59),"Column N does not agree with Column E")</f>
        <v>14799</v>
      </c>
    </row>
    <row r="60" spans="1:14" ht="24" customHeight="1" x14ac:dyDescent="0.2">
      <c r="A60" s="2464" t="s">
        <v>236</v>
      </c>
      <c r="B60" s="2465"/>
      <c r="C60" s="2465"/>
      <c r="D60" s="1968">
        <v>2364</v>
      </c>
      <c r="E60" s="1978">
        <f>'Expenditures 15-22'!K322</f>
        <v>28566</v>
      </c>
      <c r="F60" s="1973"/>
      <c r="G60" s="2032"/>
      <c r="H60" s="2033"/>
      <c r="I60" s="2033"/>
      <c r="J60" s="2033"/>
      <c r="K60" s="2033"/>
      <c r="L60" s="2033"/>
      <c r="M60" s="2033">
        <v>28566</v>
      </c>
      <c r="N60" s="1976">
        <f t="shared" ref="N60:N67" si="4">IF((SUM(G60:M60))=E60,SUM(G60:M60),"Column N does not agree with Column E")</f>
        <v>28566</v>
      </c>
    </row>
    <row r="61" spans="1:14" ht="24.75" customHeight="1" x14ac:dyDescent="0.2">
      <c r="A61" s="2464" t="s">
        <v>697</v>
      </c>
      <c r="B61" s="2465"/>
      <c r="C61" s="2465"/>
      <c r="D61" s="1968">
        <v>2365</v>
      </c>
      <c r="E61" s="1978">
        <f>'Expenditures 15-22'!K323</f>
        <v>1017</v>
      </c>
      <c r="F61" s="1973"/>
      <c r="G61" s="2032"/>
      <c r="H61" s="2033"/>
      <c r="I61" s="2033"/>
      <c r="J61" s="2033"/>
      <c r="K61" s="2033"/>
      <c r="L61" s="2033"/>
      <c r="M61" s="2033">
        <v>1017</v>
      </c>
      <c r="N61" s="1976">
        <f t="shared" si="4"/>
        <v>1017</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1175</v>
      </c>
      <c r="F63" s="1973"/>
      <c r="G63" s="2032"/>
      <c r="H63" s="2033"/>
      <c r="I63" s="2033"/>
      <c r="J63" s="2033"/>
      <c r="K63" s="2033"/>
      <c r="L63" s="2033"/>
      <c r="M63" s="2033">
        <v>1175</v>
      </c>
      <c r="N63" s="1976">
        <f t="shared" si="4"/>
        <v>1175</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4714</v>
      </c>
      <c r="F65" s="1973"/>
      <c r="G65" s="2032"/>
      <c r="H65" s="2033"/>
      <c r="I65" s="2033"/>
      <c r="J65" s="2033"/>
      <c r="K65" s="2033"/>
      <c r="L65" s="2033"/>
      <c r="M65" s="2033">
        <v>4714</v>
      </c>
      <c r="N65" s="1976">
        <f t="shared" si="4"/>
        <v>4714</v>
      </c>
    </row>
    <row r="66" spans="1:14" ht="24" customHeight="1" x14ac:dyDescent="0.2">
      <c r="A66" s="2464" t="s">
        <v>469</v>
      </c>
      <c r="B66" s="2465"/>
      <c r="C66" s="2465"/>
      <c r="D66" s="1968">
        <v>2371</v>
      </c>
      <c r="E66" s="1978">
        <f>'Expenditures 15-22'!K328</f>
        <v>0</v>
      </c>
      <c r="F66" s="1973"/>
      <c r="G66" s="2032"/>
      <c r="H66" s="2033"/>
      <c r="I66" s="2033"/>
      <c r="J66" s="2033"/>
      <c r="K66" s="2033"/>
      <c r="L66" s="2033"/>
      <c r="M66" s="2033"/>
      <c r="N66" s="1976">
        <f t="shared" si="4"/>
        <v>0</v>
      </c>
    </row>
    <row r="67" spans="1:14" ht="24.75" customHeight="1" x14ac:dyDescent="0.2">
      <c r="A67" s="2466" t="s">
        <v>2042</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71622</v>
      </c>
      <c r="F68" s="1974"/>
      <c r="G68" s="1975">
        <f t="shared" ref="G68:N68" si="5">SUM(G57:G67)</f>
        <v>0</v>
      </c>
      <c r="H68" s="1975">
        <f t="shared" si="5"/>
        <v>0</v>
      </c>
      <c r="I68" s="1975">
        <f t="shared" si="5"/>
        <v>0</v>
      </c>
      <c r="J68" s="1975">
        <f t="shared" si="5"/>
        <v>0</v>
      </c>
      <c r="K68" s="1975">
        <f t="shared" si="5"/>
        <v>0</v>
      </c>
      <c r="L68" s="1975">
        <f t="shared" si="5"/>
        <v>0</v>
      </c>
      <c r="M68" s="1975">
        <f t="shared" si="5"/>
        <v>71622</v>
      </c>
      <c r="N68" s="1989">
        <f t="shared" si="5"/>
        <v>71622</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6"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v>1</v>
      </c>
      <c r="B5" s="2037" t="s">
        <v>2106</v>
      </c>
    </row>
    <row r="6" spans="1:2" x14ac:dyDescent="0.2">
      <c r="B6" s="2038" t="s">
        <v>2107</v>
      </c>
    </row>
    <row r="7" spans="1:2" x14ac:dyDescent="0.2">
      <c r="B7" s="307" t="s">
        <v>2108</v>
      </c>
    </row>
    <row r="8" spans="1:2" x14ac:dyDescent="0.2">
      <c r="B8" s="307" t="s">
        <v>2109</v>
      </c>
    </row>
    <row r="10" spans="1:2" x14ac:dyDescent="0.2">
      <c r="A10" s="847">
        <v>2</v>
      </c>
      <c r="B10" s="2037" t="s">
        <v>2077</v>
      </c>
    </row>
    <row r="11" spans="1:2" x14ac:dyDescent="0.2">
      <c r="A11" s="847"/>
      <c r="B11" s="2038" t="s">
        <v>2078</v>
      </c>
    </row>
    <row r="12" spans="1:2" x14ac:dyDescent="0.2">
      <c r="A12" s="847"/>
      <c r="B12" s="307" t="s">
        <v>2079</v>
      </c>
    </row>
    <row r="13" spans="1:2" x14ac:dyDescent="0.2">
      <c r="A13" s="847"/>
    </row>
    <row r="14" spans="1:2" x14ac:dyDescent="0.2">
      <c r="A14" s="848">
        <v>3</v>
      </c>
      <c r="B14" s="2037" t="s">
        <v>2080</v>
      </c>
    </row>
    <row r="15" spans="1:2" x14ac:dyDescent="0.2">
      <c r="A15" s="848"/>
      <c r="B15" s="2038" t="s">
        <v>2081</v>
      </c>
    </row>
    <row r="16" spans="1:2" x14ac:dyDescent="0.2">
      <c r="A16" s="848"/>
      <c r="B16" s="307" t="s">
        <v>2082</v>
      </c>
    </row>
    <row r="17" spans="1:2" x14ac:dyDescent="0.2">
      <c r="A17" s="848"/>
    </row>
    <row r="18" spans="1:2" x14ac:dyDescent="0.2">
      <c r="A18" s="848">
        <v>4</v>
      </c>
      <c r="B18" s="2037" t="s">
        <v>2083</v>
      </c>
    </row>
    <row r="19" spans="1:2" x14ac:dyDescent="0.2">
      <c r="A19" s="848"/>
      <c r="B19" s="2038" t="s">
        <v>2081</v>
      </c>
    </row>
    <row r="20" spans="1:2" x14ac:dyDescent="0.2">
      <c r="A20" s="848"/>
      <c r="B20" s="307" t="s">
        <v>2084</v>
      </c>
    </row>
    <row r="21" spans="1:2" x14ac:dyDescent="0.2">
      <c r="A21" s="848"/>
      <c r="B21" s="307" t="s">
        <v>2085</v>
      </c>
    </row>
    <row r="22" spans="1:2" x14ac:dyDescent="0.2">
      <c r="A22" s="848"/>
    </row>
    <row r="23" spans="1:2" x14ac:dyDescent="0.2">
      <c r="A23" s="848">
        <v>5</v>
      </c>
      <c r="B23" s="2037" t="s">
        <v>2086</v>
      </c>
    </row>
    <row r="24" spans="1:2" x14ac:dyDescent="0.2">
      <c r="A24" s="848"/>
      <c r="B24" s="2038" t="s">
        <v>2081</v>
      </c>
    </row>
    <row r="25" spans="1:2" x14ac:dyDescent="0.2">
      <c r="A25" s="848"/>
      <c r="B25" s="307" t="s">
        <v>2087</v>
      </c>
    </row>
    <row r="26" spans="1:2" x14ac:dyDescent="0.2">
      <c r="A26" s="848"/>
    </row>
    <row r="27" spans="1:2" x14ac:dyDescent="0.2">
      <c r="A27" s="848">
        <v>6</v>
      </c>
      <c r="B27" s="2037" t="s">
        <v>2088</v>
      </c>
    </row>
    <row r="28" spans="1:2" x14ac:dyDescent="0.2">
      <c r="A28" s="848"/>
      <c r="B28" s="2038" t="s">
        <v>2081</v>
      </c>
    </row>
    <row r="29" spans="1:2" x14ac:dyDescent="0.2">
      <c r="A29" s="848"/>
      <c r="B29" s="307" t="s">
        <v>2089</v>
      </c>
    </row>
    <row r="30" spans="1:2" x14ac:dyDescent="0.2">
      <c r="A30" s="848"/>
    </row>
    <row r="31" spans="1:2" x14ac:dyDescent="0.2">
      <c r="A31" s="848">
        <v>7</v>
      </c>
      <c r="B31" s="2037" t="s">
        <v>2090</v>
      </c>
    </row>
    <row r="32" spans="1:2" x14ac:dyDescent="0.2">
      <c r="A32" s="848"/>
      <c r="B32" s="2038" t="s">
        <v>2081</v>
      </c>
    </row>
    <row r="33" spans="1:2" x14ac:dyDescent="0.2">
      <c r="A33" s="848"/>
      <c r="B33" s="307" t="s">
        <v>2091</v>
      </c>
    </row>
    <row r="34" spans="1:2" x14ac:dyDescent="0.2">
      <c r="A34" s="848"/>
      <c r="B34" s="307" t="s">
        <v>2092</v>
      </c>
    </row>
    <row r="35" spans="1:2" x14ac:dyDescent="0.2">
      <c r="A35" s="848"/>
      <c r="B35" s="307" t="s">
        <v>2093</v>
      </c>
    </row>
    <row r="36" spans="1:2" x14ac:dyDescent="0.2">
      <c r="A36" s="848"/>
      <c r="B36" s="307" t="s">
        <v>2094</v>
      </c>
    </row>
    <row r="37" spans="1:2" x14ac:dyDescent="0.2">
      <c r="A37" s="848"/>
      <c r="B37" s="307" t="s">
        <v>2095</v>
      </c>
    </row>
    <row r="38" spans="1:2" x14ac:dyDescent="0.2">
      <c r="A38" s="848"/>
    </row>
    <row r="39" spans="1:2" x14ac:dyDescent="0.2">
      <c r="A39" s="848">
        <v>8</v>
      </c>
      <c r="B39" s="2037" t="s">
        <v>2096</v>
      </c>
    </row>
    <row r="40" spans="1:2" x14ac:dyDescent="0.2">
      <c r="A40" s="848"/>
      <c r="B40" s="2038" t="s">
        <v>2097</v>
      </c>
    </row>
    <row r="41" spans="1:2" x14ac:dyDescent="0.2">
      <c r="A41" s="848"/>
      <c r="B41" s="307" t="s">
        <v>2098</v>
      </c>
    </row>
    <row r="42" spans="1:2" x14ac:dyDescent="0.2">
      <c r="A42" s="848"/>
    </row>
    <row r="43" spans="1:2" x14ac:dyDescent="0.2">
      <c r="A43" s="848">
        <v>9</v>
      </c>
      <c r="B43" s="2037" t="s">
        <v>2099</v>
      </c>
    </row>
    <row r="44" spans="1:2" x14ac:dyDescent="0.2">
      <c r="A44" s="848"/>
      <c r="B44" s="2038" t="s">
        <v>2100</v>
      </c>
    </row>
    <row r="45" spans="1:2" x14ac:dyDescent="0.2">
      <c r="A45" s="848"/>
      <c r="B45" s="307" t="s">
        <v>2101</v>
      </c>
    </row>
    <row r="46" spans="1:2" x14ac:dyDescent="0.2">
      <c r="A46" s="848"/>
    </row>
    <row r="47" spans="1:2" x14ac:dyDescent="0.2">
      <c r="A47" s="848">
        <v>10</v>
      </c>
      <c r="B47" s="2037" t="s">
        <v>2102</v>
      </c>
    </row>
    <row r="48" spans="1:2" x14ac:dyDescent="0.2">
      <c r="A48" s="848"/>
      <c r="B48" s="307" t="s">
        <v>2103</v>
      </c>
    </row>
    <row r="49" spans="1:2" x14ac:dyDescent="0.2">
      <c r="A49" s="848"/>
    </row>
    <row r="50" spans="1:2" x14ac:dyDescent="0.2">
      <c r="A50" s="848">
        <v>11</v>
      </c>
      <c r="B50" s="2037" t="s">
        <v>2104</v>
      </c>
    </row>
    <row r="51" spans="1:2" x14ac:dyDescent="0.2">
      <c r="A51" s="848"/>
      <c r="B51" s="307" t="s">
        <v>2105</v>
      </c>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St. Joseph CCSD 169</v>
      </c>
    </row>
    <row r="65" spans="2:2" x14ac:dyDescent="0.2">
      <c r="B65" s="849">
        <f>COVER!A13</f>
        <v>9010169004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5478951</v>
      </c>
      <c r="C8" s="1813">
        <f>'Acct Summary 7-8'!D8</f>
        <v>445132</v>
      </c>
      <c r="D8" s="1813">
        <f>'Acct Summary 7-8'!F8</f>
        <v>394025</v>
      </c>
      <c r="E8" s="1813">
        <f>'Acct Summary 7-8'!I8</f>
        <v>0</v>
      </c>
      <c r="F8" s="1813">
        <f>SUM(B8:E8)</f>
        <v>6318108</v>
      </c>
    </row>
    <row r="9" spans="1:8" s="858" customFormat="1" ht="14.25" customHeight="1" thickBot="1" x14ac:dyDescent="0.25">
      <c r="A9" s="857" t="s">
        <v>1353</v>
      </c>
      <c r="B9" s="1814">
        <f>'Acct Summary 7-8'!C17</f>
        <v>6018824</v>
      </c>
      <c r="C9" s="1814">
        <f>'Acct Summary 7-8'!D17</f>
        <v>1014586</v>
      </c>
      <c r="D9" s="1814">
        <f>'Acct Summary 7-8'!F17</f>
        <v>334529</v>
      </c>
      <c r="E9" s="1813"/>
      <c r="F9" s="1813">
        <f>SUM(B9:E9)</f>
        <v>7367939</v>
      </c>
    </row>
    <row r="10" spans="1:8" s="858" customFormat="1" ht="14.25" thickTop="1" thickBot="1" x14ac:dyDescent="0.25">
      <c r="A10" s="859" t="s">
        <v>1354</v>
      </c>
      <c r="B10" s="1815">
        <f>(B8-B9)</f>
        <v>-539873</v>
      </c>
      <c r="C10" s="1815">
        <f>(C8-C9)</f>
        <v>-569454</v>
      </c>
      <c r="D10" s="1815">
        <f>(D8-D9)</f>
        <v>59496</v>
      </c>
      <c r="E10" s="1814">
        <f>(E8-E9)</f>
        <v>0</v>
      </c>
      <c r="F10" s="1816">
        <f>SUM(F8-F9)</f>
        <v>-1049831</v>
      </c>
    </row>
    <row r="11" spans="1:8" s="858" customFormat="1" ht="14.25" thickTop="1" thickBot="1" x14ac:dyDescent="0.25">
      <c r="A11" s="860" t="s">
        <v>1903</v>
      </c>
      <c r="B11" s="1817">
        <f>'Acct Summary 7-8'!C81</f>
        <v>1156753</v>
      </c>
      <c r="C11" s="1817">
        <f>'Acct Summary 7-8'!D81</f>
        <v>298805</v>
      </c>
      <c r="D11" s="1817">
        <f>'Acct Summary 7-8'!F81</f>
        <v>674451</v>
      </c>
      <c r="E11" s="1817">
        <f>'Acct Summary 7-8'!I81</f>
        <v>262524</v>
      </c>
      <c r="F11" s="1818">
        <f>SUM(B11:E11)</f>
        <v>2392533</v>
      </c>
    </row>
    <row r="12" spans="1:8" ht="16.5" customHeight="1" thickTop="1" x14ac:dyDescent="0.2">
      <c r="A12" s="861"/>
      <c r="B12" s="862"/>
      <c r="C12" s="2475"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9010169004</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St. Joseph CCSD 169</v>
      </c>
      <c r="E4" s="1828">
        <v>44119</v>
      </c>
      <c r="F4" s="1829">
        <v>44151</v>
      </c>
      <c r="G4" s="1899">
        <v>101000600</v>
      </c>
    </row>
    <row r="5" spans="1:7" ht="15" x14ac:dyDescent="0.25">
      <c r="A5" t="s">
        <v>699</v>
      </c>
      <c r="B5" s="135" t="str">
        <f>COVER!A38</f>
        <v>TODD PENCE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993649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1156753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1156753</v>
      </c>
      <c r="D92" s="2" t="str">
        <f t="shared" si="0"/>
        <v>Error?</v>
      </c>
      <c r="G92" s="1899">
        <v>102640600</v>
      </c>
    </row>
    <row r="93" spans="1:7" ht="15" x14ac:dyDescent="0.25">
      <c r="A93" s="5">
        <v>32</v>
      </c>
      <c r="B93" s="1832">
        <f>'Assets-Liab 5-6'!C41</f>
        <v>1156753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130469</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298805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298805</v>
      </c>
      <c r="D123" s="2" t="str">
        <f t="shared" si="0"/>
        <v>Error?</v>
      </c>
      <c r="G123" s="1899">
        <v>203000400</v>
      </c>
    </row>
    <row r="124" spans="1:7" ht="15" x14ac:dyDescent="0.25">
      <c r="A124" s="5">
        <v>63</v>
      </c>
      <c r="B124" s="1832">
        <f>'Assets-Liab 5-6'!D41</f>
        <v>298805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107434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107434</v>
      </c>
      <c r="D140" s="2" t="str">
        <f t="shared" si="1"/>
        <v>Error?</v>
      </c>
    </row>
    <row r="141" spans="1:7" x14ac:dyDescent="0.2">
      <c r="A141" s="5">
        <v>80</v>
      </c>
      <c r="B141" s="1832">
        <f>'Assets-Liab 5-6'!E41</f>
        <v>107434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430469</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674451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674451</v>
      </c>
      <c r="D170" s="2" t="str">
        <f t="shared" si="1"/>
        <v>Error?</v>
      </c>
    </row>
    <row r="171" spans="1:4" x14ac:dyDescent="0.2">
      <c r="A171" s="5">
        <v>110</v>
      </c>
      <c r="B171" s="1832">
        <f>'Assets-Liab 5-6'!F41</f>
        <v>674451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102440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102440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68254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18254</v>
      </c>
      <c r="D212" s="2" t="str">
        <f t="shared" si="2"/>
        <v>Error?</v>
      </c>
    </row>
    <row r="213" spans="1:4" x14ac:dyDescent="0.2">
      <c r="A213" s="12">
        <v>152</v>
      </c>
      <c r="B213" s="1832">
        <f>'Assets-Liab 5-6'!H41</f>
        <v>68254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164809</v>
      </c>
      <c r="D273" s="2" t="str">
        <f t="shared" si="3"/>
        <v>Error?</v>
      </c>
    </row>
    <row r="274" spans="1:4" x14ac:dyDescent="0.2">
      <c r="A274" s="5">
        <v>213</v>
      </c>
      <c r="B274" s="1832">
        <f>'Assets-Liab 5-6'!M17</f>
        <v>20277754</v>
      </c>
      <c r="D274" s="2" t="str">
        <f t="shared" si="3"/>
        <v>Error?</v>
      </c>
    </row>
    <row r="275" spans="1:4" x14ac:dyDescent="0.2">
      <c r="A275" s="5">
        <v>214</v>
      </c>
      <c r="B275" s="1832">
        <f>'Assets-Liab 5-6'!M18</f>
        <v>839778</v>
      </c>
      <c r="D275" s="2" t="str">
        <f t="shared" si="3"/>
        <v>Error?</v>
      </c>
    </row>
    <row r="276" spans="1:4" x14ac:dyDescent="0.2">
      <c r="A276" s="5">
        <v>215</v>
      </c>
      <c r="B276" s="1832">
        <f>'Assets-Liab 5-6'!M19</f>
        <v>2137520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23419861</v>
      </c>
      <c r="C279" s="2" t="s">
        <v>569</v>
      </c>
      <c r="D279" s="2" t="str">
        <f t="shared" si="3"/>
        <v>Error?</v>
      </c>
    </row>
    <row r="280" spans="1:4" x14ac:dyDescent="0.2">
      <c r="A280" s="5">
        <v>219</v>
      </c>
      <c r="B280" s="1832">
        <f>'Assets-Liab 5-6'!M40</f>
        <v>23419861</v>
      </c>
      <c r="D280" s="2" t="str">
        <f t="shared" si="3"/>
        <v>Error?</v>
      </c>
    </row>
    <row r="281" spans="1:4" x14ac:dyDescent="0.2">
      <c r="A281" s="5">
        <v>220</v>
      </c>
      <c r="B281" s="1832">
        <f>'Assets-Liab 5-6'!M41</f>
        <v>23419861</v>
      </c>
      <c r="C281" s="2" t="s">
        <v>569</v>
      </c>
      <c r="D281" s="2" t="str">
        <f t="shared" si="3"/>
        <v>Error?</v>
      </c>
    </row>
    <row r="282" spans="1:4" x14ac:dyDescent="0.2">
      <c r="A282" s="5">
        <v>221</v>
      </c>
      <c r="B282" s="1832">
        <f>'Assets-Liab 5-6'!N21</f>
        <v>107434</v>
      </c>
      <c r="D282" s="2" t="str">
        <f t="shared" si="3"/>
        <v>Error?</v>
      </c>
    </row>
    <row r="283" spans="1:4" x14ac:dyDescent="0.2">
      <c r="A283" s="5">
        <v>222</v>
      </c>
      <c r="B283" s="1832">
        <f>'Assets-Liab 5-6'!N22</f>
        <v>6096073</v>
      </c>
      <c r="D283" s="2" t="str">
        <f t="shared" si="3"/>
        <v>Error?</v>
      </c>
    </row>
    <row r="284" spans="1:4" x14ac:dyDescent="0.2">
      <c r="A284" s="5">
        <v>223</v>
      </c>
      <c r="B284" s="1832">
        <f>'Assets-Liab 5-6'!N23</f>
        <v>6203507</v>
      </c>
      <c r="C284" s="2" t="s">
        <v>569</v>
      </c>
      <c r="D284" s="2" t="str">
        <f t="shared" si="3"/>
        <v>Error?</v>
      </c>
    </row>
    <row r="285" spans="1:4" x14ac:dyDescent="0.2">
      <c r="A285" s="5">
        <v>224</v>
      </c>
      <c r="B285" s="1832">
        <f>'Assets-Liab 5-6'!N36</f>
        <v>6203507</v>
      </c>
      <c r="D285" s="2" t="str">
        <f t="shared" si="3"/>
        <v>Error?</v>
      </c>
    </row>
    <row r="286" spans="1:4" x14ac:dyDescent="0.2">
      <c r="A286" s="10">
        <v>225</v>
      </c>
      <c r="B286" s="1832"/>
      <c r="D286" s="2" t="str">
        <f t="shared" si="3"/>
        <v>OK</v>
      </c>
    </row>
    <row r="287" spans="1:4" x14ac:dyDescent="0.2">
      <c r="A287" s="5">
        <v>226</v>
      </c>
      <c r="B287" s="1832">
        <f>'Assets-Liab 5-6'!N37</f>
        <v>6203507</v>
      </c>
      <c r="C287" s="2" t="s">
        <v>569</v>
      </c>
      <c r="D287" s="2" t="str">
        <f t="shared" si="3"/>
        <v>Error?</v>
      </c>
    </row>
    <row r="288" spans="1:4" x14ac:dyDescent="0.2">
      <c r="A288" s="5">
        <v>227</v>
      </c>
      <c r="B288" s="1832">
        <f>'Assets-Liab 5-6'!N41</f>
        <v>6203507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750000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2537811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64234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3054205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41069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119559</v>
      </c>
      <c r="D725" s="2" t="str">
        <f t="shared" si="10"/>
        <v>Error?</v>
      </c>
    </row>
    <row r="726" spans="1:4" x14ac:dyDescent="0.2">
      <c r="A726" s="5">
        <v>665</v>
      </c>
      <c r="B726" s="1832">
        <f>'Expenditures 15-22'!C41</f>
        <v>4063</v>
      </c>
      <c r="D726" s="2" t="str">
        <f t="shared" si="10"/>
        <v>Error?</v>
      </c>
    </row>
    <row r="727" spans="1:4" x14ac:dyDescent="0.2">
      <c r="A727" s="5">
        <v>666</v>
      </c>
      <c r="B727" s="1832">
        <f>'Expenditures 15-22'!C42</f>
        <v>164691</v>
      </c>
      <c r="C727" s="2" t="s">
        <v>569</v>
      </c>
      <c r="D727" s="2" t="str">
        <f t="shared" si="10"/>
        <v>Error?</v>
      </c>
    </row>
    <row r="728" spans="1:4" x14ac:dyDescent="0.2">
      <c r="A728" s="5">
        <v>667</v>
      </c>
      <c r="B728" s="1832">
        <f>'Expenditures 15-22'!C44</f>
        <v>102963</v>
      </c>
      <c r="D728" s="2" t="str">
        <f t="shared" si="10"/>
        <v>Error?</v>
      </c>
    </row>
    <row r="729" spans="1:4" x14ac:dyDescent="0.2">
      <c r="A729" s="5">
        <v>668</v>
      </c>
      <c r="B729" s="1832">
        <f>'Expenditures 15-22'!C45</f>
        <v>41220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144183</v>
      </c>
      <c r="C731" s="2" t="s">
        <v>569</v>
      </c>
      <c r="D731" s="2" t="str">
        <f t="shared" si="10"/>
        <v>Error?</v>
      </c>
    </row>
    <row r="732" spans="1:4" x14ac:dyDescent="0.2">
      <c r="A732" s="5">
        <v>671</v>
      </c>
      <c r="B732" s="1832">
        <f>'Expenditures 15-22'!C49</f>
        <v>1380</v>
      </c>
      <c r="D732" s="2" t="str">
        <f t="shared" si="10"/>
        <v>Error?</v>
      </c>
    </row>
    <row r="733" spans="1:4" x14ac:dyDescent="0.2">
      <c r="A733" s="5">
        <v>672</v>
      </c>
      <c r="B733" s="1832">
        <f>'Expenditures 15-22'!C50</f>
        <v>184278</v>
      </c>
      <c r="D733" s="2" t="str">
        <f t="shared" si="10"/>
        <v>Error?</v>
      </c>
    </row>
    <row r="734" spans="1:4" x14ac:dyDescent="0.2">
      <c r="A734" s="5">
        <v>673</v>
      </c>
      <c r="B734" s="1832">
        <f>'Expenditures 15-22'!C53</f>
        <v>185658</v>
      </c>
      <c r="C734" s="2" t="s">
        <v>569</v>
      </c>
      <c r="D734" s="2" t="str">
        <f t="shared" si="10"/>
        <v>Error?</v>
      </c>
    </row>
    <row r="735" spans="1:4" x14ac:dyDescent="0.2">
      <c r="A735" s="5">
        <v>674</v>
      </c>
      <c r="B735" s="1832">
        <f>'Expenditures 15-22'!C55</f>
        <v>325267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325267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45003</v>
      </c>
      <c r="D739" s="2" t="str">
        <f t="shared" si="10"/>
        <v>Error?</v>
      </c>
    </row>
    <row r="740" spans="1:4" x14ac:dyDescent="0.2">
      <c r="A740" s="5">
        <v>679</v>
      </c>
      <c r="B740" s="1832">
        <f>'Expenditures 15-22'!C61</f>
        <v>172053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107962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325018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46723</v>
      </c>
      <c r="D751" s="2" t="str">
        <f t="shared" si="10"/>
        <v>Error?</v>
      </c>
    </row>
    <row r="752" spans="1:4" x14ac:dyDescent="0.2">
      <c r="A752" s="10">
        <v>691</v>
      </c>
      <c r="B752" s="1832"/>
      <c r="D752" s="2" t="str">
        <f t="shared" si="10"/>
        <v>OK</v>
      </c>
    </row>
    <row r="753" spans="1:4" x14ac:dyDescent="0.2">
      <c r="A753" s="5">
        <v>692</v>
      </c>
      <c r="B753" s="1832">
        <f>'Expenditures 15-22'!C72</f>
        <v>46723</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1191540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4245745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666402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3982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813423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6821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29187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36008</v>
      </c>
      <c r="C785" s="2" t="s">
        <v>569</v>
      </c>
      <c r="D785" s="2" t="str">
        <f t="shared" si="11"/>
        <v>Error?</v>
      </c>
    </row>
    <row r="786" spans="1:4" x14ac:dyDescent="0.2">
      <c r="A786" s="5">
        <v>725</v>
      </c>
      <c r="B786" s="1832">
        <f>'Expenditures 15-22'!D44</f>
        <v>21570</v>
      </c>
      <c r="D786" s="2" t="str">
        <f t="shared" si="11"/>
        <v>Error?</v>
      </c>
    </row>
    <row r="787" spans="1:4" x14ac:dyDescent="0.2">
      <c r="A787" s="5">
        <v>726</v>
      </c>
      <c r="B787" s="1832">
        <f>'Expenditures 15-22'!D45</f>
        <v>14940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36510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32799</v>
      </c>
      <c r="D791" s="2" t="str">
        <f t="shared" si="11"/>
        <v>Error?</v>
      </c>
    </row>
    <row r="792" spans="1:4" x14ac:dyDescent="0.2">
      <c r="A792" s="5">
        <v>731</v>
      </c>
      <c r="B792" s="1832">
        <f>'Expenditures 15-22'!D53</f>
        <v>32799</v>
      </c>
      <c r="C792" s="2" t="s">
        <v>569</v>
      </c>
      <c r="D792" s="2" t="str">
        <f t="shared" si="11"/>
        <v>Error?</v>
      </c>
    </row>
    <row r="793" spans="1:4" x14ac:dyDescent="0.2">
      <c r="A793" s="5">
        <v>732</v>
      </c>
      <c r="B793" s="1832">
        <f>'Expenditures 15-22'!D55</f>
        <v>71900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71900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6978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21466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28444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7517</v>
      </c>
      <c r="D809" s="2" t="str">
        <f t="shared" si="11"/>
        <v>Error?</v>
      </c>
    </row>
    <row r="810" spans="1:4" x14ac:dyDescent="0.2">
      <c r="A810" s="10">
        <v>749</v>
      </c>
      <c r="B810" s="1832"/>
      <c r="D810" s="2" t="str">
        <f t="shared" si="11"/>
        <v>OK</v>
      </c>
    </row>
    <row r="811" spans="1:4" x14ac:dyDescent="0.2">
      <c r="A811" s="5">
        <v>750</v>
      </c>
      <c r="B811" s="1832">
        <f>'Expenditures 15-22'!D72</f>
        <v>7517</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213178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1026601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28915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9111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50296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85959</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9135</v>
      </c>
      <c r="D842" s="2" t="str">
        <f t="shared" si="12"/>
        <v>Error?</v>
      </c>
    </row>
    <row r="843" spans="1:4" x14ac:dyDescent="0.2">
      <c r="A843" s="5">
        <v>782</v>
      </c>
      <c r="B843" s="1832">
        <f>'Expenditures 15-22'!E42</f>
        <v>95094</v>
      </c>
      <c r="C843" s="2" t="s">
        <v>569</v>
      </c>
      <c r="D843" s="2" t="str">
        <f t="shared" si="12"/>
        <v>Error?</v>
      </c>
    </row>
    <row r="844" spans="1:4" x14ac:dyDescent="0.2">
      <c r="A844" s="5">
        <v>783</v>
      </c>
      <c r="B844" s="1832">
        <f>'Expenditures 15-22'!E44</f>
        <v>9381</v>
      </c>
      <c r="D844" s="2" t="str">
        <f t="shared" si="12"/>
        <v>Error?</v>
      </c>
    </row>
    <row r="845" spans="1:4" x14ac:dyDescent="0.2">
      <c r="A845" s="5">
        <v>784</v>
      </c>
      <c r="B845" s="1832">
        <f>'Expenditures 15-22'!E45</f>
        <v>2980</v>
      </c>
      <c r="D845" s="2" t="str">
        <f t="shared" si="12"/>
        <v>Error?</v>
      </c>
    </row>
    <row r="846" spans="1:4" x14ac:dyDescent="0.2">
      <c r="A846" s="5">
        <v>785</v>
      </c>
      <c r="B846" s="1832">
        <f>'Expenditures 15-22'!E46</f>
        <v>6892</v>
      </c>
      <c r="D846" s="2" t="str">
        <f t="shared" si="12"/>
        <v>Error?</v>
      </c>
    </row>
    <row r="847" spans="1:4" x14ac:dyDescent="0.2">
      <c r="A847" s="5">
        <v>786</v>
      </c>
      <c r="B847" s="1832">
        <f>'Expenditures 15-22'!E47</f>
        <v>19253</v>
      </c>
      <c r="C847" s="2" t="s">
        <v>569</v>
      </c>
      <c r="D847" s="2" t="str">
        <f t="shared" si="12"/>
        <v>Error?</v>
      </c>
    </row>
    <row r="848" spans="1:4" x14ac:dyDescent="0.2">
      <c r="A848" s="5">
        <v>787</v>
      </c>
      <c r="B848" s="1832">
        <f>'Expenditures 15-22'!E49</f>
        <v>15187</v>
      </c>
      <c r="D848" s="2" t="str">
        <f t="shared" si="12"/>
        <v>Error?</v>
      </c>
    </row>
    <row r="849" spans="1:4" x14ac:dyDescent="0.2">
      <c r="A849" s="5">
        <v>788</v>
      </c>
      <c r="B849" s="1832">
        <f>'Expenditures 15-22'!E50</f>
        <v>6948</v>
      </c>
      <c r="D849" s="2" t="str">
        <f t="shared" si="12"/>
        <v>Error?</v>
      </c>
    </row>
    <row r="850" spans="1:4" x14ac:dyDescent="0.2">
      <c r="A850" s="5">
        <v>789</v>
      </c>
      <c r="B850" s="1832">
        <f>'Expenditures 15-22'!E53</f>
        <v>22135</v>
      </c>
      <c r="C850" s="2" t="s">
        <v>569</v>
      </c>
      <c r="D850" s="2" t="str">
        <f t="shared" si="12"/>
        <v>Error?</v>
      </c>
    </row>
    <row r="851" spans="1:4" x14ac:dyDescent="0.2">
      <c r="A851" s="5">
        <v>790</v>
      </c>
      <c r="B851" s="1832">
        <f>'Expenditures 15-22'!E55</f>
        <v>385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385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136867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355884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160944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8259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169795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2124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113</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2237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12600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12600</v>
      </c>
      <c r="C905" s="2" t="s">
        <v>569</v>
      </c>
      <c r="D905" s="2" t="str">
        <f t="shared" si="13"/>
        <v>Error?</v>
      </c>
    </row>
    <row r="906" spans="1:4" x14ac:dyDescent="0.2">
      <c r="A906" s="5">
        <v>845</v>
      </c>
      <c r="B906" s="1832">
        <f>'Expenditures 15-22'!F49</f>
        <v>105</v>
      </c>
      <c r="D906" s="2" t="str">
        <f t="shared" si="13"/>
        <v>Error?</v>
      </c>
    </row>
    <row r="907" spans="1:4" x14ac:dyDescent="0.2">
      <c r="A907" s="5">
        <v>846</v>
      </c>
      <c r="B907" s="1832">
        <f>'Expenditures 15-22'!F50</f>
        <v>231</v>
      </c>
      <c r="D907" s="2" t="str">
        <f t="shared" si="13"/>
        <v>Error?</v>
      </c>
    </row>
    <row r="908" spans="1:4" x14ac:dyDescent="0.2">
      <c r="A908" s="5">
        <v>847</v>
      </c>
      <c r="B908" s="1832">
        <f>'Expenditures 15-22'!F53</f>
        <v>336</v>
      </c>
      <c r="C908" s="2" t="s">
        <v>569</v>
      </c>
      <c r="D908" s="2" t="str">
        <f t="shared" si="13"/>
        <v>Error?</v>
      </c>
    </row>
    <row r="909" spans="1:4" x14ac:dyDescent="0.2">
      <c r="A909" s="5">
        <v>848</v>
      </c>
      <c r="B909" s="1832">
        <f>'Expenditures 15-22'!F55</f>
        <v>343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343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2116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128712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130828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9108</v>
      </c>
      <c r="D925" s="2" t="str">
        <f t="shared" si="13"/>
        <v>Error?</v>
      </c>
    </row>
    <row r="926" spans="1:4" x14ac:dyDescent="0.2">
      <c r="A926" s="10">
        <v>865</v>
      </c>
      <c r="B926" s="1832"/>
      <c r="D926" s="2" t="str">
        <f t="shared" si="13"/>
        <v>OK</v>
      </c>
    </row>
    <row r="927" spans="1:4" x14ac:dyDescent="0.2">
      <c r="A927" s="5">
        <v>866</v>
      </c>
      <c r="B927" s="1832">
        <f>'Expenditures 15-22'!F72</f>
        <v>9108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155452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325247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24970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270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25958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25958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482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3130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3612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10820</v>
      </c>
      <c r="D1016" s="2" t="str">
        <f t="shared" si="14"/>
        <v>Error?</v>
      </c>
    </row>
    <row r="1017" spans="1:4" x14ac:dyDescent="0.2">
      <c r="A1017" s="5">
        <v>956</v>
      </c>
      <c r="B1017" s="1832">
        <f>'Expenditures 15-22'!H42</f>
        <v>10820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14386</v>
      </c>
      <c r="D1022" s="2" t="str">
        <f t="shared" si="14"/>
        <v>Error?</v>
      </c>
    </row>
    <row r="1023" spans="1:4" x14ac:dyDescent="0.2">
      <c r="A1023" s="5">
        <v>962</v>
      </c>
      <c r="B1023" s="1832">
        <f>'Expenditures 15-22'!H50</f>
        <v>2060</v>
      </c>
      <c r="D1023" s="2" t="str">
        <f t="shared" ref="D1023:D1086" si="15">IF(ISBLANK(B1023),"OK",IF(A1023-B1023=0,"OK","Error?"))</f>
        <v>Error?</v>
      </c>
    </row>
    <row r="1024" spans="1:4" x14ac:dyDescent="0.2">
      <c r="A1024" s="5">
        <v>963</v>
      </c>
      <c r="B1024" s="1832">
        <f>'Expenditures 15-22'!H53</f>
        <v>16446</v>
      </c>
      <c r="C1024" s="2" t="s">
        <v>569</v>
      </c>
      <c r="D1024" s="2" t="str">
        <f t="shared" si="15"/>
        <v>Error?</v>
      </c>
    </row>
    <row r="1025" spans="1:4" x14ac:dyDescent="0.2">
      <c r="A1025" s="5">
        <v>964</v>
      </c>
      <c r="B1025" s="1832">
        <f>'Expenditures 15-22'!H55</f>
        <v>749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749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1487</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1487</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29502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5475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39389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3419524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88986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4117289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50014</v>
      </c>
      <c r="C1111" s="2" t="s">
        <v>569</v>
      </c>
      <c r="D1111" s="2" t="str">
        <f t="shared" si="16"/>
        <v>Error?</v>
      </c>
    </row>
    <row r="1112" spans="1:4" x14ac:dyDescent="0.2">
      <c r="A1112" s="5">
        <v>1051</v>
      </c>
      <c r="B1112" s="1832">
        <f>'Expenditures 15-22'!K39</f>
        <v>85959</v>
      </c>
      <c r="C1112" s="2" t="s">
        <v>569</v>
      </c>
      <c r="D1112" s="2" t="str">
        <f t="shared" si="16"/>
        <v>Error?</v>
      </c>
    </row>
    <row r="1113" spans="1:4" x14ac:dyDescent="0.2">
      <c r="A1113" s="5">
        <v>1052</v>
      </c>
      <c r="B1113" s="1832">
        <f>'Expenditures 15-22'!K40</f>
        <v>148859</v>
      </c>
      <c r="C1113" s="2" t="s">
        <v>569</v>
      </c>
      <c r="D1113" s="2" t="str">
        <f t="shared" si="16"/>
        <v>Error?</v>
      </c>
    </row>
    <row r="1114" spans="1:4" x14ac:dyDescent="0.2">
      <c r="A1114" s="5">
        <v>1053</v>
      </c>
      <c r="B1114" s="1832">
        <f>'Expenditures 15-22'!K41</f>
        <v>24018</v>
      </c>
      <c r="C1114" s="2" t="s">
        <v>569</v>
      </c>
      <c r="D1114" s="2" t="str">
        <f t="shared" si="16"/>
        <v>Error?</v>
      </c>
    </row>
    <row r="1115" spans="1:4" x14ac:dyDescent="0.2">
      <c r="A1115" s="5">
        <v>1054</v>
      </c>
      <c r="B1115" s="1832">
        <f>'Expenditures 15-22'!K42</f>
        <v>308850</v>
      </c>
      <c r="C1115" s="2" t="s">
        <v>569</v>
      </c>
      <c r="D1115" s="2" t="str">
        <f t="shared" si="16"/>
        <v>Error?</v>
      </c>
    </row>
    <row r="1116" spans="1:4" x14ac:dyDescent="0.2">
      <c r="A1116" s="5">
        <v>1055</v>
      </c>
      <c r="B1116" s="1832">
        <f>'Expenditures 15-22'!K44</f>
        <v>133914</v>
      </c>
      <c r="C1116" s="2" t="s">
        <v>569</v>
      </c>
      <c r="D1116" s="2" t="str">
        <f t="shared" si="16"/>
        <v>Error?</v>
      </c>
    </row>
    <row r="1117" spans="1:4" x14ac:dyDescent="0.2">
      <c r="A1117" s="5">
        <v>1056</v>
      </c>
      <c r="B1117" s="1832">
        <f>'Expenditures 15-22'!K45</f>
        <v>71740</v>
      </c>
      <c r="C1117" s="2" t="s">
        <v>569</v>
      </c>
      <c r="D1117" s="2" t="str">
        <f t="shared" si="16"/>
        <v>Error?</v>
      </c>
    </row>
    <row r="1118" spans="1:4" x14ac:dyDescent="0.2">
      <c r="A1118" s="5">
        <v>1057</v>
      </c>
      <c r="B1118" s="1832">
        <f>'Expenditures 15-22'!K46</f>
        <v>6892</v>
      </c>
      <c r="C1118" s="2" t="s">
        <v>569</v>
      </c>
      <c r="D1118" s="2" t="str">
        <f t="shared" si="16"/>
        <v>Error?</v>
      </c>
    </row>
    <row r="1119" spans="1:4" x14ac:dyDescent="0.2">
      <c r="A1119" s="5">
        <v>1058</v>
      </c>
      <c r="B1119" s="1832">
        <f>'Expenditures 15-22'!K47</f>
        <v>212546</v>
      </c>
      <c r="C1119" s="2" t="s">
        <v>569</v>
      </c>
      <c r="D1119" s="2" t="str">
        <f t="shared" si="16"/>
        <v>Error?</v>
      </c>
    </row>
    <row r="1120" spans="1:4" x14ac:dyDescent="0.2">
      <c r="A1120" s="5">
        <v>1059</v>
      </c>
      <c r="B1120" s="1832">
        <f>'Expenditures 15-22'!K49</f>
        <v>31058</v>
      </c>
      <c r="C1120" s="2" t="s">
        <v>569</v>
      </c>
      <c r="D1120" s="2" t="str">
        <f t="shared" si="16"/>
        <v>Error?</v>
      </c>
    </row>
    <row r="1121" spans="1:4" x14ac:dyDescent="0.2">
      <c r="A1121" s="5">
        <v>1060</v>
      </c>
      <c r="B1121" s="1832">
        <f>'Expenditures 15-22'!K50</f>
        <v>226316</v>
      </c>
      <c r="C1121" s="2" t="s">
        <v>569</v>
      </c>
      <c r="D1121" s="2" t="str">
        <f t="shared" si="16"/>
        <v>Error?</v>
      </c>
    </row>
    <row r="1122" spans="1:4" x14ac:dyDescent="0.2">
      <c r="A1122" s="5">
        <v>1061</v>
      </c>
      <c r="B1122" s="1832">
        <f>'Expenditures 15-22'!K53</f>
        <v>257374</v>
      </c>
      <c r="C1122" s="2" t="s">
        <v>569</v>
      </c>
      <c r="D1122" s="2" t="str">
        <f t="shared" si="16"/>
        <v>Error?</v>
      </c>
    </row>
    <row r="1123" spans="1:4" x14ac:dyDescent="0.2">
      <c r="A1123" s="5">
        <v>1062</v>
      </c>
      <c r="B1123" s="1832">
        <f>'Expenditures 15-22'!K55</f>
        <v>398644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398644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54097</v>
      </c>
      <c r="C1127" s="2" t="s">
        <v>569</v>
      </c>
      <c r="D1127" s="2" t="str">
        <f t="shared" si="16"/>
        <v>Error?</v>
      </c>
    </row>
    <row r="1128" spans="1:4" x14ac:dyDescent="0.2">
      <c r="A1128" s="5">
        <v>1067</v>
      </c>
      <c r="B1128" s="1832">
        <f>'Expenditures 15-22'!K61</f>
        <v>172053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259627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485777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63348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63348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1726539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174196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6018824</v>
      </c>
      <c r="C1152" s="2" t="s">
        <v>569</v>
      </c>
      <c r="D1152" s="2" t="str">
        <f t="shared" si="17"/>
        <v>Error?</v>
      </c>
    </row>
    <row r="1153" spans="1:4" x14ac:dyDescent="0.2">
      <c r="A1153" s="5">
        <v>1092</v>
      </c>
      <c r="B1153" s="1832">
        <f>'Expenditures 15-22'!K115</f>
        <v>-539873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27710</v>
      </c>
      <c r="D1221" s="2" t="str">
        <f t="shared" si="18"/>
        <v>Error?</v>
      </c>
    </row>
    <row r="1222" spans="1:4" x14ac:dyDescent="0.2">
      <c r="A1222" s="10">
        <v>1161</v>
      </c>
      <c r="B1222" s="1832"/>
      <c r="D1222" s="2" t="str">
        <f t="shared" si="18"/>
        <v>OK</v>
      </c>
    </row>
    <row r="1223" spans="1:4" x14ac:dyDescent="0.2">
      <c r="A1223" s="5">
        <v>1162</v>
      </c>
      <c r="B1223" s="1832">
        <f>'Expenditures 15-22'!C127</f>
        <v>27710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27710</v>
      </c>
      <c r="C1225" s="2" t="s">
        <v>569</v>
      </c>
      <c r="D1225" s="2" t="str">
        <f t="shared" si="18"/>
        <v>Error?</v>
      </c>
    </row>
    <row r="1226" spans="1:4" x14ac:dyDescent="0.2">
      <c r="A1226" s="5">
        <v>1165</v>
      </c>
      <c r="B1226" s="1832">
        <f>'Expenditures 15-22'!C151</f>
        <v>27710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39431</v>
      </c>
      <c r="D1229" s="2" t="str">
        <f t="shared" si="18"/>
        <v>Error?</v>
      </c>
    </row>
    <row r="1230" spans="1:4" x14ac:dyDescent="0.2">
      <c r="A1230" s="10">
        <v>1169</v>
      </c>
      <c r="B1230" s="1832"/>
      <c r="D1230" s="2" t="str">
        <f t="shared" si="18"/>
        <v>OK</v>
      </c>
    </row>
    <row r="1231" spans="1:4" x14ac:dyDescent="0.2">
      <c r="A1231" s="5">
        <v>1170</v>
      </c>
      <c r="B1231" s="1832">
        <f>'Expenditures 15-22'!D127</f>
        <v>39431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39431</v>
      </c>
      <c r="C1233" s="2" t="s">
        <v>569</v>
      </c>
      <c r="D1233" s="2" t="str">
        <f t="shared" si="18"/>
        <v>Error?</v>
      </c>
    </row>
    <row r="1234" spans="1:4" x14ac:dyDescent="0.2">
      <c r="A1234" s="5">
        <v>1173</v>
      </c>
      <c r="B1234" s="1832">
        <f>'Expenditures 15-22'!D151</f>
        <v>39431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213617</v>
      </c>
      <c r="D1237" s="2" t="str">
        <f t="shared" si="18"/>
        <v>Error?</v>
      </c>
    </row>
    <row r="1238" spans="1:4" x14ac:dyDescent="0.2">
      <c r="A1238" s="10">
        <v>1177</v>
      </c>
      <c r="B1238" s="1832"/>
      <c r="D1238" s="2" t="str">
        <f t="shared" si="18"/>
        <v>OK</v>
      </c>
    </row>
    <row r="1239" spans="1:4" x14ac:dyDescent="0.2">
      <c r="A1239" s="5">
        <v>1178</v>
      </c>
      <c r="B1239" s="1832">
        <f>'Expenditures 15-22'!E127</f>
        <v>213617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213617</v>
      </c>
      <c r="C1241" s="2" t="s">
        <v>569</v>
      </c>
      <c r="D1241" s="2" t="str">
        <f t="shared" si="18"/>
        <v>Error?</v>
      </c>
    </row>
    <row r="1242" spans="1:4" x14ac:dyDescent="0.2">
      <c r="A1242" s="5">
        <v>1181</v>
      </c>
      <c r="B1242" s="1832">
        <f>'Expenditures 15-22'!E151</f>
        <v>213617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209034</v>
      </c>
      <c r="D1245" s="2" t="str">
        <f t="shared" si="18"/>
        <v>Error?</v>
      </c>
    </row>
    <row r="1246" spans="1:4" x14ac:dyDescent="0.2">
      <c r="A1246" s="10">
        <v>1185</v>
      </c>
      <c r="B1246" s="1832"/>
      <c r="D1246" s="2" t="str">
        <f t="shared" si="18"/>
        <v>OK</v>
      </c>
    </row>
    <row r="1247" spans="1:4" x14ac:dyDescent="0.2">
      <c r="A1247" s="5">
        <v>1186</v>
      </c>
      <c r="B1247" s="1832">
        <f>'Expenditures 15-22'!F127</f>
        <v>209034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209034</v>
      </c>
      <c r="C1249" s="2" t="s">
        <v>569</v>
      </c>
      <c r="D1249" s="2" t="str">
        <f t="shared" si="18"/>
        <v>Error?</v>
      </c>
    </row>
    <row r="1250" spans="1:4" x14ac:dyDescent="0.2">
      <c r="A1250" s="5">
        <v>1189</v>
      </c>
      <c r="B1250" s="1832">
        <f>'Expenditures 15-22'!F151</f>
        <v>209034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524665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524665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524665</v>
      </c>
      <c r="C1258" s="2" t="s">
        <v>569</v>
      </c>
      <c r="D1258" s="2" t="str">
        <f t="shared" si="18"/>
        <v>Error?</v>
      </c>
    </row>
    <row r="1259" spans="1:4" x14ac:dyDescent="0.2">
      <c r="A1259" s="5">
        <v>1198</v>
      </c>
      <c r="B1259" s="1832">
        <f>'Expenditures 15-22'!G151</f>
        <v>524665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129</v>
      </c>
      <c r="D1262" s="2" t="str">
        <f t="shared" si="18"/>
        <v>Error?</v>
      </c>
    </row>
    <row r="1263" spans="1:4" x14ac:dyDescent="0.2">
      <c r="A1263" s="10">
        <v>1202</v>
      </c>
      <c r="B1263" s="1832"/>
      <c r="D1263" s="2" t="str">
        <f t="shared" si="18"/>
        <v>OK</v>
      </c>
    </row>
    <row r="1264" spans="1:4" x14ac:dyDescent="0.2">
      <c r="A1264" s="5">
        <v>1203</v>
      </c>
      <c r="B1264" s="1832">
        <f>'Expenditures 15-22'!H127</f>
        <v>129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129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129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1014586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1014586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1014586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1014586</v>
      </c>
      <c r="C1288" s="2" t="s">
        <v>569</v>
      </c>
      <c r="D1288" s="2" t="str">
        <f t="shared" si="19"/>
        <v>Error?</v>
      </c>
    </row>
    <row r="1289" spans="1:4" x14ac:dyDescent="0.2">
      <c r="A1289" s="5">
        <v>1228</v>
      </c>
      <c r="B1289" s="1832">
        <f>'Expenditures 15-22'!K152</f>
        <v>-569454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164592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831789</v>
      </c>
      <c r="D1315" s="2" t="str">
        <f t="shared" si="19"/>
        <v>Error?</v>
      </c>
    </row>
    <row r="1316" spans="1:4" x14ac:dyDescent="0.2">
      <c r="A1316" s="5">
        <v>1255</v>
      </c>
      <c r="B1316" s="1832">
        <f>'Expenditures 15-22'!H171</f>
        <v>2250</v>
      </c>
      <c r="D1316" s="2" t="str">
        <f t="shared" si="19"/>
        <v>Error?</v>
      </c>
    </row>
    <row r="1317" spans="1:4" x14ac:dyDescent="0.2">
      <c r="A1317" s="5">
        <v>1256</v>
      </c>
      <c r="B1317" s="1832">
        <f>'Expenditures 15-22'!H172</f>
        <v>998631</v>
      </c>
      <c r="C1317" s="2" t="s">
        <v>569</v>
      </c>
      <c r="D1317" s="2" t="str">
        <f t="shared" si="19"/>
        <v>Error?</v>
      </c>
    </row>
    <row r="1318" spans="1:4" x14ac:dyDescent="0.2">
      <c r="A1318" s="5">
        <v>1257</v>
      </c>
      <c r="B1318" s="1832">
        <f>'Expenditures 15-22'!H174</f>
        <v>998631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164592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831789</v>
      </c>
      <c r="C1329" s="2" t="s">
        <v>569</v>
      </c>
      <c r="D1329" s="2" t="str">
        <f t="shared" si="19"/>
        <v>Error?</v>
      </c>
    </row>
    <row r="1330" spans="1:4" x14ac:dyDescent="0.2">
      <c r="A1330" s="5">
        <v>1269</v>
      </c>
      <c r="B1330" s="1832">
        <f>'Expenditures 15-22'!K171</f>
        <v>2250</v>
      </c>
      <c r="C1330" s="2" t="s">
        <v>569</v>
      </c>
      <c r="D1330" s="2" t="str">
        <f t="shared" si="19"/>
        <v>Error?</v>
      </c>
    </row>
    <row r="1331" spans="1:4" x14ac:dyDescent="0.2">
      <c r="A1331" s="5">
        <v>1270</v>
      </c>
      <c r="B1331" s="1832">
        <f>'Expenditures 15-22'!K172</f>
        <v>998631</v>
      </c>
      <c r="C1331" s="2" t="s">
        <v>569</v>
      </c>
      <c r="D1331" s="2" t="str">
        <f t="shared" si="19"/>
        <v>Error?</v>
      </c>
    </row>
    <row r="1332" spans="1:4" x14ac:dyDescent="0.2">
      <c r="A1332" s="5">
        <v>1271</v>
      </c>
      <c r="B1332" s="1832">
        <f>'Expenditures 15-22'!K174</f>
        <v>998631</v>
      </c>
      <c r="C1332" s="2" t="s">
        <v>569</v>
      </c>
      <c r="D1332" s="2" t="str">
        <f t="shared" si="19"/>
        <v>Error?</v>
      </c>
    </row>
    <row r="1333" spans="1:4" x14ac:dyDescent="0.2">
      <c r="A1333" s="5">
        <v>1272</v>
      </c>
      <c r="B1333" s="1832">
        <f>'Expenditures 15-22'!K175</f>
        <v>-31464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137346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137346</v>
      </c>
      <c r="C1339" s="2" t="s">
        <v>569</v>
      </c>
      <c r="D1339" s="2" t="str">
        <f t="shared" si="19"/>
        <v>Error?</v>
      </c>
    </row>
    <row r="1340" spans="1:4" x14ac:dyDescent="0.2">
      <c r="A1340" s="5">
        <v>1279</v>
      </c>
      <c r="B1340" s="1832">
        <f>'Expenditures 15-22'!C210</f>
        <v>137346</v>
      </c>
      <c r="C1340" s="2" t="s">
        <v>569</v>
      </c>
      <c r="D1340" s="2" t="str">
        <f t="shared" si="19"/>
        <v>Error?</v>
      </c>
    </row>
    <row r="1341" spans="1:4" x14ac:dyDescent="0.2">
      <c r="A1341" s="5">
        <v>1280</v>
      </c>
      <c r="B1341" s="1832">
        <f>'Expenditures 15-22'!D182</f>
        <v>8885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8885</v>
      </c>
      <c r="C1345" s="2" t="s">
        <v>569</v>
      </c>
      <c r="D1345" s="2" t="str">
        <f t="shared" si="20"/>
        <v>Error?</v>
      </c>
    </row>
    <row r="1346" spans="1:4" x14ac:dyDescent="0.2">
      <c r="A1346" s="5">
        <v>1285</v>
      </c>
      <c r="B1346" s="1832">
        <f>'Expenditures 15-22'!D210</f>
        <v>8885</v>
      </c>
      <c r="C1346" s="2" t="s">
        <v>569</v>
      </c>
      <c r="D1346" s="2" t="str">
        <f t="shared" si="20"/>
        <v>Error?</v>
      </c>
    </row>
    <row r="1347" spans="1:4" x14ac:dyDescent="0.2">
      <c r="A1347" s="5">
        <v>1286</v>
      </c>
      <c r="B1347" s="1832">
        <f>'Expenditures 15-22'!E182</f>
        <v>35679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35679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35679</v>
      </c>
      <c r="C1353" s="2" t="s">
        <v>569</v>
      </c>
      <c r="D1353" s="2" t="str">
        <f t="shared" si="20"/>
        <v>Error?</v>
      </c>
    </row>
    <row r="1354" spans="1:4" x14ac:dyDescent="0.2">
      <c r="A1354" s="5">
        <v>1293</v>
      </c>
      <c r="B1354" s="1832">
        <f>'Expenditures 15-22'!F182</f>
        <v>19707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19707</v>
      </c>
      <c r="C1358" s="2" t="s">
        <v>569</v>
      </c>
      <c r="D1358" s="2" t="str">
        <f t="shared" si="20"/>
        <v>Error?</v>
      </c>
    </row>
    <row r="1359" spans="1:4" x14ac:dyDescent="0.2">
      <c r="A1359" s="5">
        <v>1298</v>
      </c>
      <c r="B1359" s="1832">
        <f>'Expenditures 15-22'!F210</f>
        <v>19707</v>
      </c>
      <c r="C1359" s="2" t="s">
        <v>569</v>
      </c>
      <c r="D1359" s="2" t="str">
        <f t="shared" si="20"/>
        <v>Error?</v>
      </c>
    </row>
    <row r="1360" spans="1:4" x14ac:dyDescent="0.2">
      <c r="A1360" s="5">
        <v>1299</v>
      </c>
      <c r="B1360" s="1832">
        <f>'Expenditures 15-22'!G182</f>
        <v>61865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61865</v>
      </c>
      <c r="C1364" s="2" t="s">
        <v>569</v>
      </c>
      <c r="D1364" s="2" t="str">
        <f t="shared" si="20"/>
        <v>Error?</v>
      </c>
    </row>
    <row r="1365" spans="1:4" x14ac:dyDescent="0.2">
      <c r="A1365" s="5">
        <v>1304</v>
      </c>
      <c r="B1365" s="1832">
        <f>'Expenditures 15-22'!G210</f>
        <v>61865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71047</v>
      </c>
      <c r="C1375" s="2" t="s">
        <v>569</v>
      </c>
      <c r="D1375" s="2" t="str">
        <f t="shared" si="20"/>
        <v>Error?</v>
      </c>
    </row>
    <row r="1376" spans="1:4" x14ac:dyDescent="0.2">
      <c r="A1376" s="5">
        <v>1315</v>
      </c>
      <c r="B1376" s="1832">
        <f>'Expenditures 15-22'!H210</f>
        <v>71047</v>
      </c>
      <c r="C1376" s="2" t="s">
        <v>569</v>
      </c>
      <c r="D1376" s="2" t="str">
        <f t="shared" si="20"/>
        <v>Error?</v>
      </c>
    </row>
    <row r="1377" spans="1:4" x14ac:dyDescent="0.2">
      <c r="A1377" s="5">
        <v>1316</v>
      </c>
      <c r="B1377" s="1832">
        <f>'Expenditures 15-22'!K182</f>
        <v>263482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263482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71047</v>
      </c>
      <c r="C1387" s="2" t="s">
        <v>569</v>
      </c>
      <c r="D1387" s="2" t="str">
        <f t="shared" si="20"/>
        <v>Error?</v>
      </c>
    </row>
    <row r="1388" spans="1:4" x14ac:dyDescent="0.2">
      <c r="A1388" s="5">
        <v>1327</v>
      </c>
      <c r="B1388" s="1832">
        <f>'Expenditures 15-22'!K210</f>
        <v>334529</v>
      </c>
      <c r="C1388" s="2" t="s">
        <v>569</v>
      </c>
      <c r="D1388" s="2" t="str">
        <f t="shared" si="20"/>
        <v>Error?</v>
      </c>
    </row>
    <row r="1389" spans="1:4" x14ac:dyDescent="0.2">
      <c r="A1389" s="5">
        <v>1328</v>
      </c>
      <c r="B1389" s="1832">
        <f>'Expenditures 15-22'!K211</f>
        <v>59496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3266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70359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6960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1609</v>
      </c>
      <c r="D1415" s="2" t="str">
        <f t="shared" si="21"/>
        <v>Error?</v>
      </c>
    </row>
    <row r="1416" spans="1:4" x14ac:dyDescent="0.2">
      <c r="A1416" s="5">
        <v>1355</v>
      </c>
      <c r="B1416" s="1832">
        <f>'Expenditures 15-22'!D237</f>
        <v>311</v>
      </c>
      <c r="D1416" s="2" t="str">
        <f t="shared" si="21"/>
        <v>Error?</v>
      </c>
    </row>
    <row r="1417" spans="1:4" x14ac:dyDescent="0.2">
      <c r="A1417" s="5">
        <v>1356</v>
      </c>
      <c r="B1417" s="1832">
        <f>'Expenditures 15-22'!D238</f>
        <v>8880</v>
      </c>
      <c r="C1417" s="2" t="s">
        <v>569</v>
      </c>
      <c r="D1417" s="2" t="str">
        <f t="shared" si="21"/>
        <v>Error?</v>
      </c>
    </row>
    <row r="1418" spans="1:4" x14ac:dyDescent="0.2">
      <c r="A1418" s="5">
        <v>1357</v>
      </c>
      <c r="B1418" s="1832">
        <f>'Expenditures 15-22'!D240</f>
        <v>1369</v>
      </c>
      <c r="D1418" s="2" t="str">
        <f t="shared" si="21"/>
        <v>Error?</v>
      </c>
    </row>
    <row r="1419" spans="1:4" x14ac:dyDescent="0.2">
      <c r="A1419" s="5">
        <v>1358</v>
      </c>
      <c r="B1419" s="1832">
        <f>'Expenditures 15-22'!D241</f>
        <v>2212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3581</v>
      </c>
      <c r="C1421" s="2" t="s">
        <v>569</v>
      </c>
      <c r="D1421" s="2" t="str">
        <f t="shared" si="21"/>
        <v>Error?</v>
      </c>
    </row>
    <row r="1422" spans="1:4" x14ac:dyDescent="0.2">
      <c r="A1422" s="5">
        <v>1361</v>
      </c>
      <c r="B1422" s="1832">
        <f>'Expenditures 15-22'!D245</f>
        <v>165</v>
      </c>
      <c r="D1422" s="2" t="str">
        <f t="shared" si="21"/>
        <v>Error?</v>
      </c>
    </row>
    <row r="1423" spans="1:4" x14ac:dyDescent="0.2">
      <c r="A1423" s="5">
        <v>1362</v>
      </c>
      <c r="B1423" s="1832">
        <f>'Expenditures 15-22'!D246</f>
        <v>2527</v>
      </c>
      <c r="D1423" s="2" t="str">
        <f t="shared" si="21"/>
        <v>Error?</v>
      </c>
    </row>
    <row r="1424" spans="1:4" x14ac:dyDescent="0.2">
      <c r="A1424" s="5">
        <v>1363</v>
      </c>
      <c r="B1424" s="1832">
        <f>'Expenditures 15-22'!D257</f>
        <v>2692</v>
      </c>
      <c r="C1424" s="2" t="s">
        <v>569</v>
      </c>
      <c r="D1424" s="2" t="str">
        <f t="shared" si="21"/>
        <v>Error?</v>
      </c>
    </row>
    <row r="1425" spans="1:4" x14ac:dyDescent="0.2">
      <c r="A1425" s="5">
        <v>1364</v>
      </c>
      <c r="B1425" s="1832">
        <f>'Expenditures 15-22'!D259</f>
        <v>21566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21566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7624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31037</v>
      </c>
      <c r="D1431" s="2" t="str">
        <f t="shared" si="21"/>
        <v>Error?</v>
      </c>
    </row>
    <row r="1432" spans="1:4" x14ac:dyDescent="0.2">
      <c r="A1432" s="5">
        <v>1371</v>
      </c>
      <c r="B1432" s="1832">
        <f>'Expenditures 15-22'!D267</f>
        <v>14388</v>
      </c>
      <c r="D1432" s="2" t="str">
        <f t="shared" si="21"/>
        <v>Error?</v>
      </c>
    </row>
    <row r="1433" spans="1:4" x14ac:dyDescent="0.2">
      <c r="A1433" s="5">
        <v>1372</v>
      </c>
      <c r="B1433" s="1832">
        <f>'Expenditures 15-22'!D268</f>
        <v>16249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69298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6031</v>
      </c>
      <c r="D1442" s="2" t="str">
        <f t="shared" si="21"/>
        <v>Error?</v>
      </c>
    </row>
    <row r="1443" spans="1:4" x14ac:dyDescent="0.2">
      <c r="A1443" s="10">
        <v>1382</v>
      </c>
      <c r="B1443" s="1832"/>
      <c r="D1443" s="2" t="str">
        <f t="shared" si="21"/>
        <v>OK</v>
      </c>
    </row>
    <row r="1444" spans="1:4" x14ac:dyDescent="0.2">
      <c r="A1444" s="5">
        <v>1383</v>
      </c>
      <c r="B1444" s="1832">
        <f>'Expenditures 15-22'!D277</f>
        <v>6031</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112048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182407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3266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70359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6960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1609</v>
      </c>
      <c r="C1479" s="2" t="s">
        <v>569</v>
      </c>
      <c r="D1479" s="2" t="str">
        <f t="shared" si="22"/>
        <v>Error?</v>
      </c>
    </row>
    <row r="1480" spans="1:4" x14ac:dyDescent="0.2">
      <c r="A1480" s="5">
        <v>1419</v>
      </c>
      <c r="B1480" s="1832">
        <f>'Expenditures 15-22'!K237</f>
        <v>311</v>
      </c>
      <c r="C1480" s="2" t="s">
        <v>569</v>
      </c>
      <c r="D1480" s="2" t="str">
        <f t="shared" si="22"/>
        <v>Error?</v>
      </c>
    </row>
    <row r="1481" spans="1:4" x14ac:dyDescent="0.2">
      <c r="A1481" s="5">
        <v>1420</v>
      </c>
      <c r="B1481" s="1832">
        <f>'Expenditures 15-22'!K238</f>
        <v>8880</v>
      </c>
      <c r="C1481" s="2" t="s">
        <v>569</v>
      </c>
      <c r="D1481" s="2" t="str">
        <f t="shared" si="22"/>
        <v>Error?</v>
      </c>
    </row>
    <row r="1482" spans="1:4" x14ac:dyDescent="0.2">
      <c r="A1482" s="5">
        <v>1421</v>
      </c>
      <c r="B1482" s="1832">
        <f>'Expenditures 15-22'!K240</f>
        <v>1369</v>
      </c>
      <c r="C1482" s="2" t="s">
        <v>569</v>
      </c>
      <c r="D1482" s="2" t="str">
        <f t="shared" si="22"/>
        <v>Error?</v>
      </c>
    </row>
    <row r="1483" spans="1:4" x14ac:dyDescent="0.2">
      <c r="A1483" s="5">
        <v>1422</v>
      </c>
      <c r="B1483" s="1832">
        <f>'Expenditures 15-22'!K241</f>
        <v>2212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3581</v>
      </c>
      <c r="C1485" s="2" t="s">
        <v>569</v>
      </c>
      <c r="D1485" s="2" t="str">
        <f t="shared" si="22"/>
        <v>Error?</v>
      </c>
    </row>
    <row r="1486" spans="1:4" x14ac:dyDescent="0.2">
      <c r="A1486" s="5">
        <v>1425</v>
      </c>
      <c r="B1486" s="1832">
        <f>'Expenditures 15-22'!K245</f>
        <v>165</v>
      </c>
      <c r="C1486" s="2" t="s">
        <v>569</v>
      </c>
      <c r="D1486" s="2" t="str">
        <f t="shared" si="22"/>
        <v>Error?</v>
      </c>
    </row>
    <row r="1487" spans="1:4" x14ac:dyDescent="0.2">
      <c r="A1487" s="5">
        <v>1426</v>
      </c>
      <c r="B1487" s="1832">
        <f>'Expenditures 15-22'!K246</f>
        <v>2527</v>
      </c>
      <c r="C1487" s="2" t="s">
        <v>569</v>
      </c>
      <c r="D1487" s="2" t="str">
        <f t="shared" si="22"/>
        <v>Error?</v>
      </c>
    </row>
    <row r="1488" spans="1:4" x14ac:dyDescent="0.2">
      <c r="A1488" s="5">
        <v>1427</v>
      </c>
      <c r="B1488" s="1832">
        <f>'Expenditures 15-22'!K257</f>
        <v>2692</v>
      </c>
      <c r="C1488" s="2" t="s">
        <v>569</v>
      </c>
      <c r="D1488" s="2" t="str">
        <f t="shared" si="22"/>
        <v>Error?</v>
      </c>
    </row>
    <row r="1489" spans="1:4" x14ac:dyDescent="0.2">
      <c r="A1489" s="5">
        <v>1428</v>
      </c>
      <c r="B1489" s="1832">
        <f>'Expenditures 15-22'!K259</f>
        <v>21566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21566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7624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31037</v>
      </c>
      <c r="C1495" s="2" t="s">
        <v>569</v>
      </c>
      <c r="D1495" s="2" t="str">
        <f t="shared" si="22"/>
        <v>Error?</v>
      </c>
    </row>
    <row r="1496" spans="1:4" x14ac:dyDescent="0.2">
      <c r="A1496" s="5">
        <v>1435</v>
      </c>
      <c r="B1496" s="1832">
        <f>'Expenditures 15-22'!K267</f>
        <v>14388</v>
      </c>
      <c r="C1496" s="2" t="s">
        <v>569</v>
      </c>
      <c r="D1496" s="2" t="str">
        <f t="shared" si="22"/>
        <v>Error?</v>
      </c>
    </row>
    <row r="1497" spans="1:4" x14ac:dyDescent="0.2">
      <c r="A1497" s="5">
        <v>1436</v>
      </c>
      <c r="B1497" s="1832">
        <f>'Expenditures 15-22'!K268</f>
        <v>16249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69298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6031</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6031</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112048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182407</v>
      </c>
      <c r="C1517" s="2" t="s">
        <v>569</v>
      </c>
      <c r="D1517" s="2" t="str">
        <f t="shared" si="22"/>
        <v>Error?</v>
      </c>
    </row>
    <row r="1518" spans="1:4" x14ac:dyDescent="0.2">
      <c r="A1518" s="5">
        <v>1457</v>
      </c>
      <c r="B1518" s="1832">
        <f>'Expenditures 15-22'!K296</f>
        <v>-14904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38967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38967</v>
      </c>
      <c r="C1535" s="2" t="s">
        <v>569</v>
      </c>
      <c r="D1535" s="2" t="str">
        <f t="shared" ref="D1535:D1598" si="23">IF(ISBLANK(B1535),"OK",IF(A1535-B1535=0,"OK","Error?"))</f>
        <v>Error?</v>
      </c>
    </row>
    <row r="1536" spans="1:4" x14ac:dyDescent="0.2">
      <c r="A1536" s="5">
        <v>1475</v>
      </c>
      <c r="B1536" s="1832">
        <f>'Expenditures 15-22'!E312</f>
        <v>38967</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14490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14490</v>
      </c>
      <c r="C1547" s="2" t="s">
        <v>569</v>
      </c>
      <c r="D1547" s="2" t="str">
        <f t="shared" si="23"/>
        <v>Error?</v>
      </c>
    </row>
    <row r="1548" spans="1:4" x14ac:dyDescent="0.2">
      <c r="A1548" s="5">
        <v>1487</v>
      </c>
      <c r="B1548" s="1832">
        <f>'Expenditures 15-22'!G312</f>
        <v>14490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53457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53457</v>
      </c>
      <c r="C1559" s="2" t="s">
        <v>569</v>
      </c>
      <c r="D1559" s="2" t="str">
        <f t="shared" si="23"/>
        <v>Error?</v>
      </c>
    </row>
    <row r="1560" spans="1:4" x14ac:dyDescent="0.2">
      <c r="A1560" s="5">
        <v>1499</v>
      </c>
      <c r="B1560" s="1832">
        <f>'Expenditures 15-22'!K312</f>
        <v>53457</v>
      </c>
      <c r="C1560" s="2" t="s">
        <v>569</v>
      </c>
      <c r="D1560" s="2" t="str">
        <f t="shared" si="23"/>
        <v>Error?</v>
      </c>
    </row>
    <row r="1561" spans="1:4" x14ac:dyDescent="0.2">
      <c r="A1561" s="5">
        <v>1500</v>
      </c>
      <c r="B1561" s="1832">
        <f>'Expenditures 15-22'!K313</f>
        <v>-3413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1648415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1156753</v>
      </c>
      <c r="C1630" s="2" t="s">
        <v>569</v>
      </c>
      <c r="D1630" s="2" t="str">
        <f t="shared" si="24"/>
        <v>Error?</v>
      </c>
    </row>
    <row r="1631" spans="1:4" x14ac:dyDescent="0.2">
      <c r="A1631" s="5">
        <v>1570</v>
      </c>
      <c r="B1631" s="1832">
        <f>'Acct Summary 7-8'!D79</f>
        <v>402783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298805</v>
      </c>
      <c r="C1644" s="2" t="s">
        <v>569</v>
      </c>
      <c r="D1644" s="2" t="str">
        <f t="shared" si="24"/>
        <v>Error?</v>
      </c>
    </row>
    <row r="1645" spans="1:4" x14ac:dyDescent="0.2">
      <c r="A1645" s="5">
        <v>1584</v>
      </c>
      <c r="B1645" s="1832">
        <f>'Acct Summary 7-8'!E79</f>
        <v>107109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107434</v>
      </c>
      <c r="C1658" s="2" t="s">
        <v>569</v>
      </c>
      <c r="D1658" s="2" t="str">
        <f t="shared" si="24"/>
        <v>Error?</v>
      </c>
    </row>
    <row r="1659" spans="1:4" x14ac:dyDescent="0.2">
      <c r="A1659" s="5">
        <v>1598</v>
      </c>
      <c r="B1659" s="1832">
        <f>'Acct Summary 7-8'!F79</f>
        <v>694955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674451</v>
      </c>
      <c r="C1672" s="2" t="s">
        <v>569</v>
      </c>
      <c r="D1672" s="2" t="str">
        <f t="shared" si="25"/>
        <v>Error?</v>
      </c>
    </row>
    <row r="1673" spans="1:4" x14ac:dyDescent="0.2">
      <c r="A1673" s="5">
        <v>1612</v>
      </c>
      <c r="B1673" s="1832">
        <f>'Acct Summary 7-8'!G79</f>
        <v>117344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102440</v>
      </c>
      <c r="C1686" s="2" t="s">
        <v>569</v>
      </c>
      <c r="D1686" s="2" t="str">
        <f t="shared" si="25"/>
        <v>Error?</v>
      </c>
    </row>
    <row r="1687" spans="1:4" x14ac:dyDescent="0.2">
      <c r="A1687" s="5">
        <v>1626</v>
      </c>
      <c r="B1687" s="1832">
        <f>'Acct Summary 7-8'!H79</f>
        <v>71667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68254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2008462</v>
      </c>
      <c r="C1744" s="2" t="s">
        <v>569</v>
      </c>
      <c r="D1744" s="2" t="str">
        <f t="shared" si="26"/>
        <v>Error?</v>
      </c>
    </row>
    <row r="1745" spans="1:5" x14ac:dyDescent="0.2">
      <c r="A1745" s="5">
        <v>1684</v>
      </c>
      <c r="B1745" s="1832">
        <f>'Tax Sched 23'!B5</f>
        <v>442387</v>
      </c>
      <c r="C1745" s="2" t="s">
        <v>569</v>
      </c>
      <c r="D1745" s="2" t="str">
        <f t="shared" si="26"/>
        <v>Error?</v>
      </c>
    </row>
    <row r="1746" spans="1:5" x14ac:dyDescent="0.2">
      <c r="A1746" s="5">
        <v>1685</v>
      </c>
      <c r="B1746" s="1832">
        <f>'Tax Sched 23'!B6</f>
        <v>349135</v>
      </c>
      <c r="C1746" s="2" t="s">
        <v>569</v>
      </c>
      <c r="D1746" s="2" t="str">
        <f t="shared" si="26"/>
        <v>Error?</v>
      </c>
    </row>
    <row r="1747" spans="1:5" x14ac:dyDescent="0.2">
      <c r="A1747" s="5">
        <v>1686</v>
      </c>
      <c r="B1747" s="1832">
        <f>'Tax Sched 23'!B7</f>
        <v>101765</v>
      </c>
      <c r="C1747" s="2" t="s">
        <v>569</v>
      </c>
      <c r="D1747" s="2" t="str">
        <f t="shared" si="26"/>
        <v>Error?</v>
      </c>
    </row>
    <row r="1748" spans="1:5" x14ac:dyDescent="0.2">
      <c r="A1748" s="5">
        <v>1687</v>
      </c>
      <c r="B1748" s="1832">
        <f>'Tax Sched 23'!B8</f>
        <v>55476</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54100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24676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3173809</v>
      </c>
      <c r="C1759" s="2" t="s">
        <v>569</v>
      </c>
      <c r="D1759" s="2" t="str">
        <f t="shared" si="26"/>
        <v>Error?</v>
      </c>
    </row>
    <row r="1760" spans="1:5" x14ac:dyDescent="0.2">
      <c r="A1760" s="5">
        <v>1699</v>
      </c>
      <c r="B1760" s="1832">
        <f>'Tax Sched 23'!D4</f>
        <v>1699964</v>
      </c>
      <c r="C1760" s="2" t="s">
        <v>569</v>
      </c>
      <c r="D1760" s="2" t="str">
        <f t="shared" si="26"/>
        <v>Error?</v>
      </c>
    </row>
    <row r="1761" spans="1:7" x14ac:dyDescent="0.2">
      <c r="A1761" s="5">
        <v>1700</v>
      </c>
      <c r="B1761" s="1832">
        <f>'Tax Sched 23'!D5</f>
        <v>375479</v>
      </c>
      <c r="C1761" s="2" t="s">
        <v>569</v>
      </c>
      <c r="D1761" s="2" t="str">
        <f t="shared" si="26"/>
        <v>Error?</v>
      </c>
    </row>
    <row r="1762" spans="1:7" s="8" customFormat="1" x14ac:dyDescent="0.2">
      <c r="A1762" s="5">
        <v>1701</v>
      </c>
      <c r="B1762" s="1832">
        <f>'Tax Sched 23'!D6</f>
        <v>275458</v>
      </c>
      <c r="C1762" s="2" t="s">
        <v>569</v>
      </c>
      <c r="D1762" s="2" t="str">
        <f t="shared" si="26"/>
        <v>Error?</v>
      </c>
      <c r="E1762" s="9"/>
      <c r="G1762"/>
    </row>
    <row r="1763" spans="1:7" x14ac:dyDescent="0.2">
      <c r="A1763" s="5">
        <v>1702</v>
      </c>
      <c r="B1763" s="1832">
        <f>'Tax Sched 23'!D7</f>
        <v>89062</v>
      </c>
      <c r="C1763" s="2" t="s">
        <v>569</v>
      </c>
      <c r="D1763" s="2" t="str">
        <f t="shared" si="26"/>
        <v>Error?</v>
      </c>
    </row>
    <row r="1764" spans="1:7" x14ac:dyDescent="0.2">
      <c r="A1764" s="5">
        <v>1703</v>
      </c>
      <c r="B1764" s="1832">
        <f>'Tax Sched 23'!D8</f>
        <v>48217</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46025</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20920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2673080</v>
      </c>
      <c r="C1775" s="2" t="s">
        <v>569</v>
      </c>
      <c r="D1775" s="2" t="str">
        <f t="shared" si="26"/>
        <v>Error?</v>
      </c>
    </row>
    <row r="1776" spans="1:7" x14ac:dyDescent="0.2">
      <c r="A1776" s="5">
        <v>1715</v>
      </c>
      <c r="B1776" s="1832">
        <f>'Tax Sched 23'!C4</f>
        <v>308498</v>
      </c>
      <c r="D1776" s="2" t="str">
        <f t="shared" si="26"/>
        <v>Error?</v>
      </c>
    </row>
    <row r="1777" spans="1:4" x14ac:dyDescent="0.2">
      <c r="A1777" s="5">
        <v>1716</v>
      </c>
      <c r="B1777" s="1832">
        <f>'Tax Sched 23'!C5</f>
        <v>66908</v>
      </c>
      <c r="D1777" s="2" t="str">
        <f t="shared" si="26"/>
        <v>Error?</v>
      </c>
    </row>
    <row r="1778" spans="1:4" x14ac:dyDescent="0.2">
      <c r="A1778" s="5">
        <v>1717</v>
      </c>
      <c r="B1778" s="1832">
        <f>'Tax Sched 23'!C6</f>
        <v>73677</v>
      </c>
      <c r="D1778" s="2" t="str">
        <f t="shared" si="26"/>
        <v>Error?</v>
      </c>
    </row>
    <row r="1779" spans="1:4" x14ac:dyDescent="0.2">
      <c r="A1779" s="5">
        <v>1718</v>
      </c>
      <c r="B1779" s="1832">
        <f>'Tax Sched 23'!C7</f>
        <v>12703</v>
      </c>
      <c r="D1779" s="2" t="str">
        <f t="shared" si="26"/>
        <v>Error?</v>
      </c>
    </row>
    <row r="1780" spans="1:4" x14ac:dyDescent="0.2">
      <c r="A1780" s="5">
        <v>1719</v>
      </c>
      <c r="B1780" s="1832">
        <f>'Tax Sched 23'!C8</f>
        <v>7259</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8075</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3756</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500729</v>
      </c>
      <c r="C1791" s="2" t="s">
        <v>569</v>
      </c>
      <c r="D1791" s="2" t="str">
        <f t="shared" ref="D1791:D1854" si="27">IF(ISBLANK(B1791),"OK",IF(A1791-B1791=0,"OK","Error?"))</f>
        <v>Error?</v>
      </c>
    </row>
    <row r="1792" spans="1:4" x14ac:dyDescent="0.2">
      <c r="A1792" s="5">
        <v>1731</v>
      </c>
      <c r="B1792" s="1832">
        <f>'Tax Sched 23'!F4</f>
        <v>2123647</v>
      </c>
      <c r="C1792" s="2" t="s">
        <v>569</v>
      </c>
      <c r="D1792" s="2" t="str">
        <f t="shared" si="27"/>
        <v>Error?</v>
      </c>
    </row>
    <row r="1793" spans="1:4" x14ac:dyDescent="0.2">
      <c r="A1793" s="5">
        <v>1732</v>
      </c>
      <c r="B1793" s="1832">
        <f>'Tax Sched 23'!F5</f>
        <v>460581</v>
      </c>
      <c r="C1793" s="2" t="s">
        <v>569</v>
      </c>
      <c r="D1793" s="2" t="str">
        <f t="shared" si="27"/>
        <v>Error?</v>
      </c>
    </row>
    <row r="1794" spans="1:4" x14ac:dyDescent="0.2">
      <c r="A1794" s="5">
        <v>1733</v>
      </c>
      <c r="B1794" s="1832">
        <f>'Tax Sched 23'!F6</f>
        <v>507176</v>
      </c>
      <c r="C1794" s="2" t="s">
        <v>569</v>
      </c>
      <c r="D1794" s="2" t="str">
        <f t="shared" si="27"/>
        <v>Error?</v>
      </c>
    </row>
    <row r="1795" spans="1:4" x14ac:dyDescent="0.2">
      <c r="A1795" s="5">
        <v>1734</v>
      </c>
      <c r="B1795" s="1832">
        <f>'Tax Sched 23'!F7</f>
        <v>87444</v>
      </c>
      <c r="C1795" s="2" t="s">
        <v>569</v>
      </c>
      <c r="D1795" s="2" t="str">
        <f t="shared" si="27"/>
        <v>Error?</v>
      </c>
    </row>
    <row r="1796" spans="1:4" x14ac:dyDescent="0.2">
      <c r="A1796" s="5">
        <v>1735</v>
      </c>
      <c r="B1796" s="1832">
        <f>'Tax Sched 23'!F8</f>
        <v>49968</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55590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25859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3446928</v>
      </c>
      <c r="C1807" s="2" t="s">
        <v>569</v>
      </c>
      <c r="D1807" s="2" t="str">
        <f t="shared" si="27"/>
        <v>Error?</v>
      </c>
    </row>
    <row r="1808" spans="1:4" x14ac:dyDescent="0.2">
      <c r="A1808" s="5">
        <v>1747</v>
      </c>
      <c r="B1808" s="1832">
        <f>'Tax Sched 23'!E4</f>
        <v>2432145</v>
      </c>
      <c r="D1808" s="2" t="str">
        <f t="shared" si="27"/>
        <v>Error?</v>
      </c>
    </row>
    <row r="1809" spans="1:4" x14ac:dyDescent="0.2">
      <c r="A1809" s="5">
        <v>1748</v>
      </c>
      <c r="B1809" s="1832">
        <f>'Tax Sched 23'!E5</f>
        <v>527489</v>
      </c>
      <c r="D1809" s="2" t="str">
        <f t="shared" si="27"/>
        <v>Error?</v>
      </c>
    </row>
    <row r="1810" spans="1:4" x14ac:dyDescent="0.2">
      <c r="A1810" s="5">
        <v>1749</v>
      </c>
      <c r="B1810" s="1832">
        <f>'Tax Sched 23'!E6</f>
        <v>580853</v>
      </c>
      <c r="D1810" s="2" t="str">
        <f t="shared" si="27"/>
        <v>Error?</v>
      </c>
    </row>
    <row r="1811" spans="1:4" x14ac:dyDescent="0.2">
      <c r="A1811" s="5">
        <v>1750</v>
      </c>
      <c r="B1811" s="1832">
        <f>'Tax Sched 23'!E7</f>
        <v>100147</v>
      </c>
      <c r="D1811" s="2" t="str">
        <f t="shared" si="27"/>
        <v>Error?</v>
      </c>
    </row>
    <row r="1812" spans="1:4" x14ac:dyDescent="0.2">
      <c r="A1812" s="5">
        <v>1751</v>
      </c>
      <c r="B1812" s="1832">
        <f>'Tax Sched 23'!E8</f>
        <v>57227</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63665</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29615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3947657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6346411</v>
      </c>
      <c r="C1939" s="2" t="s">
        <v>569</v>
      </c>
      <c r="D1939" s="2" t="str">
        <f t="shared" si="29"/>
        <v>Error?</v>
      </c>
    </row>
    <row r="1940" spans="1:5" x14ac:dyDescent="0.2">
      <c r="A1940" s="5">
        <v>1879</v>
      </c>
      <c r="B1940" s="1832">
        <f>'Short-Term Long-Term Debt 24'!F49</f>
        <v>750000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24676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24676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24676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164809</v>
      </c>
      <c r="D2008" s="2" t="str">
        <f t="shared" si="30"/>
        <v>Error?</v>
      </c>
    </row>
    <row r="2009" spans="1:4" x14ac:dyDescent="0.2">
      <c r="A2009" s="5">
        <v>1948</v>
      </c>
      <c r="B2009" s="1832">
        <f>'Cap Outlay Deprec 26'!C8</f>
        <v>19743296</v>
      </c>
      <c r="D2009" s="2" t="str">
        <f t="shared" si="30"/>
        <v>Error?</v>
      </c>
    </row>
    <row r="2010" spans="1:4" x14ac:dyDescent="0.2">
      <c r="A2010" s="5">
        <v>1949</v>
      </c>
      <c r="B2010" s="1832">
        <f>'Cap Outlay Deprec 26'!C10</f>
        <v>839778</v>
      </c>
      <c r="D2010" s="2" t="str">
        <f t="shared" si="30"/>
        <v>Error?</v>
      </c>
    </row>
    <row r="2011" spans="1:4" x14ac:dyDescent="0.2">
      <c r="A2011" s="5">
        <v>1950</v>
      </c>
      <c r="B2011" s="1832">
        <f>'Cap Outlay Deprec 26'!C12</f>
        <v>1226907</v>
      </c>
      <c r="D2011" s="2" t="str">
        <f t="shared" si="30"/>
        <v>Error?</v>
      </c>
    </row>
    <row r="2012" spans="1:4" x14ac:dyDescent="0.2">
      <c r="A2012" s="5">
        <v>1951</v>
      </c>
      <c r="B2012" s="1832">
        <f>'Cap Outlay Deprec 26'!C13</f>
        <v>818093</v>
      </c>
      <c r="D2012" s="2" t="str">
        <f t="shared" si="30"/>
        <v>Error?</v>
      </c>
    </row>
    <row r="2013" spans="1:4" x14ac:dyDescent="0.2">
      <c r="A2013" s="5">
        <v>1952</v>
      </c>
      <c r="B2013" s="1832">
        <f>'Cap Outlay Deprec 26'!C16</f>
        <v>22792883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534458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30655</v>
      </c>
      <c r="D2017" s="2" t="str">
        <f t="shared" si="30"/>
        <v>Error?</v>
      </c>
    </row>
    <row r="2018" spans="1:4" x14ac:dyDescent="0.2">
      <c r="A2018" s="5">
        <v>1957</v>
      </c>
      <c r="B2018" s="1832">
        <f>'Cap Outlay Deprec 26'!D13</f>
        <v>61865</v>
      </c>
      <c r="D2018" s="2" t="str">
        <f t="shared" si="30"/>
        <v>Error?</v>
      </c>
    </row>
    <row r="2019" spans="1:4" x14ac:dyDescent="0.2">
      <c r="A2019" s="5">
        <v>1958</v>
      </c>
      <c r="B2019" s="1832">
        <f>'Cap Outlay Deprec 26'!D16</f>
        <v>626978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164809</v>
      </c>
      <c r="C2026" s="2" t="s">
        <v>569</v>
      </c>
      <c r="D2026" s="2" t="str">
        <f t="shared" si="30"/>
        <v>Error?</v>
      </c>
    </row>
    <row r="2027" spans="1:4" x14ac:dyDescent="0.2">
      <c r="A2027" s="5">
        <v>1966</v>
      </c>
      <c r="B2027" s="1832">
        <f>'Cap Outlay Deprec 26'!F8</f>
        <v>20277754</v>
      </c>
      <c r="C2027" s="2" t="s">
        <v>569</v>
      </c>
      <c r="D2027" s="2" t="str">
        <f t="shared" si="30"/>
        <v>Error?</v>
      </c>
    </row>
    <row r="2028" spans="1:4" x14ac:dyDescent="0.2">
      <c r="A2028" s="5">
        <v>1967</v>
      </c>
      <c r="B2028" s="1832">
        <f>'Cap Outlay Deprec 26'!F10</f>
        <v>839778</v>
      </c>
      <c r="C2028" s="2" t="s">
        <v>569</v>
      </c>
      <c r="D2028" s="2" t="str">
        <f t="shared" si="30"/>
        <v>Error?</v>
      </c>
    </row>
    <row r="2029" spans="1:4" x14ac:dyDescent="0.2">
      <c r="A2029" s="5">
        <v>1968</v>
      </c>
      <c r="B2029" s="1832">
        <f>'Cap Outlay Deprec 26'!F12</f>
        <v>1257562</v>
      </c>
      <c r="C2029" s="2" t="s">
        <v>569</v>
      </c>
      <c r="D2029" s="2" t="str">
        <f t="shared" si="30"/>
        <v>Error?</v>
      </c>
    </row>
    <row r="2030" spans="1:4" x14ac:dyDescent="0.2">
      <c r="A2030" s="5">
        <v>1969</v>
      </c>
      <c r="B2030" s="1832">
        <f>'Cap Outlay Deprec 26'!F13</f>
        <v>879958</v>
      </c>
      <c r="C2030" s="2" t="s">
        <v>569</v>
      </c>
      <c r="D2030" s="2" t="str">
        <f t="shared" si="30"/>
        <v>Error?</v>
      </c>
    </row>
    <row r="2031" spans="1:4" x14ac:dyDescent="0.2">
      <c r="A2031" s="5">
        <v>1970</v>
      </c>
      <c r="B2031" s="1832">
        <f>'Cap Outlay Deprec 26'!F16</f>
        <v>23419861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7515522</v>
      </c>
      <c r="D2033" s="2" t="str">
        <f t="shared" si="30"/>
        <v>Error?</v>
      </c>
    </row>
    <row r="2034" spans="1:4" x14ac:dyDescent="0.2">
      <c r="A2034" s="5">
        <v>1973</v>
      </c>
      <c r="B2034" s="1832">
        <f>'Cap Outlay Deprec 26'!H10</f>
        <v>389005</v>
      </c>
      <c r="D2034" s="2" t="str">
        <f t="shared" si="30"/>
        <v>Error?</v>
      </c>
    </row>
    <row r="2035" spans="1:4" x14ac:dyDescent="0.2">
      <c r="A2035" s="5">
        <v>1974</v>
      </c>
      <c r="B2035" s="1832">
        <f>'Cap Outlay Deprec 26'!H12</f>
        <v>967575</v>
      </c>
      <c r="D2035" s="2" t="str">
        <f t="shared" si="30"/>
        <v>Error?</v>
      </c>
    </row>
    <row r="2036" spans="1:4" x14ac:dyDescent="0.2">
      <c r="A2036" s="5">
        <v>1975</v>
      </c>
      <c r="B2036" s="1832">
        <f>'Cap Outlay Deprec 26'!H13</f>
        <v>666172</v>
      </c>
      <c r="D2036" s="2" t="str">
        <f t="shared" si="30"/>
        <v>Error?</v>
      </c>
    </row>
    <row r="2037" spans="1:4" x14ac:dyDescent="0.2">
      <c r="A2037" s="5">
        <v>1976</v>
      </c>
      <c r="B2037" s="1832">
        <f>'Cap Outlay Deprec 26'!H16</f>
        <v>9538274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479777</v>
      </c>
      <c r="D2039" s="2" t="str">
        <f t="shared" si="30"/>
        <v>Error?</v>
      </c>
    </row>
    <row r="2040" spans="1:4" x14ac:dyDescent="0.2">
      <c r="A2040" s="5">
        <v>1979</v>
      </c>
      <c r="B2040" s="1832">
        <f>'Cap Outlay Deprec 26'!I10</f>
        <v>40540</v>
      </c>
      <c r="D2040" s="2" t="str">
        <f t="shared" si="30"/>
        <v>Error?</v>
      </c>
    </row>
    <row r="2041" spans="1:4" x14ac:dyDescent="0.2">
      <c r="A2041" s="5">
        <v>1980</v>
      </c>
      <c r="B2041" s="1832">
        <f>'Cap Outlay Deprec 26'!I12</f>
        <v>45961</v>
      </c>
      <c r="D2041" s="2" t="str">
        <f t="shared" si="30"/>
        <v>Error?</v>
      </c>
    </row>
    <row r="2042" spans="1:4" x14ac:dyDescent="0.2">
      <c r="A2042" s="5">
        <v>1981</v>
      </c>
      <c r="B2042" s="1832">
        <f>'Cap Outlay Deprec 26'!I13</f>
        <v>111418</v>
      </c>
      <c r="D2042" s="2" t="str">
        <f t="shared" si="30"/>
        <v>Error?</v>
      </c>
    </row>
    <row r="2043" spans="1:4" x14ac:dyDescent="0.2">
      <c r="A2043" s="5">
        <v>1982</v>
      </c>
      <c r="B2043" s="1832">
        <f>'Cap Outlay Deprec 26'!I16</f>
        <v>677696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7995299</v>
      </c>
      <c r="C2051" s="2" t="s">
        <v>569</v>
      </c>
      <c r="D2051" s="2" t="str">
        <f t="shared" si="31"/>
        <v>Error?</v>
      </c>
    </row>
    <row r="2052" spans="1:4" x14ac:dyDescent="0.2">
      <c r="A2052" s="5">
        <v>1991</v>
      </c>
      <c r="B2052" s="1832">
        <f>'Cap Outlay Deprec 26'!K10</f>
        <v>429545</v>
      </c>
      <c r="C2052" s="2" t="s">
        <v>569</v>
      </c>
      <c r="D2052" s="2" t="str">
        <f t="shared" si="31"/>
        <v>Error?</v>
      </c>
    </row>
    <row r="2053" spans="1:4" x14ac:dyDescent="0.2">
      <c r="A2053" s="5">
        <v>1992</v>
      </c>
      <c r="B2053" s="1832">
        <f>'Cap Outlay Deprec 26'!K12</f>
        <v>1013536</v>
      </c>
      <c r="C2053" s="2" t="s">
        <v>569</v>
      </c>
      <c r="D2053" s="2" t="str">
        <f t="shared" si="31"/>
        <v>Error?</v>
      </c>
    </row>
    <row r="2054" spans="1:4" x14ac:dyDescent="0.2">
      <c r="A2054" s="5">
        <v>1993</v>
      </c>
      <c r="B2054" s="1832">
        <f>'Cap Outlay Deprec 26'!K13</f>
        <v>777590</v>
      </c>
      <c r="C2054" s="2" t="s">
        <v>569</v>
      </c>
      <c r="D2054" s="2" t="str">
        <f t="shared" si="31"/>
        <v>Error?</v>
      </c>
    </row>
    <row r="2055" spans="1:4" x14ac:dyDescent="0.2">
      <c r="A2055" s="5">
        <v>1994</v>
      </c>
      <c r="B2055" s="1832">
        <f>'Cap Outlay Deprec 26'!K16</f>
        <v>10215970</v>
      </c>
      <c r="C2055" s="2" t="s">
        <v>569</v>
      </c>
      <c r="D2055" s="2" t="str">
        <f t="shared" si="31"/>
        <v>Error?</v>
      </c>
    </row>
    <row r="2056" spans="1:4" x14ac:dyDescent="0.2">
      <c r="A2056" s="5">
        <v>1995</v>
      </c>
      <c r="B2056" s="1832">
        <f>'Cap Outlay Deprec 26'!L5</f>
        <v>164809</v>
      </c>
      <c r="C2056" s="2" t="s">
        <v>569</v>
      </c>
      <c r="D2056" s="2" t="str">
        <f t="shared" si="31"/>
        <v>Error?</v>
      </c>
    </row>
    <row r="2057" spans="1:4" x14ac:dyDescent="0.2">
      <c r="A2057" s="5">
        <v>1996</v>
      </c>
      <c r="B2057" s="1832">
        <f>'Cap Outlay Deprec 26'!L8</f>
        <v>12282455</v>
      </c>
      <c r="C2057" s="2" t="s">
        <v>569</v>
      </c>
      <c r="D2057" s="2" t="str">
        <f t="shared" si="31"/>
        <v>Error?</v>
      </c>
    </row>
    <row r="2058" spans="1:4" x14ac:dyDescent="0.2">
      <c r="A2058" s="5">
        <v>1997</v>
      </c>
      <c r="B2058" s="1832">
        <f>'Cap Outlay Deprec 26'!L10</f>
        <v>410233</v>
      </c>
      <c r="C2058" s="2" t="s">
        <v>569</v>
      </c>
      <c r="D2058" s="2" t="str">
        <f t="shared" si="31"/>
        <v>Error?</v>
      </c>
    </row>
    <row r="2059" spans="1:4" x14ac:dyDescent="0.2">
      <c r="A2059" s="5">
        <v>1998</v>
      </c>
      <c r="B2059" s="1832">
        <f>'Cap Outlay Deprec 26'!L12</f>
        <v>244026</v>
      </c>
      <c r="C2059" s="2" t="s">
        <v>569</v>
      </c>
      <c r="D2059" s="2" t="str">
        <f t="shared" si="31"/>
        <v>Error?</v>
      </c>
    </row>
    <row r="2060" spans="1:4" x14ac:dyDescent="0.2">
      <c r="A2060" s="5">
        <v>1999</v>
      </c>
      <c r="B2060" s="1832">
        <f>'Cap Outlay Deprec 26'!L13</f>
        <v>102368</v>
      </c>
      <c r="C2060" s="2" t="s">
        <v>569</v>
      </c>
      <c r="D2060" s="2" t="str">
        <f t="shared" si="31"/>
        <v>Error?</v>
      </c>
    </row>
    <row r="2061" spans="1:4" x14ac:dyDescent="0.2">
      <c r="A2061" s="5">
        <v>2000</v>
      </c>
      <c r="B2061" s="1832">
        <f>'Cap Outlay Deprec 26'!L16</f>
        <v>13203891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168721</v>
      </c>
      <c r="C2088" s="2" t="s">
        <v>569</v>
      </c>
      <c r="D2088" s="2" t="str">
        <f t="shared" si="31"/>
        <v>Error?</v>
      </c>
    </row>
    <row r="2089" spans="1:4" x14ac:dyDescent="0.2">
      <c r="A2089" s="5">
        <v>2028</v>
      </c>
      <c r="B2089" s="1832">
        <f>'Expenditures 15-22'!K92</f>
        <v>5475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465476</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102440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2402922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2738642</v>
      </c>
      <c r="C2553" s="2" t="s">
        <v>569</v>
      </c>
      <c r="D2553" s="2" t="str">
        <f t="shared" si="38"/>
        <v>Error?</v>
      </c>
    </row>
    <row r="2554" spans="1:4" x14ac:dyDescent="0.2">
      <c r="A2554" s="5">
        <v>2493</v>
      </c>
      <c r="B2554" s="1832">
        <f>'Acct Summary 7-8'!C7</f>
        <v>337387</v>
      </c>
      <c r="C2554" s="2" t="s">
        <v>569</v>
      </c>
      <c r="D2554" s="2" t="str">
        <f t="shared" si="38"/>
        <v>Error?</v>
      </c>
    </row>
    <row r="2555" spans="1:4" x14ac:dyDescent="0.2">
      <c r="A2555" s="5">
        <v>2494</v>
      </c>
      <c r="B2555" s="1832">
        <f>'Acct Summary 7-8'!C8</f>
        <v>5478951</v>
      </c>
      <c r="C2555" s="2" t="s">
        <v>569</v>
      </c>
      <c r="D2555" s="2" t="str">
        <f t="shared" si="38"/>
        <v>Error?</v>
      </c>
    </row>
    <row r="2556" spans="1:4" x14ac:dyDescent="0.2">
      <c r="A2556" s="5">
        <v>2495</v>
      </c>
      <c r="B2556" s="1832">
        <f>'Acct Summary 7-8'!C12</f>
        <v>4117289</v>
      </c>
      <c r="C2556" s="2" t="s">
        <v>569</v>
      </c>
      <c r="D2556" s="2" t="str">
        <f t="shared" si="38"/>
        <v>Error?</v>
      </c>
    </row>
    <row r="2557" spans="1:4" x14ac:dyDescent="0.2">
      <c r="A2557" s="5">
        <v>2496</v>
      </c>
      <c r="B2557" s="1832">
        <f>'Acct Summary 7-8'!C13</f>
        <v>1726539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174196</v>
      </c>
      <c r="C2559" s="2" t="s">
        <v>569</v>
      </c>
      <c r="D2559" s="2" t="str">
        <f t="shared" ref="D2559:D2622" si="39">IF(ISBLANK(B2559),"OK",IF(A2559-B2559=0,"OK","Error?"))</f>
        <v>Error?</v>
      </c>
    </row>
    <row r="2560" spans="1:4" x14ac:dyDescent="0.2">
      <c r="A2560" s="5">
        <v>2499</v>
      </c>
      <c r="B2560" s="1832">
        <f>'Acct Summary 7-8'!C16</f>
        <v>800</v>
      </c>
      <c r="C2560" s="2" t="s">
        <v>569</v>
      </c>
      <c r="D2560" s="2" t="str">
        <f t="shared" si="39"/>
        <v>Error?</v>
      </c>
    </row>
    <row r="2561" spans="1:4" x14ac:dyDescent="0.2">
      <c r="A2561" s="5">
        <v>2500</v>
      </c>
      <c r="B2561" s="1832">
        <f>'Acct Summary 7-8'!C17</f>
        <v>6018824</v>
      </c>
      <c r="C2561" s="2" t="s">
        <v>569</v>
      </c>
      <c r="D2561" s="2" t="str">
        <f t="shared" si="39"/>
        <v>Error?</v>
      </c>
    </row>
    <row r="2562" spans="1:4" x14ac:dyDescent="0.2">
      <c r="A2562" s="5">
        <v>2501</v>
      </c>
      <c r="B2562" s="1832">
        <f>'Acct Summary 7-8'!C20</f>
        <v>-539873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445132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445132</v>
      </c>
      <c r="C2568" s="2" t="s">
        <v>569</v>
      </c>
      <c r="D2568" s="2" t="str">
        <f t="shared" si="39"/>
        <v>Error?</v>
      </c>
    </row>
    <row r="2569" spans="1:4" x14ac:dyDescent="0.2">
      <c r="A2569" s="5">
        <v>2508</v>
      </c>
      <c r="B2569" s="1832">
        <f>'Acct Summary 7-8'!D13</f>
        <v>1014586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1014586</v>
      </c>
      <c r="C2573" s="2" t="s">
        <v>569</v>
      </c>
      <c r="D2573" s="2" t="str">
        <f t="shared" si="39"/>
        <v>Error?</v>
      </c>
    </row>
    <row r="2574" spans="1:4" x14ac:dyDescent="0.2">
      <c r="A2574" s="5">
        <v>2513</v>
      </c>
      <c r="B2574" s="1832">
        <f>'Acct Summary 7-8'!D20</f>
        <v>-569454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229387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164638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394025</v>
      </c>
      <c r="C2595" s="2" t="s">
        <v>569</v>
      </c>
      <c r="D2595" s="2" t="str">
        <f t="shared" si="39"/>
        <v>Error?</v>
      </c>
    </row>
    <row r="2596" spans="1:4" x14ac:dyDescent="0.2">
      <c r="A2596" s="5">
        <v>2535</v>
      </c>
      <c r="B2596" s="1832">
        <f>'Acct Summary 7-8'!F13</f>
        <v>263482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71047</v>
      </c>
      <c r="C2599" s="2" t="s">
        <v>569</v>
      </c>
      <c r="D2599" s="2" t="str">
        <f t="shared" si="39"/>
        <v>Error?</v>
      </c>
    </row>
    <row r="2600" spans="1:4" x14ac:dyDescent="0.2">
      <c r="A2600" s="5">
        <v>2539</v>
      </c>
      <c r="B2600" s="1832">
        <f>'Acct Summary 7-8'!F17</f>
        <v>334529</v>
      </c>
      <c r="C2600" s="2" t="s">
        <v>569</v>
      </c>
      <c r="D2600" s="2" t="str">
        <f t="shared" si="39"/>
        <v>Error?</v>
      </c>
    </row>
    <row r="2601" spans="1:4" x14ac:dyDescent="0.2">
      <c r="A2601" s="5">
        <v>2540</v>
      </c>
      <c r="B2601" s="1832">
        <f>'Acct Summary 7-8'!F20</f>
        <v>59496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167503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167503</v>
      </c>
      <c r="C2606" s="2" t="s">
        <v>569</v>
      </c>
      <c r="D2606" s="2" t="str">
        <f t="shared" si="39"/>
        <v>Error?</v>
      </c>
    </row>
    <row r="2607" spans="1:4" x14ac:dyDescent="0.2">
      <c r="A2607" s="5">
        <v>2546</v>
      </c>
      <c r="B2607" s="1832">
        <f>'Acct Summary 7-8'!G12</f>
        <v>70359</v>
      </c>
      <c r="C2607" s="2" t="s">
        <v>569</v>
      </c>
      <c r="D2607" s="2" t="str">
        <f t="shared" si="39"/>
        <v>Error?</v>
      </c>
    </row>
    <row r="2608" spans="1:4" x14ac:dyDescent="0.2">
      <c r="A2608" s="5">
        <v>2547</v>
      </c>
      <c r="B2608" s="1832">
        <f>'Acct Summary 7-8'!G13</f>
        <v>112048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182407</v>
      </c>
      <c r="C2612" s="2" t="s">
        <v>569</v>
      </c>
      <c r="D2612" s="2" t="str">
        <f t="shared" si="39"/>
        <v>Error?</v>
      </c>
    </row>
    <row r="2613" spans="1:4" x14ac:dyDescent="0.2">
      <c r="A2613" s="5">
        <v>2552</v>
      </c>
      <c r="B2613" s="1832">
        <f>'Acct Summary 7-8'!G20</f>
        <v>-14904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967167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967167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998631</v>
      </c>
      <c r="C2634" s="2" t="s">
        <v>569</v>
      </c>
      <c r="D2634" s="2" t="str">
        <f t="shared" si="40"/>
        <v>Error?</v>
      </c>
    </row>
    <row r="2635" spans="1:4" x14ac:dyDescent="0.2">
      <c r="A2635" s="5">
        <v>2574</v>
      </c>
      <c r="B2635" s="1832">
        <f>'Acct Summary 7-8'!E17</f>
        <v>998631</v>
      </c>
      <c r="C2635" s="2" t="s">
        <v>569</v>
      </c>
      <c r="D2635" s="2" t="str">
        <f t="shared" si="40"/>
        <v>Error?</v>
      </c>
    </row>
    <row r="2636" spans="1:4" x14ac:dyDescent="0.2">
      <c r="A2636" s="5">
        <v>2575</v>
      </c>
      <c r="B2636" s="1832">
        <f>'Acct Summary 7-8'!E20</f>
        <v>-31464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50044</v>
      </c>
      <c r="C2658" s="2" t="s">
        <v>569</v>
      </c>
      <c r="D2658" s="2" t="str">
        <f t="shared" si="40"/>
        <v>Error?</v>
      </c>
    </row>
    <row r="2659" spans="1:4" x14ac:dyDescent="0.2">
      <c r="A2659" s="5">
        <v>2598</v>
      </c>
      <c r="B2659" s="1832">
        <f>'Acct Summary 7-8'!H13</f>
        <v>53457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53457</v>
      </c>
      <c r="C2661" s="2" t="s">
        <v>569</v>
      </c>
      <c r="D2661" s="2" t="str">
        <f t="shared" si="40"/>
        <v>Error?</v>
      </c>
    </row>
    <row r="2662" spans="1:4" x14ac:dyDescent="0.2">
      <c r="A2662" s="5">
        <v>2601</v>
      </c>
      <c r="B2662" s="1832">
        <f>'Acct Summary 7-8'!H20</f>
        <v>-3413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168721</v>
      </c>
      <c r="C2789" s="2" t="s">
        <v>569</v>
      </c>
      <c r="D2789" s="2" t="str">
        <f t="shared" si="42"/>
        <v>Error?</v>
      </c>
    </row>
    <row r="2790" spans="1:4" x14ac:dyDescent="0.2">
      <c r="A2790" s="5">
        <v>2729</v>
      </c>
      <c r="B2790" s="1832">
        <f>'Expenditures 15-22'!E102</f>
        <v>168721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262524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30788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262524</v>
      </c>
      <c r="D2912" s="2" t="str">
        <f t="shared" si="44"/>
        <v>Error?</v>
      </c>
    </row>
    <row r="2913" spans="1:4" x14ac:dyDescent="0.2">
      <c r="A2913" s="5">
        <v>2852</v>
      </c>
      <c r="B2913" s="1832">
        <f>'Assets-Liab 5-6'!I41</f>
        <v>262524</v>
      </c>
      <c r="C2913" s="2" t="s">
        <v>569</v>
      </c>
      <c r="D2913" s="2" t="str">
        <f t="shared" si="44"/>
        <v>Error?</v>
      </c>
    </row>
    <row r="2914" spans="1:4" x14ac:dyDescent="0.2">
      <c r="A2914" s="5">
        <v>2853</v>
      </c>
      <c r="B2914" s="1832">
        <f>'Assets-Liab 5-6'!L33</f>
        <v>30788</v>
      </c>
      <c r="D2914" s="2" t="str">
        <f t="shared" si="44"/>
        <v>Error?</v>
      </c>
    </row>
    <row r="2915" spans="1:4" x14ac:dyDescent="0.2">
      <c r="A2915" s="10">
        <v>2854</v>
      </c>
      <c r="B2915" s="1832"/>
      <c r="D2915" s="2" t="str">
        <f t="shared" si="44"/>
        <v>OK</v>
      </c>
    </row>
    <row r="2916" spans="1:4" x14ac:dyDescent="0.2">
      <c r="A2916" s="5">
        <v>2855</v>
      </c>
      <c r="B2916" s="1832">
        <f>'Assets-Liab 5-6'!L34</f>
        <v>30788</v>
      </c>
      <c r="C2916" s="2" t="s">
        <v>569</v>
      </c>
      <c r="D2916" s="2" t="str">
        <f t="shared" si="44"/>
        <v>Error?</v>
      </c>
    </row>
    <row r="2917" spans="1:4" x14ac:dyDescent="0.2">
      <c r="A2917" s="5">
        <v>2856</v>
      </c>
      <c r="B2917" s="1832">
        <f>'Assets-Liab 5-6'!L41</f>
        <v>30788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168721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168721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80000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31789</v>
      </c>
      <c r="C3231" s="2" t="s">
        <v>569</v>
      </c>
      <c r="D3231" s="2" t="str">
        <f t="shared" si="49"/>
        <v>Error?</v>
      </c>
    </row>
    <row r="3232" spans="1:4" x14ac:dyDescent="0.2">
      <c r="A3232" s="5">
        <v>3171</v>
      </c>
      <c r="B3232" s="1832">
        <f>'Acct Summary 7-8'!C77</f>
        <v>48211</v>
      </c>
      <c r="C3232" s="2" t="s">
        <v>569</v>
      </c>
      <c r="D3232" s="2" t="str">
        <f t="shared" si="49"/>
        <v>Error?</v>
      </c>
    </row>
    <row r="3233" spans="1:4" x14ac:dyDescent="0.2">
      <c r="A3233" s="5">
        <v>3172</v>
      </c>
      <c r="B3233" s="1832">
        <f>'Acct Summary 7-8'!C78</f>
        <v>-491662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465476</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465476</v>
      </c>
      <c r="C3238" s="2" t="s">
        <v>569</v>
      </c>
      <c r="D3238" s="2" t="str">
        <f t="shared" si="49"/>
        <v>Error?</v>
      </c>
    </row>
    <row r="3239" spans="1:4" x14ac:dyDescent="0.2">
      <c r="A3239" s="5">
        <v>3178</v>
      </c>
      <c r="B3239" s="1832">
        <f>'Acct Summary 7-8'!D78</f>
        <v>-103978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80000</v>
      </c>
      <c r="C3254" s="2" t="s">
        <v>569</v>
      </c>
      <c r="D3254" s="2" t="str">
        <f t="shared" si="49"/>
        <v>Error?</v>
      </c>
    </row>
    <row r="3255" spans="1:4" x14ac:dyDescent="0.2">
      <c r="A3255" s="5">
        <v>3194</v>
      </c>
      <c r="B3255" s="1832">
        <f>'Acct Summary 7-8'!F77</f>
        <v>-80000</v>
      </c>
      <c r="C3255" s="2" t="s">
        <v>569</v>
      </c>
      <c r="D3255" s="2" t="str">
        <f t="shared" si="49"/>
        <v>Error?</v>
      </c>
    </row>
    <row r="3256" spans="1:4" x14ac:dyDescent="0.2">
      <c r="A3256" s="5">
        <v>3195</v>
      </c>
      <c r="B3256" s="1832">
        <f>'Acct Summary 7-8'!F78</f>
        <v>-20504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-14904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31789</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31789</v>
      </c>
      <c r="C3277" s="2" t="s">
        <v>569</v>
      </c>
      <c r="D3277" s="2" t="str">
        <f t="shared" si="50"/>
        <v>Error?</v>
      </c>
    </row>
    <row r="3278" spans="1:4" x14ac:dyDescent="0.2">
      <c r="A3278" s="5">
        <v>3217</v>
      </c>
      <c r="B3278" s="1832">
        <f>'Acct Summary 7-8'!E78</f>
        <v>325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-3413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750000</v>
      </c>
      <c r="C3317" s="2" t="s">
        <v>569</v>
      </c>
      <c r="D3317" s="2" t="str">
        <f t="shared" si="50"/>
        <v>Error?</v>
      </c>
    </row>
    <row r="3318" spans="1:4" x14ac:dyDescent="0.2">
      <c r="A3318" s="5">
        <v>3257</v>
      </c>
      <c r="B3318" s="1832">
        <f>'Acct Summary 7-8'!I76</f>
        <v>487476</v>
      </c>
      <c r="C3318" s="2" t="s">
        <v>569</v>
      </c>
      <c r="D3318" s="2" t="str">
        <f t="shared" si="50"/>
        <v>Error?</v>
      </c>
    </row>
    <row r="3319" spans="1:4" x14ac:dyDescent="0.2">
      <c r="A3319" s="5">
        <v>3258</v>
      </c>
      <c r="B3319" s="1832">
        <f>'Acct Summary 7-8'!I77</f>
        <v>262524</v>
      </c>
      <c r="C3319" s="2" t="s">
        <v>569</v>
      </c>
      <c r="D3319" s="2" t="str">
        <f t="shared" si="50"/>
        <v>Error?</v>
      </c>
    </row>
    <row r="3320" spans="1:4" x14ac:dyDescent="0.2">
      <c r="A3320" s="5">
        <v>3259</v>
      </c>
      <c r="B3320" s="1832">
        <f>'Acct Summary 7-8'!I78</f>
        <v>262524</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262524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452160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143039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12270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592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718</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608779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38394</v>
      </c>
      <c r="D3387" s="2" t="str">
        <f t="shared" si="51"/>
        <v>Error?</v>
      </c>
    </row>
    <row r="3388" spans="1:4" x14ac:dyDescent="0.2">
      <c r="A3388" s="5">
        <v>3327</v>
      </c>
      <c r="B3388" s="1832">
        <f>'Expenditures 15-22'!D217</f>
        <v>28699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38394</v>
      </c>
      <c r="C3390" s="2" t="s">
        <v>569</v>
      </c>
      <c r="D3390" s="2" t="str">
        <f t="shared" si="51"/>
        <v>Error?</v>
      </c>
    </row>
    <row r="3391" spans="1:4" x14ac:dyDescent="0.2">
      <c r="A3391" s="5">
        <v>3330</v>
      </c>
      <c r="B3391" s="1832">
        <f>'Expenditures 15-22'!K217</f>
        <v>28699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163104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168336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107434</v>
      </c>
      <c r="D3417" s="2" t="str">
        <f t="shared" si="52"/>
        <v>Error?</v>
      </c>
    </row>
    <row r="3418" spans="1:4" x14ac:dyDescent="0.2">
      <c r="A3418" s="10">
        <v>3357</v>
      </c>
      <c r="B3418" s="1832"/>
      <c r="D3418" s="2" t="str">
        <f t="shared" si="52"/>
        <v>OK</v>
      </c>
    </row>
    <row r="3419" spans="1:4" x14ac:dyDescent="0.2">
      <c r="A3419" s="5">
        <v>3358</v>
      </c>
      <c r="B3419" s="1832">
        <f>'Assets-Liab 5-6'!F4</f>
        <v>243982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102440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68254</v>
      </c>
      <c r="D3425" s="2" t="str">
        <f t="shared" si="52"/>
        <v>Error?</v>
      </c>
    </row>
    <row r="3426" spans="1:4" x14ac:dyDescent="0.2">
      <c r="A3426" s="10">
        <v>3365</v>
      </c>
      <c r="B3426" s="1832"/>
      <c r="D3426" s="2" t="str">
        <f t="shared" si="52"/>
        <v>OK</v>
      </c>
    </row>
    <row r="3427" spans="1:4" x14ac:dyDescent="0.2">
      <c r="A3427" s="5">
        <v>3366</v>
      </c>
      <c r="B3427" s="1832">
        <f>'Assets-Liab 5-6'!I4</f>
        <v>262524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30788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101887</v>
      </c>
      <c r="C3446" s="2" t="s">
        <v>569</v>
      </c>
      <c r="D3446" s="2" t="str">
        <f t="shared" si="52"/>
        <v>Error?</v>
      </c>
    </row>
    <row r="3447" spans="1:4" x14ac:dyDescent="0.2">
      <c r="A3447" s="5">
        <v>3386</v>
      </c>
      <c r="B3447" s="1832">
        <f>'Tax Sched 23'!D16</f>
        <v>87369</v>
      </c>
      <c r="C3447" s="2" t="s">
        <v>569</v>
      </c>
      <c r="D3447" s="2" t="str">
        <f t="shared" si="52"/>
        <v>Error?</v>
      </c>
    </row>
    <row r="3448" spans="1:4" x14ac:dyDescent="0.2">
      <c r="A3448" s="5">
        <v>3387</v>
      </c>
      <c r="B3448" s="1832">
        <f>'Tax Sched 23'!C16</f>
        <v>14518</v>
      </c>
      <c r="D3448" s="2" t="str">
        <f t="shared" si="52"/>
        <v>Error?</v>
      </c>
    </row>
    <row r="3449" spans="1:4" x14ac:dyDescent="0.2">
      <c r="A3449" s="5">
        <v>3388</v>
      </c>
      <c r="B3449" s="1832">
        <f>'Tax Sched 23'!F16</f>
        <v>99936</v>
      </c>
      <c r="C3449" s="2" t="s">
        <v>569</v>
      </c>
      <c r="D3449" s="2" t="str">
        <f t="shared" si="52"/>
        <v>Error?</v>
      </c>
    </row>
    <row r="3450" spans="1:4" x14ac:dyDescent="0.2">
      <c r="A3450" s="5">
        <v>3389</v>
      </c>
      <c r="B3450" s="1832">
        <f>'Tax Sched 23'!E16</f>
        <v>114454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1278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1278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1278</v>
      </c>
      <c r="D3567" s="2" t="str">
        <f t="shared" si="54"/>
        <v>Error?</v>
      </c>
    </row>
    <row r="3568" spans="1:4" x14ac:dyDescent="0.2">
      <c r="A3568" s="5">
        <v>3507</v>
      </c>
      <c r="B3568" s="1832">
        <f>'Assets-Liab 5-6'!K41</f>
        <v>1278</v>
      </c>
      <c r="C3568" s="2" t="s">
        <v>569</v>
      </c>
      <c r="D3568" s="2" t="str">
        <f t="shared" si="54"/>
        <v>Error?</v>
      </c>
    </row>
    <row r="3569" spans="1:4" x14ac:dyDescent="0.2">
      <c r="A3569" s="5">
        <v>3508</v>
      </c>
      <c r="B3569" s="1832">
        <f>'Acct Summary 7-8'!K4</f>
        <v>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v>
      </c>
      <c r="C3588" s="2" t="s">
        <v>569</v>
      </c>
      <c r="D3588" s="2" t="str">
        <f t="shared" si="55"/>
        <v>Error?</v>
      </c>
    </row>
    <row r="3589" spans="1:4" x14ac:dyDescent="0.2">
      <c r="A3589" s="5">
        <v>3528</v>
      </c>
      <c r="B3589" s="1832">
        <f>'Acct Summary 7-8'!K79</f>
        <v>1277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1278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35921</v>
      </c>
      <c r="C3725" s="2" t="s">
        <v>569</v>
      </c>
      <c r="D3725" s="2" t="str">
        <f t="shared" si="57"/>
        <v>Error?</v>
      </c>
    </row>
    <row r="3726" spans="1:4" x14ac:dyDescent="0.2">
      <c r="A3726" s="5">
        <v>3665</v>
      </c>
      <c r="B3726" s="1832">
        <f>'Tax Sched 23'!D13</f>
        <v>30586</v>
      </c>
      <c r="C3726" s="2" t="s">
        <v>569</v>
      </c>
      <c r="D3726" s="2" t="str">
        <f t="shared" si="57"/>
        <v>Error?</v>
      </c>
    </row>
    <row r="3727" spans="1:4" x14ac:dyDescent="0.2">
      <c r="A3727" s="5">
        <v>3666</v>
      </c>
      <c r="B3727" s="1832">
        <f>'Tax Sched 23'!C13</f>
        <v>5335</v>
      </c>
      <c r="D3727" s="2" t="str">
        <f t="shared" si="57"/>
        <v>Error?</v>
      </c>
    </row>
    <row r="3728" spans="1:4" x14ac:dyDescent="0.2">
      <c r="A3728" s="5">
        <v>3667</v>
      </c>
      <c r="B3728" s="1832">
        <f>'Tax Sched 23'!F13</f>
        <v>36727</v>
      </c>
      <c r="C3728" s="2" t="s">
        <v>569</v>
      </c>
      <c r="D3728" s="2" t="str">
        <f t="shared" si="57"/>
        <v>Error?</v>
      </c>
    </row>
    <row r="3729" spans="1:4" x14ac:dyDescent="0.2">
      <c r="A3729" s="5">
        <v>3668</v>
      </c>
      <c r="B3729" s="1832">
        <f>'Tax Sched 23'!E13</f>
        <v>42062</v>
      </c>
      <c r="D3729" s="2" t="str">
        <f t="shared" si="57"/>
        <v>Error?</v>
      </c>
    </row>
    <row r="3730" spans="1:4" x14ac:dyDescent="0.2">
      <c r="A3730" s="5">
        <v>3669</v>
      </c>
      <c r="B3730" s="1832">
        <f>'ICR Computation 30'!E10</f>
        <v>128712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3018694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8497645</v>
      </c>
      <c r="C4122" s="2" t="s">
        <v>569</v>
      </c>
      <c r="D4122" s="2" t="str">
        <f t="shared" si="63"/>
        <v>Error?</v>
      </c>
    </row>
    <row r="4123" spans="1:4" x14ac:dyDescent="0.2">
      <c r="A4123" s="5">
        <v>4062</v>
      </c>
      <c r="B4123" s="1832">
        <f>'Acct Summary 7-8'!D10</f>
        <v>445132</v>
      </c>
      <c r="C4123" s="2" t="s">
        <v>569</v>
      </c>
      <c r="D4123" s="2" t="str">
        <f t="shared" si="63"/>
        <v>Error?</v>
      </c>
    </row>
    <row r="4124" spans="1:4" x14ac:dyDescent="0.2">
      <c r="A4124" s="5">
        <v>4063</v>
      </c>
      <c r="B4124" s="1832">
        <f>'Acct Summary 7-8'!E10</f>
        <v>967167</v>
      </c>
      <c r="C4124" s="2" t="s">
        <v>569</v>
      </c>
      <c r="D4124" s="2" t="str">
        <f t="shared" si="63"/>
        <v>Error?</v>
      </c>
    </row>
    <row r="4125" spans="1:4" x14ac:dyDescent="0.2">
      <c r="A4125" s="5">
        <v>4064</v>
      </c>
      <c r="B4125" s="1832">
        <f>'Acct Summary 7-8'!F10</f>
        <v>394025</v>
      </c>
      <c r="C4125" s="2" t="s">
        <v>569</v>
      </c>
      <c r="D4125" s="2" t="str">
        <f t="shared" si="63"/>
        <v>Error?</v>
      </c>
    </row>
    <row r="4126" spans="1:4" x14ac:dyDescent="0.2">
      <c r="A4126" s="5">
        <v>4065</v>
      </c>
      <c r="B4126" s="1832">
        <f>'Acct Summary 7-8'!G10</f>
        <v>167503</v>
      </c>
      <c r="C4126" s="2" t="s">
        <v>569</v>
      </c>
      <c r="D4126" s="2" t="str">
        <f t="shared" si="63"/>
        <v>Error?</v>
      </c>
    </row>
    <row r="4127" spans="1:4" x14ac:dyDescent="0.2">
      <c r="A4127" s="5">
        <v>4066</v>
      </c>
      <c r="B4127" s="1832">
        <f>'Acct Summary 7-8'!H10</f>
        <v>50044</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v>
      </c>
      <c r="C4130" s="2" t="s">
        <v>569</v>
      </c>
      <c r="D4130" s="2" t="str">
        <f t="shared" si="63"/>
        <v>Error?</v>
      </c>
    </row>
    <row r="4131" spans="1:4" x14ac:dyDescent="0.2">
      <c r="A4131" s="5">
        <v>4070</v>
      </c>
      <c r="B4131" s="1832">
        <f>'Acct Summary 7-8'!C18</f>
        <v>3018694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9037518</v>
      </c>
      <c r="C4136" s="2" t="s">
        <v>569</v>
      </c>
      <c r="D4136" s="2" t="str">
        <f t="shared" si="63"/>
        <v>Error?</v>
      </c>
    </row>
    <row r="4137" spans="1:4" x14ac:dyDescent="0.2">
      <c r="A4137" s="5">
        <v>4076</v>
      </c>
      <c r="B4137" s="1832">
        <f>'Acct Summary 7-8'!D19</f>
        <v>1014586</v>
      </c>
      <c r="C4137" s="2" t="s">
        <v>569</v>
      </c>
      <c r="D4137" s="2" t="str">
        <f t="shared" si="63"/>
        <v>Error?</v>
      </c>
    </row>
    <row r="4138" spans="1:4" x14ac:dyDescent="0.2">
      <c r="A4138" s="5">
        <v>4077</v>
      </c>
      <c r="B4138" s="1832">
        <f>'Acct Summary 7-8'!E19</f>
        <v>998631</v>
      </c>
      <c r="C4138" s="2" t="s">
        <v>569</v>
      </c>
      <c r="D4138" s="2" t="str">
        <f t="shared" si="63"/>
        <v>Error?</v>
      </c>
    </row>
    <row r="4139" spans="1:4" x14ac:dyDescent="0.2">
      <c r="A4139" s="5">
        <v>4078</v>
      </c>
      <c r="B4139" s="1832">
        <f>'Acct Summary 7-8'!F19</f>
        <v>334529</v>
      </c>
      <c r="C4139" s="2" t="s">
        <v>569</v>
      </c>
      <c r="D4139" s="2" t="str">
        <f t="shared" si="63"/>
        <v>Error?</v>
      </c>
    </row>
    <row r="4140" spans="1:4" x14ac:dyDescent="0.2">
      <c r="A4140" s="5">
        <v>4079</v>
      </c>
      <c r="B4140" s="1832">
        <f>'Acct Summary 7-8'!G19</f>
        <v>182407</v>
      </c>
      <c r="C4140" s="2" t="s">
        <v>569</v>
      </c>
      <c r="D4140" s="2" t="str">
        <f t="shared" si="63"/>
        <v>Error?</v>
      </c>
    </row>
    <row r="4141" spans="1:4" x14ac:dyDescent="0.2">
      <c r="A4141" s="5">
        <v>4080</v>
      </c>
      <c r="B4141" s="1832">
        <f>'Acct Summary 7-8'!H19</f>
        <v>53457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6203507</v>
      </c>
      <c r="C4171" s="2" t="s">
        <v>569</v>
      </c>
      <c r="D4171" s="2" t="str">
        <f t="shared" si="64"/>
        <v>Error?</v>
      </c>
    </row>
    <row r="4172" spans="1:4" x14ac:dyDescent="0.2">
      <c r="A4172" s="5">
        <v>4111</v>
      </c>
      <c r="B4172" s="1832">
        <f>'Short-Term Long-Term Debt 24'!J49</f>
        <v>6096073</v>
      </c>
      <c r="C4172" s="2" t="s">
        <v>569</v>
      </c>
      <c r="D4172" s="2" t="str">
        <f t="shared" si="64"/>
        <v>Error?</v>
      </c>
    </row>
    <row r="4173" spans="1:4" x14ac:dyDescent="0.2">
      <c r="A4173" s="5">
        <v>4112</v>
      </c>
      <c r="B4173" s="1832">
        <f>'Short-Term Long-Term Debt 24'!H49</f>
        <v>892904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61115</v>
      </c>
      <c r="D4210" s="2" t="str">
        <f t="shared" si="64"/>
        <v>Error?</v>
      </c>
    </row>
    <row r="4211" spans="1:4" x14ac:dyDescent="0.2">
      <c r="A4211" s="5">
        <v>4150</v>
      </c>
      <c r="B4211" s="1832">
        <f>'Expenditures 15-22'!K206</f>
        <v>61115</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1700.0000000000002</v>
      </c>
      <c r="C4265" s="2" t="s">
        <v>569</v>
      </c>
      <c r="D4265" s="2" t="str">
        <f t="shared" si="65"/>
        <v>Error?</v>
      </c>
      <c r="E4265" s="125"/>
    </row>
    <row r="4266" spans="1:5" x14ac:dyDescent="0.2">
      <c r="A4266" s="12">
        <v>4205</v>
      </c>
      <c r="B4266" s="1832">
        <f>('FP Info 3'!F10)*100000</f>
        <v>368.70000000000005</v>
      </c>
      <c r="C4266" s="2" t="s">
        <v>569</v>
      </c>
      <c r="D4266" s="2" t="str">
        <f t="shared" si="65"/>
        <v>Error?</v>
      </c>
      <c r="E4266" s="125"/>
    </row>
    <row r="4267" spans="1:5" x14ac:dyDescent="0.2">
      <c r="A4267" s="12">
        <v>4206</v>
      </c>
      <c r="B4267" s="1832">
        <f>('FP Info 3'!H10)*100000</f>
        <v>70</v>
      </c>
      <c r="C4267" s="2" t="s">
        <v>569</v>
      </c>
      <c r="D4267" s="2" t="str">
        <f t="shared" si="65"/>
        <v>Error?</v>
      </c>
      <c r="E4267" s="125"/>
    </row>
    <row r="4268" spans="1:5" x14ac:dyDescent="0.2">
      <c r="A4268" s="12">
        <v>4207</v>
      </c>
      <c r="B4268" s="1832">
        <f>('FP Info 3'!J10)*100000</f>
        <v>2139</v>
      </c>
      <c r="C4268" s="2" t="s">
        <v>569</v>
      </c>
      <c r="D4268" s="2" t="str">
        <f t="shared" si="65"/>
        <v>Error?</v>
      </c>
    </row>
    <row r="4269" spans="1:5" x14ac:dyDescent="0.2">
      <c r="A4269" s="12">
        <v>4208</v>
      </c>
      <c r="B4269" s="1832">
        <f>'FP Info 3'!J16</f>
        <v>2392533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13379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5154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10969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143067343</v>
      </c>
      <c r="D4995" s="2" t="str">
        <f t="shared" si="77"/>
        <v>Error?</v>
      </c>
    </row>
    <row r="4996" spans="1:4" x14ac:dyDescent="0.2">
      <c r="A4996" s="12">
        <v>4935</v>
      </c>
      <c r="B4996" s="1832">
        <f>'FP Info 3'!H31</f>
        <v>9871646.6670000013</v>
      </c>
      <c r="D4996" s="2" t="str">
        <f t="shared" si="77"/>
        <v>Error?</v>
      </c>
    </row>
    <row r="4997" spans="1:4" x14ac:dyDescent="0.2">
      <c r="A4997" s="12">
        <v>4936</v>
      </c>
      <c r="B4997" s="1832">
        <f>'FP Info 3'!H37</f>
        <v>6203507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80000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80000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35921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2008462</v>
      </c>
      <c r="D5061" s="2" t="str">
        <f t="shared" si="78"/>
        <v>Error?</v>
      </c>
    </row>
    <row r="5062" spans="1:4" x14ac:dyDescent="0.2">
      <c r="A5062" s="10">
        <v>5001</v>
      </c>
      <c r="B5062" s="1832"/>
      <c r="D5062" s="2" t="str">
        <f t="shared" si="78"/>
        <v>OK</v>
      </c>
    </row>
    <row r="5063" spans="1:4" x14ac:dyDescent="0.2">
      <c r="A5063" s="5">
        <v>5002</v>
      </c>
      <c r="B5063" s="1832">
        <f>'Revenues 9-14'!C7</f>
        <v>24676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2069059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38876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38876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22986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22986</v>
      </c>
      <c r="C5090" s="2" t="s">
        <v>569</v>
      </c>
      <c r="D5090" s="2" t="str">
        <f t="shared" si="78"/>
        <v>Error?</v>
      </c>
    </row>
    <row r="5091" spans="1:4" x14ac:dyDescent="0.2">
      <c r="A5091" s="5">
        <v>5030</v>
      </c>
      <c r="B5091" s="1832">
        <f>'Revenues 9-14'!C70</f>
        <v>8058</v>
      </c>
      <c r="D5091" s="2" t="str">
        <f t="shared" si="78"/>
        <v>Error?</v>
      </c>
    </row>
    <row r="5092" spans="1:4" x14ac:dyDescent="0.2">
      <c r="A5092" s="5">
        <v>5031</v>
      </c>
      <c r="B5092" s="1832">
        <f>'Revenues 9-14'!C71</f>
        <v>47093</v>
      </c>
      <c r="D5092" s="2" t="str">
        <f t="shared" si="78"/>
        <v>Error?</v>
      </c>
    </row>
    <row r="5093" spans="1:4" x14ac:dyDescent="0.2">
      <c r="A5093" s="5">
        <v>5032</v>
      </c>
      <c r="B5093" s="1832">
        <f>'Revenues 9-14'!C72</f>
        <v>9392</v>
      </c>
      <c r="D5093" s="2" t="str">
        <f t="shared" si="78"/>
        <v>Error?</v>
      </c>
    </row>
    <row r="5094" spans="1:4" x14ac:dyDescent="0.2">
      <c r="A5094" s="5">
        <v>5033</v>
      </c>
      <c r="B5094" s="1832">
        <f>'Revenues 9-14'!C73</f>
        <v>3575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172373</v>
      </c>
      <c r="C5096" s="2" t="s">
        <v>569</v>
      </c>
      <c r="D5096" s="2" t="str">
        <f t="shared" si="78"/>
        <v>Error?</v>
      </c>
    </row>
    <row r="5097" spans="1:4" x14ac:dyDescent="0.2">
      <c r="A5097" s="5">
        <v>5036</v>
      </c>
      <c r="B5097" s="1832">
        <f>'Revenues 9-14'!C77</f>
        <v>13009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7665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15960</v>
      </c>
      <c r="D5101" s="2" t="str">
        <f t="shared" si="78"/>
        <v>Error?</v>
      </c>
    </row>
    <row r="5102" spans="1:4" x14ac:dyDescent="0.2">
      <c r="A5102" s="5">
        <v>5041</v>
      </c>
      <c r="B5102" s="1832">
        <f>'Revenues 9-14'!C82</f>
        <v>36634</v>
      </c>
      <c r="C5102" s="2" t="s">
        <v>569</v>
      </c>
      <c r="D5102" s="2" t="str">
        <f t="shared" si="78"/>
        <v>Error?</v>
      </c>
    </row>
    <row r="5103" spans="1:4" x14ac:dyDescent="0.2">
      <c r="A5103" s="5">
        <v>5042</v>
      </c>
      <c r="B5103" s="1832">
        <f>'Revenues 9-14'!C84</f>
        <v>48818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48818</v>
      </c>
      <c r="C5112" s="2" t="s">
        <v>569</v>
      </c>
      <c r="D5112" s="2" t="str">
        <f t="shared" si="78"/>
        <v>Error?</v>
      </c>
    </row>
    <row r="5113" spans="1:4" x14ac:dyDescent="0.2">
      <c r="A5113" s="5">
        <v>5052</v>
      </c>
      <c r="B5113" s="1832">
        <f>'Revenues 9-14'!C95</f>
        <v>2580</v>
      </c>
      <c r="D5113" s="2" t="str">
        <f t="shared" si="78"/>
        <v>Error?</v>
      </c>
    </row>
    <row r="5114" spans="1:4" x14ac:dyDescent="0.2">
      <c r="A5114" s="5">
        <v>5053</v>
      </c>
      <c r="B5114" s="1832">
        <f>'Revenues 9-14'!C96</f>
        <v>9384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2212</v>
      </c>
      <c r="D5119" s="2" t="str">
        <f t="shared" ref="D5119:D5182" si="79">IF(ISBLANK(B5119),"OK",IF(A5119-B5119=0,"OK","Error?"))</f>
        <v>Error?</v>
      </c>
    </row>
    <row r="5120" spans="1:4" x14ac:dyDescent="0.2">
      <c r="A5120" s="5">
        <v>5059</v>
      </c>
      <c r="B5120" s="1832">
        <f>'Revenues 9-14'!C108</f>
        <v>14176</v>
      </c>
      <c r="C5120" s="2" t="s">
        <v>569</v>
      </c>
      <c r="D5120" s="2" t="str">
        <f t="shared" si="79"/>
        <v>Error?</v>
      </c>
    </row>
    <row r="5121" spans="1:4" x14ac:dyDescent="0.2">
      <c r="A5121" s="5">
        <v>5060</v>
      </c>
      <c r="B5121" s="1832">
        <f>'Revenues 9-14'!C109</f>
        <v>2402922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2717054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2717054</v>
      </c>
      <c r="C5132" s="2" t="s">
        <v>569</v>
      </c>
      <c r="D5132" s="2" t="str">
        <f t="shared" si="79"/>
        <v>Error?</v>
      </c>
    </row>
    <row r="5133" spans="1:4" x14ac:dyDescent="0.2">
      <c r="A5133" s="5">
        <v>5072</v>
      </c>
      <c r="B5133" s="1832">
        <f>'Revenues 9-14'!C125</f>
        <v>12009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8190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20199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639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21588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2738642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70171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8355</v>
      </c>
      <c r="D5241" s="2" t="str">
        <f t="shared" si="80"/>
        <v>Error?</v>
      </c>
    </row>
    <row r="5242" spans="1:4" x14ac:dyDescent="0.2">
      <c r="A5242" s="5">
        <v>5181</v>
      </c>
      <c r="B5242" s="1832">
        <f>'Revenues 9-14'!C194</f>
        <v>16005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94531</v>
      </c>
      <c r="C5246" s="2" t="s">
        <v>569</v>
      </c>
      <c r="D5246" s="2" t="str">
        <f t="shared" si="80"/>
        <v>Error?</v>
      </c>
    </row>
    <row r="5247" spans="1:4" x14ac:dyDescent="0.2">
      <c r="A5247" s="5">
        <v>5186</v>
      </c>
      <c r="B5247" s="1832">
        <f>'Revenues 9-14'!C200</f>
        <v>44633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5154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44633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3986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164735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168721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337387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337387</v>
      </c>
      <c r="C5326" s="2" t="s">
        <v>569</v>
      </c>
      <c r="D5326" s="2" t="str">
        <f t="shared" si="82"/>
        <v>Error?</v>
      </c>
    </row>
    <row r="5327" spans="1:5" x14ac:dyDescent="0.2">
      <c r="A5327" s="5">
        <v>5266</v>
      </c>
      <c r="B5327" s="1832">
        <f>'Revenues 9-14'!C268</f>
        <v>5478951</v>
      </c>
      <c r="C5327" s="2" t="s">
        <v>569</v>
      </c>
      <c r="D5327" s="2" t="str">
        <f t="shared" si="82"/>
        <v>Error?</v>
      </c>
    </row>
    <row r="5328" spans="1:5" x14ac:dyDescent="0.2">
      <c r="A5328" s="5">
        <v>5267</v>
      </c>
      <c r="B5328" s="1832">
        <f>'Revenues 9-14'!D5</f>
        <v>442387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442387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2745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2745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445132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445132</v>
      </c>
      <c r="C5508" s="2" t="s">
        <v>569</v>
      </c>
      <c r="D5508" s="2" t="str">
        <f t="shared" si="85"/>
        <v>Error?</v>
      </c>
    </row>
    <row r="5509" spans="1:4" x14ac:dyDescent="0.2">
      <c r="A5509" s="5">
        <v>5448</v>
      </c>
      <c r="B5509" s="1832">
        <f>'Revenues 9-14'!E5</f>
        <v>349135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349135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617906</v>
      </c>
      <c r="C5526" s="2" t="s">
        <v>569</v>
      </c>
      <c r="D5526" s="2" t="str">
        <f t="shared" si="85"/>
        <v>Error?</v>
      </c>
    </row>
    <row r="5527" spans="1:4" x14ac:dyDescent="0.2">
      <c r="A5527" s="5">
        <v>5466</v>
      </c>
      <c r="B5527" s="1832">
        <f>'Revenues 9-14'!E109</f>
        <v>967167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967167</v>
      </c>
      <c r="C5552" s="2" t="s">
        <v>569</v>
      </c>
      <c r="D5552" s="2" t="str">
        <f t="shared" si="85"/>
        <v>Error?</v>
      </c>
    </row>
    <row r="5553" spans="1:4" x14ac:dyDescent="0.2">
      <c r="A5553" s="5">
        <v>5492</v>
      </c>
      <c r="B5553" s="1832">
        <f>'Revenues 9-14'!F5</f>
        <v>101765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101765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3400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121372</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124772</v>
      </c>
      <c r="C5579" s="2" t="s">
        <v>569</v>
      </c>
      <c r="D5579" s="2" t="str">
        <f t="shared" si="86"/>
        <v>Error?</v>
      </c>
    </row>
    <row r="5580" spans="1:4" x14ac:dyDescent="0.2">
      <c r="A5580" s="5">
        <v>5519</v>
      </c>
      <c r="B5580" s="1832">
        <f>'Revenues 9-14'!F65</f>
        <v>2850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2850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229387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136314</v>
      </c>
      <c r="D5615" s="2" t="str">
        <f t="shared" si="86"/>
        <v>Error?</v>
      </c>
    </row>
    <row r="5616" spans="1:4" x14ac:dyDescent="0.2">
      <c r="A5616" s="10">
        <v>5555</v>
      </c>
      <c r="B5616" s="1832"/>
      <c r="D5616" s="2" t="str">
        <f t="shared" si="86"/>
        <v>OK</v>
      </c>
    </row>
    <row r="5617" spans="1:5" x14ac:dyDescent="0.2">
      <c r="A5617" s="5">
        <v>5556</v>
      </c>
      <c r="B5617" s="1832">
        <f>'Revenues 9-14'!F153</f>
        <v>28324</v>
      </c>
      <c r="D5617" s="2" t="str">
        <f t="shared" si="86"/>
        <v>Error?</v>
      </c>
    </row>
    <row r="5618" spans="1:5" x14ac:dyDescent="0.2">
      <c r="A5618" s="5">
        <v>5557</v>
      </c>
      <c r="B5618" s="1832">
        <f>'Revenues 9-14'!F155</f>
        <v>164638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164638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164638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394025</v>
      </c>
      <c r="C5720" s="2" t="s">
        <v>569</v>
      </c>
      <c r="D5720" s="2" t="str">
        <f t="shared" si="88"/>
        <v>Error?</v>
      </c>
    </row>
    <row r="5721" spans="1:4" x14ac:dyDescent="0.2">
      <c r="A5721" s="5">
        <v>5660</v>
      </c>
      <c r="B5721" s="1832">
        <f>'Revenues 9-14'!G5</f>
        <v>55476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101887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157363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10000</v>
      </c>
      <c r="C5730" s="2" t="s">
        <v>569</v>
      </c>
      <c r="D5730" s="2" t="str">
        <f t="shared" si="88"/>
        <v>Error?</v>
      </c>
    </row>
    <row r="5731" spans="1:4" x14ac:dyDescent="0.2">
      <c r="A5731" s="5">
        <v>5670</v>
      </c>
      <c r="B5731" s="1832">
        <f>'Revenues 9-14'!G65</f>
        <v>140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140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167503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50044</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v>
      </c>
      <c r="C6023" s="2" t="s">
        <v>569</v>
      </c>
      <c r="D6023" s="2" t="str">
        <f t="shared" si="93"/>
        <v>Error?</v>
      </c>
    </row>
    <row r="6024" spans="1:5" x14ac:dyDescent="0.2">
      <c r="A6024" s="5">
        <v>5963</v>
      </c>
      <c r="B6024" s="1832">
        <f>'Revenues 9-14'!G109</f>
        <v>167503</v>
      </c>
      <c r="C6024" s="2" t="s">
        <v>569</v>
      </c>
      <c r="D6024" s="2" t="str">
        <f t="shared" si="93"/>
        <v>Error?</v>
      </c>
    </row>
    <row r="6025" spans="1:5" x14ac:dyDescent="0.2">
      <c r="A6025" s="5">
        <v>5964</v>
      </c>
      <c r="B6025" s="1832">
        <f>'Revenues 9-14'!H109</f>
        <v>44</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104255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837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10901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10901</v>
      </c>
      <c r="D6215" s="2" t="str">
        <f t="shared" si="96"/>
        <v>Error?</v>
      </c>
      <c r="E6215" s="2" t="s">
        <v>189</v>
      </c>
    </row>
    <row r="6216" spans="1:5" x14ac:dyDescent="0.2">
      <c r="A6216">
        <v>6155</v>
      </c>
      <c r="B6216" s="1832">
        <f>'Assets-Liab 5-6'!J41</f>
        <v>10901</v>
      </c>
      <c r="D6216" s="2" t="str">
        <f t="shared" si="96"/>
        <v>Error?</v>
      </c>
      <c r="E6216" s="2" t="s">
        <v>189</v>
      </c>
    </row>
    <row r="6217" spans="1:5" x14ac:dyDescent="0.2">
      <c r="A6217">
        <v>6156</v>
      </c>
      <c r="B6217" s="1832">
        <f>'Assets-Liab 5-6'!J4</f>
        <v>10901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54114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54114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54114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71622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71622</v>
      </c>
      <c r="D6229" s="2" t="str">
        <f t="shared" si="96"/>
        <v>Error?</v>
      </c>
      <c r="E6229" s="2" t="s">
        <v>189</v>
      </c>
    </row>
    <row r="6230" spans="1:5" x14ac:dyDescent="0.2">
      <c r="A6230">
        <v>6169</v>
      </c>
      <c r="B6230" s="1832">
        <f>'Acct Summary 7-8'!J20</f>
        <v>-17508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31789</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22000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-17508</v>
      </c>
      <c r="D6263" s="2" t="str">
        <f t="shared" si="96"/>
        <v>Error?</v>
      </c>
      <c r="E6263" s="2" t="s">
        <v>189</v>
      </c>
    </row>
    <row r="6264" spans="1:5" x14ac:dyDescent="0.2">
      <c r="A6264">
        <v>6203</v>
      </c>
      <c r="B6264" s="1832">
        <f>'Acct Summary 7-8'!J79</f>
        <v>28409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10901</v>
      </c>
      <c r="D6266" s="2" t="str">
        <f t="shared" si="96"/>
        <v>Error?</v>
      </c>
      <c r="E6266" s="2" t="s">
        <v>189</v>
      </c>
    </row>
    <row r="6267" spans="1:5" x14ac:dyDescent="0.2">
      <c r="A6267">
        <v>6206</v>
      </c>
      <c r="B6267" s="1832">
        <f>'Acct Summary 7-8'!C82</f>
        <v>-491662</v>
      </c>
      <c r="D6267" s="2" t="str">
        <f t="shared" si="96"/>
        <v>Error?</v>
      </c>
      <c r="E6267" s="2" t="s">
        <v>189</v>
      </c>
    </row>
    <row r="6268" spans="1:5" x14ac:dyDescent="0.2">
      <c r="A6268">
        <v>6207</v>
      </c>
      <c r="B6268" s="1832">
        <f>'Acct Summary 7-8'!D82</f>
        <v>-103978</v>
      </c>
      <c r="D6268" s="2" t="str">
        <f t="shared" si="96"/>
        <v>Error?</v>
      </c>
      <c r="E6268" s="2" t="s">
        <v>189</v>
      </c>
    </row>
    <row r="6269" spans="1:5" x14ac:dyDescent="0.2">
      <c r="A6269">
        <v>6208</v>
      </c>
      <c r="B6269" s="1832">
        <f>'Acct Summary 7-8'!E82</f>
        <v>325</v>
      </c>
      <c r="D6269" s="2" t="str">
        <f t="shared" si="96"/>
        <v>Error?</v>
      </c>
      <c r="E6269" s="2" t="s">
        <v>189</v>
      </c>
    </row>
    <row r="6270" spans="1:5" x14ac:dyDescent="0.2">
      <c r="A6270">
        <v>6209</v>
      </c>
      <c r="B6270" s="1832">
        <f>'Acct Summary 7-8'!F82</f>
        <v>-20504</v>
      </c>
      <c r="D6270" s="2" t="str">
        <f t="shared" si="96"/>
        <v>Error?</v>
      </c>
      <c r="E6270" s="2" t="s">
        <v>189</v>
      </c>
    </row>
    <row r="6271" spans="1:5" x14ac:dyDescent="0.2">
      <c r="A6271">
        <v>6210</v>
      </c>
      <c r="B6271" s="1832">
        <f>'Acct Summary 7-8'!G82</f>
        <v>-14904</v>
      </c>
      <c r="D6271" s="2" t="str">
        <f t="shared" ref="D6271:D6334" si="97">IF(ISBLANK(B6271),"OK",IF(A6271-B6271=0,"OK","Error?"))</f>
        <v>Error?</v>
      </c>
      <c r="E6271" s="2" t="s">
        <v>189</v>
      </c>
    </row>
    <row r="6272" spans="1:5" x14ac:dyDescent="0.2">
      <c r="A6272">
        <v>6211</v>
      </c>
      <c r="B6272" s="1832">
        <f>'Acct Summary 7-8'!H82</f>
        <v>-3413</v>
      </c>
      <c r="D6272" s="2" t="str">
        <f t="shared" si="97"/>
        <v>Error?</v>
      </c>
      <c r="E6272" s="2" t="s">
        <v>189</v>
      </c>
    </row>
    <row r="6273" spans="1:5" x14ac:dyDescent="0.2">
      <c r="A6273">
        <v>6212</v>
      </c>
      <c r="B6273" s="1832">
        <f>'Acct Summary 7-8'!I82</f>
        <v>262524</v>
      </c>
      <c r="D6273" s="2" t="str">
        <f t="shared" si="97"/>
        <v>Error?</v>
      </c>
      <c r="E6273" s="2" t="s">
        <v>189</v>
      </c>
    </row>
    <row r="6274" spans="1:5" x14ac:dyDescent="0.2">
      <c r="A6274">
        <v>6213</v>
      </c>
      <c r="B6274" s="1832">
        <f>'Acct Summary 7-8'!J82</f>
        <v>-17508</v>
      </c>
      <c r="D6274" s="2" t="str">
        <f t="shared" si="97"/>
        <v>Error?</v>
      </c>
      <c r="E6274" s="2" t="s">
        <v>189</v>
      </c>
    </row>
    <row r="6275" spans="1:5" x14ac:dyDescent="0.2">
      <c r="A6275">
        <v>6214</v>
      </c>
      <c r="B6275" s="1832">
        <f>'Acct Summary 7-8'!K82</f>
        <v>1</v>
      </c>
      <c r="D6275" s="2" t="str">
        <f t="shared" si="97"/>
        <v>Error?</v>
      </c>
      <c r="E6275" s="2" t="s">
        <v>189</v>
      </c>
    </row>
    <row r="6276" spans="1:5" x14ac:dyDescent="0.2">
      <c r="A6276">
        <v>6215</v>
      </c>
      <c r="B6276" s="1832">
        <f>'Acct Summary 7-8'!C83</f>
        <v>-0.42503628691691314</v>
      </c>
      <c r="D6276" s="2" t="str">
        <f t="shared" si="97"/>
        <v>Error?</v>
      </c>
      <c r="E6276" s="2" t="s">
        <v>189</v>
      </c>
    </row>
    <row r="6277" spans="1:5" x14ac:dyDescent="0.2">
      <c r="A6277">
        <v>6216</v>
      </c>
      <c r="B6277" s="1832">
        <f>'Acct Summary 7-8'!D83</f>
        <v>-0.34797945148173559</v>
      </c>
      <c r="D6277" s="2" t="str">
        <f t="shared" si="97"/>
        <v>Error?</v>
      </c>
      <c r="E6277" s="2" t="s">
        <v>189</v>
      </c>
    </row>
    <row r="6278" spans="1:5" x14ac:dyDescent="0.2">
      <c r="A6278">
        <v>6217</v>
      </c>
      <c r="B6278" s="1832">
        <f>'Acct Summary 7-8'!E83</f>
        <v>3.0251130926894653E-3</v>
      </c>
      <c r="D6278" s="2" t="str">
        <f t="shared" si="97"/>
        <v>Error?</v>
      </c>
      <c r="E6278" s="2" t="s">
        <v>189</v>
      </c>
    </row>
    <row r="6279" spans="1:5" x14ac:dyDescent="0.2">
      <c r="A6279">
        <v>6218</v>
      </c>
      <c r="B6279" s="1832">
        <f>'Acct Summary 7-8'!F83</f>
        <v>-3.0401022461231431E-2</v>
      </c>
      <c r="D6279" s="2" t="str">
        <f t="shared" si="97"/>
        <v>Error?</v>
      </c>
      <c r="E6279" s="2" t="s">
        <v>189</v>
      </c>
    </row>
    <row r="6280" spans="1:5" x14ac:dyDescent="0.2">
      <c r="A6280">
        <v>6219</v>
      </c>
      <c r="B6280" s="1832">
        <f>'Acct Summary 7-8'!G83</f>
        <v>-0.14549004295197188</v>
      </c>
      <c r="D6280" s="2" t="str">
        <f t="shared" si="97"/>
        <v>Error?</v>
      </c>
      <c r="E6280" s="2" t="s">
        <v>189</v>
      </c>
    </row>
    <row r="6281" spans="1:5" x14ac:dyDescent="0.2">
      <c r="A6281">
        <v>6220</v>
      </c>
      <c r="B6281" s="1832">
        <f>'Acct Summary 7-8'!H83</f>
        <v>-5.0004395346792865E-2</v>
      </c>
      <c r="D6281" s="2" t="str">
        <f t="shared" si="97"/>
        <v>Error?</v>
      </c>
      <c r="E6281" s="2" t="s">
        <v>189</v>
      </c>
    </row>
    <row r="6282" spans="1:5" x14ac:dyDescent="0.2">
      <c r="A6282">
        <v>6221</v>
      </c>
      <c r="B6282" s="1832">
        <f>'Acct Summary 7-8'!I83</f>
        <v>1</v>
      </c>
      <c r="D6282" s="2" t="str">
        <f t="shared" si="97"/>
        <v>Error?</v>
      </c>
      <c r="E6282" s="2" t="s">
        <v>189</v>
      </c>
    </row>
    <row r="6283" spans="1:5" x14ac:dyDescent="0.2">
      <c r="A6283">
        <v>6222</v>
      </c>
      <c r="B6283" s="1832">
        <f>'Acct Summary 7-8'!J83</f>
        <v>-1.6060911842950187</v>
      </c>
      <c r="D6283" s="2" t="str">
        <f t="shared" si="97"/>
        <v>Error?</v>
      </c>
      <c r="E6283" s="2" t="s">
        <v>189</v>
      </c>
    </row>
    <row r="6284" spans="1:5" x14ac:dyDescent="0.2">
      <c r="A6284">
        <v>6223</v>
      </c>
      <c r="B6284" s="1832">
        <f>'Acct Summary 7-8'!K83</f>
        <v>7.8247261345852897E-4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31789</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54100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54100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54114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5475</v>
      </c>
      <c r="D6983" s="2" t="str">
        <f t="shared" si="108"/>
        <v>Error?</v>
      </c>
    </row>
    <row r="6984" spans="1:4" x14ac:dyDescent="0.2">
      <c r="A6984">
        <v>6923</v>
      </c>
      <c r="B6984" s="1832">
        <f>'Expenditures 15-22'!K86</f>
        <v>5475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5475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800</v>
      </c>
      <c r="D7016" s="2" t="str">
        <f t="shared" si="108"/>
        <v>Error?</v>
      </c>
    </row>
    <row r="7017" spans="1:4" x14ac:dyDescent="0.2">
      <c r="A7017">
        <v>6956</v>
      </c>
      <c r="B7017" s="1832">
        <f>'Expenditures 15-22'!K111</f>
        <v>800</v>
      </c>
      <c r="D7017" s="2" t="str">
        <f t="shared" si="108"/>
        <v>Error?</v>
      </c>
    </row>
    <row r="7018" spans="1:4" x14ac:dyDescent="0.2">
      <c r="A7018">
        <v>6957</v>
      </c>
      <c r="B7018" s="1832">
        <f>'Expenditures 15-22'!H112</f>
        <v>800</v>
      </c>
      <c r="D7018" s="2" t="str">
        <f t="shared" si="108"/>
        <v>Error?</v>
      </c>
    </row>
    <row r="7019" spans="1:4" x14ac:dyDescent="0.2">
      <c r="A7019">
        <v>6958</v>
      </c>
      <c r="B7019" s="1832">
        <f>'Expenditures 15-22'!K112</f>
        <v>800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71622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54114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9932</v>
      </c>
      <c r="D7067" s="2" t="str">
        <f t="shared" si="109"/>
        <v>Error?</v>
      </c>
    </row>
    <row r="7068" spans="1:4" x14ac:dyDescent="0.2">
      <c r="A7068">
        <v>7007</v>
      </c>
      <c r="B7068" s="1832">
        <f>'Expenditures 15-22'!K205</f>
        <v>9932</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21351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21351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14799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14799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28566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28566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1017</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1017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1175</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1175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4714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4714</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71622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71622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71622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71622</v>
      </c>
      <c r="D7224" s="2" t="str">
        <f t="shared" si="111"/>
        <v>Error?</v>
      </c>
    </row>
    <row r="7225" spans="1:4" x14ac:dyDescent="0.2">
      <c r="A7225">
        <v>7164</v>
      </c>
      <c r="B7225" s="1832">
        <f>'Expenditures 15-22'!K343</f>
        <v>-17508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677696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617906</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617906</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24676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617906</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617906</v>
      </c>
      <c r="D7727" s="2" t="str">
        <f t="shared" si="126"/>
        <v>Error?</v>
      </c>
      <c r="E7727" s="2" t="s">
        <v>822</v>
      </c>
    </row>
    <row r="7728" spans="1:6" x14ac:dyDescent="0.2">
      <c r="A7728">
        <v>7667</v>
      </c>
      <c r="B7728" s="1832">
        <f>'Revenues 9-14'!E103</f>
        <v>617906</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617906</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465476</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10451733</v>
      </c>
      <c r="D7817" s="2" t="str">
        <f t="shared" si="128"/>
        <v>Error?</v>
      </c>
      <c r="E7817" s="4" t="s">
        <v>1966</v>
      </c>
    </row>
    <row r="7818" spans="1:5" x14ac:dyDescent="0.2">
      <c r="A7818">
        <v>7757</v>
      </c>
      <c r="B7818" s="1832">
        <f>'PCTC-OEPP 27-28'!F172</f>
        <v>230130</v>
      </c>
      <c r="D7818" s="2" t="str">
        <f t="shared" si="128"/>
        <v>Error?</v>
      </c>
      <c r="E7818" s="4" t="s">
        <v>1980</v>
      </c>
    </row>
    <row r="7819" spans="1:5" x14ac:dyDescent="0.2">
      <c r="A7819">
        <v>7758</v>
      </c>
      <c r="B7819" s="1832">
        <f>'PCTC-OEPP 27-28'!F173</f>
        <v>86</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8620599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1679588</v>
      </c>
      <c r="D7834" s="2" t="str">
        <f t="shared" si="129"/>
        <v>Error?</v>
      </c>
      <c r="E7834" s="4" t="s">
        <v>1998</v>
      </c>
    </row>
    <row r="7835" spans="1:5" x14ac:dyDescent="0.2">
      <c r="A7835">
        <v>7774</v>
      </c>
      <c r="B7835" s="1832">
        <f>'PCTC-OEPP 27-28'!F78</f>
        <v>6941011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8292.7252090800484</v>
      </c>
      <c r="D7837" s="2" t="str">
        <f t="shared" si="129"/>
        <v>Error?</v>
      </c>
      <c r="E7837" s="4" t="s">
        <v>1998</v>
      </c>
    </row>
    <row r="7838" spans="1:5" x14ac:dyDescent="0.2">
      <c r="A7838">
        <v>7777</v>
      </c>
      <c r="B7838" s="1832">
        <f>'PCTC-OEPP 27-28'!F96</f>
        <v>36634</v>
      </c>
      <c r="D7838" s="2" t="str">
        <f t="shared" si="129"/>
        <v>Error?</v>
      </c>
      <c r="E7838" s="4" t="s">
        <v>1998</v>
      </c>
    </row>
    <row r="7839" spans="1:5" x14ac:dyDescent="0.2">
      <c r="A7839">
        <v>7778</v>
      </c>
      <c r="B7839" s="1832">
        <f>'PCTC-OEPP 27-28'!F102</f>
        <v>2580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20199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164638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94531</v>
      </c>
      <c r="D7858" s="2" t="str">
        <f t="shared" si="129"/>
        <v>Error?</v>
      </c>
      <c r="E7858" s="4" t="s">
        <v>1998</v>
      </c>
    </row>
    <row r="7859" spans="1:5" x14ac:dyDescent="0.2">
      <c r="A7859">
        <v>7798</v>
      </c>
      <c r="B7859" s="1832">
        <f>'PCTC-OEPP 27-28'!F127</f>
        <v>44633</v>
      </c>
      <c r="D7859" s="2" t="str">
        <f t="shared" si="129"/>
        <v>Error?</v>
      </c>
      <c r="E7859" s="4" t="s">
        <v>1998</v>
      </c>
    </row>
    <row r="7860" spans="1:5" x14ac:dyDescent="0.2">
      <c r="A7860">
        <v>7799</v>
      </c>
      <c r="B7860" s="1832">
        <f>'PCTC-OEPP 27-28'!F128</f>
        <v>5154</v>
      </c>
      <c r="D7860" s="2" t="str">
        <f t="shared" si="129"/>
        <v>Error?</v>
      </c>
      <c r="E7860" s="4" t="s">
        <v>1998</v>
      </c>
    </row>
    <row r="7861" spans="1:5" x14ac:dyDescent="0.2">
      <c r="A7861">
        <v>7800</v>
      </c>
      <c r="B7861" s="1832">
        <f>'PCTC-OEPP 27-28'!F129</f>
        <v>164735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10969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13379</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1135020</v>
      </c>
      <c r="D7877" s="2" t="str">
        <f t="shared" si="129"/>
        <v>Error?</v>
      </c>
      <c r="E7877" s="4" t="s">
        <v>1998</v>
      </c>
    </row>
    <row r="7878" spans="1:5" x14ac:dyDescent="0.2">
      <c r="A7878">
        <v>7817</v>
      </c>
      <c r="B7878" s="1832">
        <f>'PCTC-OEPP 27-28'!F176</f>
        <v>5805991</v>
      </c>
      <c r="D7878" s="2" t="str">
        <f t="shared" si="129"/>
        <v>Error?</v>
      </c>
      <c r="E7878" s="4" t="s">
        <v>1998</v>
      </c>
    </row>
    <row r="7879" spans="1:5" x14ac:dyDescent="0.2">
      <c r="A7879">
        <v>7818</v>
      </c>
      <c r="B7879" s="1832">
        <f>'PCTC-OEPP 27-28'!F178</f>
        <v>6483687</v>
      </c>
      <c r="D7879" s="2" t="str">
        <f t="shared" si="129"/>
        <v>Error?</v>
      </c>
      <c r="E7879" s="4" t="s">
        <v>1998</v>
      </c>
    </row>
    <row r="7880" spans="1:5" x14ac:dyDescent="0.2">
      <c r="A7880">
        <v>7819</v>
      </c>
      <c r="B7880" s="1832">
        <f>'PCTC-OEPP 27-28'!F180</f>
        <v>7746.340501792115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St. Joseph CCSD 169</v>
      </c>
      <c r="B7" s="2539"/>
      <c r="C7" s="2539"/>
      <c r="D7" s="2540"/>
      <c r="E7" s="2541">
        <f>COVER!A13</f>
        <v>9010169004</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TODD PENCE</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404 S 5TH ST, PO BOX 409</v>
      </c>
      <c r="B14" s="2522"/>
      <c r="C14" s="2522"/>
      <c r="D14" s="2522"/>
      <c r="E14" s="2522"/>
      <c r="F14" s="2523"/>
      <c r="G14" s="974" t="s">
        <v>1175</v>
      </c>
      <c r="H14" s="972"/>
      <c r="I14" s="972"/>
      <c r="J14" s="972"/>
      <c r="K14" s="972"/>
      <c r="L14" s="973"/>
    </row>
    <row r="15" spans="1:29" ht="13.5" customHeight="1" x14ac:dyDescent="0.2">
      <c r="A15" s="2521" t="str">
        <f>COVER!A21</f>
        <v>ST JOSEPH</v>
      </c>
      <c r="B15" s="2522"/>
      <c r="C15" s="2522"/>
      <c r="D15" s="2522"/>
      <c r="E15" s="2522"/>
      <c r="F15" s="2523"/>
      <c r="G15" s="2518" t="str">
        <f>COVER!T15</f>
        <v>RUSS LEIGH</v>
      </c>
      <c r="H15" s="2519"/>
      <c r="I15" s="2519"/>
      <c r="J15" s="2519"/>
      <c r="K15" s="2519"/>
      <c r="L15" s="2520"/>
    </row>
    <row r="16" spans="1:29" ht="12.2" customHeight="1" x14ac:dyDescent="0.2">
      <c r="A16" s="2544">
        <f>COVER!A25</f>
        <v>61873</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St. Joseph CCSD 169</v>
      </c>
      <c r="B1" s="2561"/>
      <c r="C1" s="2561"/>
      <c r="D1" s="2561"/>
    </row>
    <row r="2" spans="1:11" s="991" customFormat="1" ht="12.75" x14ac:dyDescent="0.2">
      <c r="A2" s="2562">
        <f>'Single Audit Cover'!E7</f>
        <v>9010169004</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St. Joseph CCSD 169</v>
      </c>
      <c r="B1" s="2565"/>
      <c r="C1" s="2565"/>
      <c r="D1" s="2565"/>
      <c r="E1" s="2565"/>
    </row>
    <row r="2" spans="1:5" x14ac:dyDescent="0.2">
      <c r="A2" s="2566">
        <f>'Single Audit Cover'!E7</f>
        <v>9010169004</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337387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337387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337387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337387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St. Joseph CCSD 169</v>
      </c>
      <c r="C1" s="2569"/>
      <c r="D1" s="2569"/>
      <c r="E1" s="2569"/>
      <c r="F1" s="2569"/>
      <c r="G1" s="2569"/>
      <c r="H1" s="2569"/>
      <c r="I1" s="2569"/>
      <c r="J1" s="2569"/>
      <c r="K1" s="2569"/>
      <c r="L1" s="2569"/>
      <c r="M1" s="2569"/>
    </row>
    <row r="2" spans="2:14" ht="15" x14ac:dyDescent="0.2">
      <c r="B2" s="2570">
        <f>'Single Audit Cover'!E7</f>
        <v>9010169004</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St. Joseph CCSD 169</v>
      </c>
      <c r="B1" s="2582"/>
      <c r="C1" s="2582"/>
      <c r="D1" s="2582"/>
      <c r="E1" s="2582"/>
      <c r="F1" s="2582"/>
    </row>
    <row r="2" spans="1:7" ht="13.5" customHeight="1" x14ac:dyDescent="0.2">
      <c r="A2" s="2570">
        <f>'Single Audit Cover'!E7</f>
        <v>9010169004</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St. Joseph CCSD 169</v>
      </c>
      <c r="C1" s="2597"/>
      <c r="D1" s="2597"/>
      <c r="E1" s="2597"/>
      <c r="F1" s="2597"/>
      <c r="G1" s="2597"/>
      <c r="H1" s="2597"/>
      <c r="I1" s="2597"/>
      <c r="J1" s="1178"/>
    </row>
    <row r="2" spans="2:10" s="295" customFormat="1" ht="12.75" customHeight="1" x14ac:dyDescent="0.2">
      <c r="B2" s="2598">
        <f>'Single Audit Cover'!E7</f>
        <v>9010169004</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St. Joseph CCSD 169</v>
      </c>
      <c r="C1" s="2596"/>
      <c r="D1" s="2596"/>
      <c r="E1" s="2596"/>
      <c r="F1" s="2596"/>
      <c r="G1" s="2596"/>
      <c r="H1" s="2596"/>
      <c r="I1" s="2596"/>
      <c r="J1" s="2596"/>
      <c r="K1" s="2596"/>
      <c r="L1" s="1144"/>
      <c r="M1" s="1144"/>
    </row>
    <row r="2" spans="1:13" ht="12" customHeight="1" x14ac:dyDescent="0.2">
      <c r="B2" s="2598">
        <f>'Single Audit Cover'!E7</f>
        <v>9010169004</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St. Joseph CCSD 169</v>
      </c>
      <c r="C1" s="2619"/>
      <c r="D1" s="2619"/>
      <c r="E1" s="2619"/>
      <c r="F1" s="2619"/>
      <c r="G1" s="2619"/>
      <c r="H1" s="2619"/>
      <c r="I1" s="2619"/>
      <c r="J1" s="2619"/>
      <c r="K1" s="2619"/>
      <c r="L1" s="1221"/>
    </row>
    <row r="2" spans="1:12" ht="12.75" customHeight="1" x14ac:dyDescent="0.2">
      <c r="B2" s="2620">
        <f>'Single Audit Cover'!E7</f>
        <v>9010169004</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St. Joseph CCSD 169</v>
      </c>
      <c r="C1" s="2596"/>
      <c r="D1" s="2596"/>
      <c r="E1" s="1240"/>
    </row>
    <row r="2" spans="2:5" s="1058" customFormat="1" ht="12.75" customHeight="1" x14ac:dyDescent="0.2">
      <c r="B2" s="2598">
        <f>'Single Audit Cover'!E7</f>
        <v>9010169004</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143067343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1.7000000000000001E-2</v>
      </c>
      <c r="E10" s="333" t="s">
        <v>998</v>
      </c>
      <c r="F10" s="332">
        <v>3.6870000000000002E-3</v>
      </c>
      <c r="G10" s="333" t="s">
        <v>998</v>
      </c>
      <c r="H10" s="332">
        <v>6.9999999999999999E-4</v>
      </c>
      <c r="I10" s="333" t="s">
        <v>999</v>
      </c>
      <c r="J10" s="1424">
        <f>ROUND(D10+F10+H10,5)</f>
        <v>2.1389999999999999E-2</v>
      </c>
      <c r="K10" s="217"/>
      <c r="L10" s="332">
        <v>0</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6318108</v>
      </c>
      <c r="E16" s="1547"/>
      <c r="F16" s="1546">
        <f>SUM('Acct Summary 7-8'!C17,'Acct Summary 7-8'!D17,'Acct Summary 7-8'!F17)</f>
        <v>7367939</v>
      </c>
      <c r="G16" s="1547"/>
      <c r="H16" s="1546">
        <f>SUM(D16-F16)</f>
        <v>-1049831</v>
      </c>
      <c r="I16" s="1548"/>
      <c r="J16" s="1546">
        <f>SUM('Acct Summary 7-8'!C81,'Acct Summary 7-8'!D81,'Acct Summary 7-8'!F81,'Acct Summary 7-8'!I81)</f>
        <v>2392533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9871646.6670000013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6203507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St. Joseph CCSD 169</v>
      </c>
      <c r="E7" s="368"/>
      <c r="G7" s="247"/>
      <c r="H7" s="364"/>
      <c r="I7" s="364"/>
      <c r="J7" s="364"/>
      <c r="K7" s="364"/>
      <c r="L7" s="307"/>
      <c r="M7" s="307"/>
      <c r="N7" s="307"/>
      <c r="O7" s="307"/>
      <c r="P7" s="307"/>
    </row>
    <row r="8" spans="1:18" ht="12.75" x14ac:dyDescent="0.2">
      <c r="A8" s="307"/>
      <c r="B8" s="307"/>
      <c r="C8" s="366" t="s">
        <v>1115</v>
      </c>
      <c r="D8" s="369">
        <f>COVER!A13</f>
        <v>9010169004</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2392533</v>
      </c>
      <c r="I12" s="380"/>
      <c r="J12" s="380"/>
      <c r="K12" s="1559">
        <f>TRUNC((H12/H13*100000),5)/100000</f>
        <v>0.38059363510000005</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6286319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-31789</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7367939</v>
      </c>
      <c r="I17" s="380"/>
      <c r="J17" s="389"/>
      <c r="K17" s="1559">
        <f>TRUNC((H17/H18*100000),5)/100000</f>
        <v>1.1720593560999999</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6286319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-31789</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1.6307955000000001</v>
      </c>
      <c r="K20" s="1559" t="str">
        <f>IF(K17&lt;=1,"0",IF(AND(O16="2", J20 &gt; 2),TRUNC(((K12-0.1)/(K17-1)*100),5)/100,IF(AND(O16 = "1", J20 &gt; 2),TRUNC(((K12-0.1)/(K17-1)*100),5)/100,IF(AND(O16="1", J20 &gt;1),TRUNC(((K12-0.1)/(K17-1)*100),5)/100,""))))</f>
        <v/>
      </c>
      <c r="L20" s="213"/>
      <c r="M20" s="337" t="s">
        <v>1135</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2392533</v>
      </c>
      <c r="I24" s="394"/>
      <c r="J24" s="394"/>
      <c r="K24" s="1555">
        <f>TRUNC(((H24/H25*100000)/100000),2)</f>
        <v>116.89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20466.497220000001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2601178.8967499998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6203507</v>
      </c>
      <c r="I32" s="392"/>
      <c r="J32" s="392"/>
      <c r="K32" s="1555">
        <f>TRUNC(100-((((H32/H33*100))*100)/100),2)</f>
        <v>37.15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9871646.6670000013</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2.9999999999999996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L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163104</v>
      </c>
      <c r="D4" s="1573">
        <v>168336</v>
      </c>
      <c r="E4" s="1573">
        <v>107434</v>
      </c>
      <c r="F4" s="1573">
        <v>243982</v>
      </c>
      <c r="G4" s="1573">
        <v>102440</v>
      </c>
      <c r="H4" s="1573">
        <v>68254</v>
      </c>
      <c r="I4" s="1573">
        <v>262524</v>
      </c>
      <c r="J4" s="1574">
        <v>10901</v>
      </c>
      <c r="K4" s="1573">
        <v>1278</v>
      </c>
      <c r="L4" s="1573">
        <v>30788</v>
      </c>
      <c r="M4" s="1575"/>
      <c r="N4" s="1576"/>
    </row>
    <row r="5" spans="1:14" x14ac:dyDescent="0.2">
      <c r="A5" s="427" t="s">
        <v>985</v>
      </c>
      <c r="B5" s="429">
        <v>120</v>
      </c>
      <c r="C5" s="1572">
        <v>993649</v>
      </c>
      <c r="D5" s="1573">
        <v>130469</v>
      </c>
      <c r="E5" s="1573"/>
      <c r="F5" s="1573">
        <v>430469</v>
      </c>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1156753</v>
      </c>
      <c r="D13" s="1587">
        <f t="shared" ref="D13:L13" si="0">SUM(D4:D12)</f>
        <v>298805</v>
      </c>
      <c r="E13" s="1587">
        <f t="shared" si="0"/>
        <v>107434</v>
      </c>
      <c r="F13" s="1587">
        <f t="shared" si="0"/>
        <v>674451</v>
      </c>
      <c r="G13" s="1587">
        <f t="shared" si="0"/>
        <v>102440</v>
      </c>
      <c r="H13" s="1587">
        <f t="shared" si="0"/>
        <v>68254</v>
      </c>
      <c r="I13" s="1587">
        <f t="shared" si="0"/>
        <v>262524</v>
      </c>
      <c r="J13" s="1587">
        <f t="shared" si="0"/>
        <v>10901</v>
      </c>
      <c r="K13" s="1587">
        <f t="shared" si="0"/>
        <v>1278</v>
      </c>
      <c r="L13" s="1587">
        <f t="shared" si="0"/>
        <v>30788</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164809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20277754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839778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2137520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107434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6096073</v>
      </c>
    </row>
    <row r="23" spans="1:14" ht="13.5" customHeight="1" thickBot="1" x14ac:dyDescent="0.25">
      <c r="A23" s="1426" t="s">
        <v>638</v>
      </c>
      <c r="B23" s="1429"/>
      <c r="C23" s="1575"/>
      <c r="D23" s="1575"/>
      <c r="E23" s="1575"/>
      <c r="F23" s="1575"/>
      <c r="G23" s="1575"/>
      <c r="H23" s="1575"/>
      <c r="I23" s="1575"/>
      <c r="J23" s="1575"/>
      <c r="K23" s="1575"/>
      <c r="L23" s="1575"/>
      <c r="M23" s="1594">
        <f>SUM(M15:M22)</f>
        <v>23419861</v>
      </c>
      <c r="N23" s="1594">
        <f>SUM(N21:N22)</f>
        <v>6203507</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30788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30788</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6203507</v>
      </c>
    </row>
    <row r="37" spans="1:14" ht="13.5" thickBot="1" x14ac:dyDescent="0.25">
      <c r="A37" s="1426" t="s">
        <v>648</v>
      </c>
      <c r="B37" s="1429"/>
      <c r="C37" s="1582"/>
      <c r="D37" s="1582"/>
      <c r="E37" s="1582"/>
      <c r="F37" s="1582"/>
      <c r="G37" s="1582"/>
      <c r="H37" s="1582"/>
      <c r="I37" s="1582"/>
      <c r="J37" s="1582"/>
      <c r="K37" s="1582"/>
      <c r="L37" s="1585"/>
      <c r="M37" s="1575"/>
      <c r="N37" s="1594">
        <f>SUM(N36:N36)</f>
        <v>6203507</v>
      </c>
    </row>
    <row r="38" spans="1:14" s="307" customFormat="1" ht="13.5" customHeight="1" thickTop="1" x14ac:dyDescent="0.2">
      <c r="A38" s="438" t="s">
        <v>417</v>
      </c>
      <c r="B38" s="432">
        <v>714</v>
      </c>
      <c r="C38" s="1573"/>
      <c r="D38" s="1573"/>
      <c r="E38" s="1573"/>
      <c r="F38" s="1573"/>
      <c r="G38" s="1573">
        <v>102440</v>
      </c>
      <c r="H38" s="1573">
        <v>50000</v>
      </c>
      <c r="I38" s="1573"/>
      <c r="J38" s="1574"/>
      <c r="K38" s="1573"/>
      <c r="L38" s="1586"/>
      <c r="M38" s="1604"/>
      <c r="N38" s="1604"/>
    </row>
    <row r="39" spans="1:14" s="307" customFormat="1" ht="13.5" customHeight="1" x14ac:dyDescent="0.2">
      <c r="A39" s="438" t="s">
        <v>339</v>
      </c>
      <c r="B39" s="432">
        <v>730</v>
      </c>
      <c r="C39" s="1573">
        <v>1156753</v>
      </c>
      <c r="D39" s="1573">
        <v>298805</v>
      </c>
      <c r="E39" s="1573">
        <v>107434</v>
      </c>
      <c r="F39" s="1573">
        <v>674451</v>
      </c>
      <c r="G39" s="1573"/>
      <c r="H39" s="1573">
        <v>18254</v>
      </c>
      <c r="I39" s="1573">
        <v>262524</v>
      </c>
      <c r="J39" s="1574">
        <v>10901</v>
      </c>
      <c r="K39" s="1573">
        <v>1278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23419861</v>
      </c>
      <c r="N40" s="1604"/>
    </row>
    <row r="41" spans="1:14" ht="13.5" customHeight="1" thickBot="1" x14ac:dyDescent="0.25">
      <c r="A41" s="1426" t="s">
        <v>650</v>
      </c>
      <c r="B41" s="1405"/>
      <c r="C41" s="1594">
        <f>(SUM(C34,C37,C38,C39))</f>
        <v>1156753</v>
      </c>
      <c r="D41" s="1594">
        <f t="shared" ref="D41:L41" si="2">SUM(D34,D37,D38:D39)</f>
        <v>298805</v>
      </c>
      <c r="E41" s="1594">
        <f t="shared" si="2"/>
        <v>107434</v>
      </c>
      <c r="F41" s="1594">
        <f t="shared" si="2"/>
        <v>674451</v>
      </c>
      <c r="G41" s="1594">
        <f t="shared" si="2"/>
        <v>102440</v>
      </c>
      <c r="H41" s="1594">
        <f t="shared" si="2"/>
        <v>68254</v>
      </c>
      <c r="I41" s="1594">
        <f t="shared" si="2"/>
        <v>262524</v>
      </c>
      <c r="J41" s="1594">
        <f t="shared" si="2"/>
        <v>10901</v>
      </c>
      <c r="K41" s="1594">
        <f t="shared" si="2"/>
        <v>1278</v>
      </c>
      <c r="L41" s="1594">
        <f t="shared" si="2"/>
        <v>30788</v>
      </c>
      <c r="M41" s="1594">
        <f>SUM(M40)</f>
        <v>23419861</v>
      </c>
      <c r="N41" s="1594">
        <f>SUM(N37)</f>
        <v>6203507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2402922</v>
      </c>
      <c r="D4" s="1606">
        <f>'Revenues 9-14'!D109</f>
        <v>445132</v>
      </c>
      <c r="E4" s="1606">
        <f>'Revenues 9-14'!E109</f>
        <v>967167</v>
      </c>
      <c r="F4" s="1606">
        <f>'Revenues 9-14'!F109</f>
        <v>229387</v>
      </c>
      <c r="G4" s="1606">
        <f>'Revenues 9-14'!G109</f>
        <v>167503</v>
      </c>
      <c r="H4" s="1606">
        <f>'Revenues 9-14'!H109</f>
        <v>44</v>
      </c>
      <c r="I4" s="1606">
        <f>'Revenues 9-14'!I109</f>
        <v>0</v>
      </c>
      <c r="J4" s="1606">
        <f>'Revenues 9-14'!J109</f>
        <v>54114</v>
      </c>
      <c r="K4" s="1606">
        <f>'Revenues 9-14'!K109</f>
        <v>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2738642</v>
      </c>
      <c r="D6" s="1607">
        <f>'Revenues 9-14'!D170</f>
        <v>0</v>
      </c>
      <c r="E6" s="1607">
        <f>'Revenues 9-14'!E170</f>
        <v>0</v>
      </c>
      <c r="F6" s="1607">
        <f>'Revenues 9-14'!F170</f>
        <v>164638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337387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5478951</v>
      </c>
      <c r="D8" s="1594">
        <f t="shared" ref="D8:K8" si="0">SUM(D4:D7)</f>
        <v>445132</v>
      </c>
      <c r="E8" s="1594">
        <f t="shared" si="0"/>
        <v>967167</v>
      </c>
      <c r="F8" s="1594">
        <f t="shared" si="0"/>
        <v>394025</v>
      </c>
      <c r="G8" s="1594">
        <f t="shared" si="0"/>
        <v>167503</v>
      </c>
      <c r="H8" s="1594">
        <f t="shared" si="0"/>
        <v>50044</v>
      </c>
      <c r="I8" s="1594">
        <f t="shared" si="0"/>
        <v>0</v>
      </c>
      <c r="J8" s="1594">
        <f t="shared" si="0"/>
        <v>54114</v>
      </c>
      <c r="K8" s="1594">
        <f t="shared" si="0"/>
        <v>1</v>
      </c>
      <c r="L8" s="325"/>
    </row>
    <row r="9" spans="1:13" ht="15.75" thickTop="1" x14ac:dyDescent="0.2">
      <c r="A9" s="449" t="s">
        <v>1634</v>
      </c>
      <c r="B9" s="450">
        <v>3998</v>
      </c>
      <c r="C9" s="1586">
        <v>3018694</v>
      </c>
      <c r="D9" s="1613"/>
      <c r="E9" s="1586"/>
      <c r="F9" s="1586"/>
      <c r="G9" s="1614"/>
      <c r="H9" s="1586"/>
      <c r="I9" s="1609" t="s">
        <v>1159</v>
      </c>
      <c r="J9" s="1583"/>
      <c r="K9" s="1586"/>
      <c r="L9" s="325"/>
    </row>
    <row r="10" spans="1:13" s="452" customFormat="1" ht="13.5" thickBot="1" x14ac:dyDescent="0.25">
      <c r="A10" s="1426" t="s">
        <v>1163</v>
      </c>
      <c r="B10" s="1407"/>
      <c r="C10" s="1594">
        <f>SUM(C8:C9)</f>
        <v>8497645</v>
      </c>
      <c r="D10" s="1594">
        <f t="shared" ref="D10:K10" si="1">SUM(D8:D9)</f>
        <v>445132</v>
      </c>
      <c r="E10" s="1594">
        <f t="shared" si="1"/>
        <v>967167</v>
      </c>
      <c r="F10" s="1594">
        <f t="shared" si="1"/>
        <v>394025</v>
      </c>
      <c r="G10" s="1594">
        <f t="shared" si="1"/>
        <v>167503</v>
      </c>
      <c r="H10" s="1594">
        <f t="shared" si="1"/>
        <v>50044</v>
      </c>
      <c r="I10" s="1594">
        <f t="shared" si="1"/>
        <v>0</v>
      </c>
      <c r="J10" s="1594">
        <f t="shared" si="1"/>
        <v>54114</v>
      </c>
      <c r="K10" s="1594">
        <f t="shared" si="1"/>
        <v>1</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4117289</v>
      </c>
      <c r="D12" s="1616" t="s">
        <v>1159</v>
      </c>
      <c r="E12" s="1575" t="s">
        <v>1159</v>
      </c>
      <c r="F12" s="1575" t="s">
        <v>1159</v>
      </c>
      <c r="G12" s="1606">
        <f>'Expenditures 15-22'!K229</f>
        <v>70359</v>
      </c>
      <c r="H12" s="1617"/>
      <c r="I12" s="1575" t="s">
        <v>1159</v>
      </c>
      <c r="J12" s="1575" t="s">
        <v>1159</v>
      </c>
      <c r="K12" s="1617" t="s">
        <v>1159</v>
      </c>
      <c r="L12" s="325"/>
    </row>
    <row r="13" spans="1:13" ht="15.75" customHeight="1" x14ac:dyDescent="0.2">
      <c r="A13" s="1314" t="s">
        <v>454</v>
      </c>
      <c r="B13" s="1316">
        <v>2000</v>
      </c>
      <c r="C13" s="1607">
        <f>'Expenditures 15-22'!K74</f>
        <v>1726539</v>
      </c>
      <c r="D13" s="1607">
        <f>'Expenditures 15-22'!K129</f>
        <v>1014586</v>
      </c>
      <c r="E13" s="1576" t="s">
        <v>1159</v>
      </c>
      <c r="F13" s="1607">
        <f>'Expenditures 15-22'!K184</f>
        <v>263482</v>
      </c>
      <c r="G13" s="1607">
        <f>'Expenditures 15-22'!K279</f>
        <v>112048</v>
      </c>
      <c r="H13" s="1607">
        <f>'Expenditures 15-22'!K303</f>
        <v>53457</v>
      </c>
      <c r="I13" s="1575" t="s">
        <v>1159</v>
      </c>
      <c r="J13" s="1607">
        <f>'Expenditures 15-22'!K330</f>
        <v>71622</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174196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800</v>
      </c>
      <c r="D16" s="1607">
        <f>'Expenditures 15-22'!K149</f>
        <v>0</v>
      </c>
      <c r="E16" s="1607">
        <f>'Expenditures 15-22'!K172</f>
        <v>998631</v>
      </c>
      <c r="F16" s="1607">
        <f>'Expenditures 15-22'!K208</f>
        <v>71047</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6018824</v>
      </c>
      <c r="D17" s="1594">
        <f t="shared" si="2"/>
        <v>1014586</v>
      </c>
      <c r="E17" s="1594">
        <f t="shared" si="2"/>
        <v>998631</v>
      </c>
      <c r="F17" s="1594">
        <f t="shared" si="2"/>
        <v>334529</v>
      </c>
      <c r="G17" s="1594">
        <f t="shared" si="2"/>
        <v>182407</v>
      </c>
      <c r="H17" s="1594">
        <f t="shared" si="2"/>
        <v>53457</v>
      </c>
      <c r="I17" s="1575"/>
      <c r="J17" s="1594">
        <f>SUM(J12:J16)</f>
        <v>71622</v>
      </c>
      <c r="K17" s="1594">
        <f>SUM(K12:K16)</f>
        <v>0</v>
      </c>
      <c r="L17" s="325"/>
    </row>
    <row r="18" spans="1:12" ht="15" customHeight="1" thickTop="1" x14ac:dyDescent="0.2">
      <c r="A18" s="1430" t="s">
        <v>1635</v>
      </c>
      <c r="B18" s="1431">
        <v>4180</v>
      </c>
      <c r="C18" s="1606">
        <f t="shared" ref="C18:H18" si="3">C9</f>
        <v>3018694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9037518</v>
      </c>
      <c r="D19" s="1594">
        <f t="shared" si="4"/>
        <v>1014586</v>
      </c>
      <c r="E19" s="1594">
        <f t="shared" si="4"/>
        <v>998631</v>
      </c>
      <c r="F19" s="1594">
        <f t="shared" si="4"/>
        <v>334529</v>
      </c>
      <c r="G19" s="1594">
        <f t="shared" si="4"/>
        <v>182407</v>
      </c>
      <c r="H19" s="1594">
        <f t="shared" si="4"/>
        <v>53457</v>
      </c>
      <c r="I19" s="1575"/>
      <c r="J19" s="1594">
        <f>SUM(J17:J18)</f>
        <v>71622</v>
      </c>
      <c r="K19" s="1594">
        <f>SUM(K17:K18)</f>
        <v>0</v>
      </c>
      <c r="L19" s="325"/>
    </row>
    <row r="20" spans="1:12" ht="16.5" thickTop="1" thickBot="1" x14ac:dyDescent="0.25">
      <c r="A20" s="2234" t="s">
        <v>1636</v>
      </c>
      <c r="B20" s="2235"/>
      <c r="C20" s="1622">
        <f>C8-C17</f>
        <v>-539873</v>
      </c>
      <c r="D20" s="1622">
        <f t="shared" ref="D20:K20" si="5">D8-D17</f>
        <v>-569454</v>
      </c>
      <c r="E20" s="1622">
        <f t="shared" si="5"/>
        <v>-31464</v>
      </c>
      <c r="F20" s="1622">
        <f t="shared" si="5"/>
        <v>59496</v>
      </c>
      <c r="G20" s="1622">
        <f t="shared" si="5"/>
        <v>-14904</v>
      </c>
      <c r="H20" s="1622">
        <f t="shared" si="5"/>
        <v>-3413</v>
      </c>
      <c r="I20" s="1622">
        <f t="shared" si="5"/>
        <v>0</v>
      </c>
      <c r="J20" s="1622">
        <f t="shared" si="5"/>
        <v>-17508</v>
      </c>
      <c r="K20" s="1622">
        <f t="shared" si="5"/>
        <v>1</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465476</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80000</v>
      </c>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750000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v>31789</v>
      </c>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80000</v>
      </c>
      <c r="D44" s="1624">
        <f t="shared" ref="D44:K44" si="6">SUM(D24:D43)</f>
        <v>465476</v>
      </c>
      <c r="E44" s="1624">
        <f t="shared" si="6"/>
        <v>31789</v>
      </c>
      <c r="F44" s="1624">
        <f t="shared" si="6"/>
        <v>0</v>
      </c>
      <c r="G44" s="1624">
        <f t="shared" si="6"/>
        <v>0</v>
      </c>
      <c r="H44" s="1624">
        <f t="shared" si="6"/>
        <v>0</v>
      </c>
      <c r="I44" s="1624">
        <f t="shared" si="6"/>
        <v>750000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465476</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80000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v>31789</v>
      </c>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22000</v>
      </c>
      <c r="J75" s="1626"/>
      <c r="K75" s="1628"/>
      <c r="L75" s="453"/>
    </row>
    <row r="76" spans="1:12" s="433" customFormat="1" ht="14.25" thickTop="1" thickBot="1" x14ac:dyDescent="0.25">
      <c r="A76" s="2224" t="s">
        <v>437</v>
      </c>
      <c r="B76" s="2225"/>
      <c r="C76" s="1624">
        <f t="shared" ref="C76:K76" si="7">SUM(C47:C75)</f>
        <v>31789</v>
      </c>
      <c r="D76" s="1624">
        <f t="shared" si="7"/>
        <v>0</v>
      </c>
      <c r="E76" s="1624">
        <f t="shared" si="7"/>
        <v>0</v>
      </c>
      <c r="F76" s="1624">
        <f t="shared" si="7"/>
        <v>80000</v>
      </c>
      <c r="G76" s="1624">
        <f t="shared" si="7"/>
        <v>0</v>
      </c>
      <c r="H76" s="1624">
        <f t="shared" si="7"/>
        <v>0</v>
      </c>
      <c r="I76" s="1624">
        <f t="shared" si="7"/>
        <v>487476</v>
      </c>
      <c r="J76" s="1624">
        <f t="shared" si="7"/>
        <v>0</v>
      </c>
      <c r="K76" s="1624">
        <f t="shared" si="7"/>
        <v>0</v>
      </c>
      <c r="L76" s="453"/>
    </row>
    <row r="77" spans="1:12" ht="14.25" thickTop="1" thickBot="1" x14ac:dyDescent="0.25">
      <c r="A77" s="2226" t="s">
        <v>1167</v>
      </c>
      <c r="B77" s="2227"/>
      <c r="C77" s="1624">
        <f t="shared" ref="C77:K77" si="8">C44-C76</f>
        <v>48211</v>
      </c>
      <c r="D77" s="1624">
        <f t="shared" si="8"/>
        <v>465476</v>
      </c>
      <c r="E77" s="1624">
        <f t="shared" si="8"/>
        <v>31789</v>
      </c>
      <c r="F77" s="1624">
        <f t="shared" si="8"/>
        <v>-80000</v>
      </c>
      <c r="G77" s="1624">
        <f t="shared" si="8"/>
        <v>0</v>
      </c>
      <c r="H77" s="1624">
        <f t="shared" si="8"/>
        <v>0</v>
      </c>
      <c r="I77" s="1624">
        <f t="shared" si="8"/>
        <v>262524</v>
      </c>
      <c r="J77" s="1624">
        <f t="shared" si="8"/>
        <v>0</v>
      </c>
      <c r="K77" s="1624">
        <f t="shared" si="8"/>
        <v>0</v>
      </c>
      <c r="L77" s="325"/>
    </row>
    <row r="78" spans="1:12" ht="21.75" customHeight="1" thickTop="1" thickBot="1" x14ac:dyDescent="0.25">
      <c r="A78" s="2230" t="s">
        <v>593</v>
      </c>
      <c r="B78" s="2231"/>
      <c r="C78" s="1629">
        <f t="shared" ref="C78:K78" si="9">C20+C77</f>
        <v>-491662</v>
      </c>
      <c r="D78" s="1629">
        <f t="shared" si="9"/>
        <v>-103978</v>
      </c>
      <c r="E78" s="1629">
        <f t="shared" si="9"/>
        <v>325</v>
      </c>
      <c r="F78" s="1629">
        <f t="shared" si="9"/>
        <v>-20504</v>
      </c>
      <c r="G78" s="1629">
        <f t="shared" si="9"/>
        <v>-14904</v>
      </c>
      <c r="H78" s="1629">
        <f t="shared" si="9"/>
        <v>-3413</v>
      </c>
      <c r="I78" s="1629">
        <f t="shared" si="9"/>
        <v>262524</v>
      </c>
      <c r="J78" s="1629">
        <f t="shared" si="9"/>
        <v>-17508</v>
      </c>
      <c r="K78" s="1629">
        <f t="shared" si="9"/>
        <v>1</v>
      </c>
      <c r="L78" s="457"/>
    </row>
    <row r="79" spans="1:12" ht="13.5" thickTop="1" x14ac:dyDescent="0.2">
      <c r="A79" s="1844" t="str">
        <f>"Fund Balances - July 1, "&amp;'AFR20'!E2-1</f>
        <v>Fund Balances - July 1, 2019</v>
      </c>
      <c r="B79" s="458"/>
      <c r="C79" s="1583">
        <v>1648415</v>
      </c>
      <c r="D79" s="1630">
        <v>402783</v>
      </c>
      <c r="E79" s="1630">
        <v>107109</v>
      </c>
      <c r="F79" s="1630">
        <v>694955</v>
      </c>
      <c r="G79" s="1630">
        <v>117344</v>
      </c>
      <c r="H79" s="1630">
        <v>71667</v>
      </c>
      <c r="I79" s="1630">
        <v>0</v>
      </c>
      <c r="J79" s="1630">
        <v>28409</v>
      </c>
      <c r="K79" s="1630">
        <v>1277</v>
      </c>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1156753</v>
      </c>
      <c r="D81" s="1594">
        <f>SUM(D78:D80)</f>
        <v>298805</v>
      </c>
      <c r="E81" s="1594">
        <f t="shared" ref="E81:K81" si="10">SUM(E78:E80)</f>
        <v>107434</v>
      </c>
      <c r="F81" s="1594">
        <f t="shared" si="10"/>
        <v>674451</v>
      </c>
      <c r="G81" s="1594">
        <f t="shared" si="10"/>
        <v>102440</v>
      </c>
      <c r="H81" s="1594">
        <f t="shared" si="10"/>
        <v>68254</v>
      </c>
      <c r="I81" s="1594">
        <f t="shared" si="10"/>
        <v>262524</v>
      </c>
      <c r="J81" s="1594">
        <f t="shared" si="10"/>
        <v>10901</v>
      </c>
      <c r="K81" s="1594">
        <f t="shared" si="10"/>
        <v>1278</v>
      </c>
      <c r="L81" s="325"/>
    </row>
    <row r="82" spans="1:12" ht="0.75" customHeight="1" thickTop="1" thickBot="1" x14ac:dyDescent="0.25">
      <c r="A82" s="459" t="s">
        <v>340</v>
      </c>
      <c r="B82" s="460"/>
      <c r="C82" s="461">
        <f>(C81-C79)</f>
        <v>-491662</v>
      </c>
      <c r="D82" s="461">
        <f t="shared" ref="D82:K82" si="11">(D81-D79)</f>
        <v>-103978</v>
      </c>
      <c r="E82" s="461">
        <f t="shared" si="11"/>
        <v>325</v>
      </c>
      <c r="F82" s="461">
        <f t="shared" si="11"/>
        <v>-20504</v>
      </c>
      <c r="G82" s="461">
        <f t="shared" si="11"/>
        <v>-14904</v>
      </c>
      <c r="H82" s="461">
        <f t="shared" si="11"/>
        <v>-3413</v>
      </c>
      <c r="I82" s="461">
        <f t="shared" si="11"/>
        <v>262524</v>
      </c>
      <c r="J82" s="461">
        <f t="shared" si="11"/>
        <v>-17508</v>
      </c>
      <c r="K82" s="461">
        <f t="shared" si="11"/>
        <v>1</v>
      </c>
    </row>
    <row r="83" spans="1:12" ht="14.25" hidden="1" thickTop="1" thickBot="1" x14ac:dyDescent="0.25">
      <c r="A83" s="462" t="s">
        <v>341</v>
      </c>
      <c r="B83" s="428"/>
      <c r="C83" s="463">
        <f>C82/C81</f>
        <v>-0.42503628691691314</v>
      </c>
      <c r="D83" s="463">
        <f t="shared" ref="D83:K83" si="12">D82/D81</f>
        <v>-0.34797945148173559</v>
      </c>
      <c r="E83" s="463">
        <f t="shared" si="12"/>
        <v>3.0251130926894653E-3</v>
      </c>
      <c r="F83" s="463">
        <f t="shared" si="12"/>
        <v>-3.0401022461231431E-2</v>
      </c>
      <c r="G83" s="463">
        <f t="shared" si="12"/>
        <v>-0.14549004295197188</v>
      </c>
      <c r="H83" s="463">
        <f t="shared" si="12"/>
        <v>-5.0004395346792865E-2</v>
      </c>
      <c r="I83" s="463">
        <f t="shared" si="12"/>
        <v>1</v>
      </c>
      <c r="J83" s="463">
        <f t="shared" si="12"/>
        <v>-1.6060911842950187</v>
      </c>
      <c r="K83" s="463">
        <f t="shared" si="12"/>
        <v>7.8247261345852897E-4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2008462</v>
      </c>
      <c r="D5" s="1586">
        <v>442387</v>
      </c>
      <c r="E5" s="1573">
        <v>349135</v>
      </c>
      <c r="F5" s="1631">
        <v>101765</v>
      </c>
      <c r="G5" s="1573">
        <v>55476</v>
      </c>
      <c r="H5" s="1573"/>
      <c r="I5" s="1573"/>
      <c r="J5" s="1574">
        <v>54100</v>
      </c>
      <c r="K5" s="1573"/>
    </row>
    <row r="6" spans="1:12" ht="15" x14ac:dyDescent="0.2">
      <c r="A6" s="427" t="s">
        <v>1643</v>
      </c>
      <c r="B6" s="429">
        <v>1130</v>
      </c>
      <c r="C6" s="1573">
        <v>35921</v>
      </c>
      <c r="D6" s="1573"/>
      <c r="E6" s="1580"/>
      <c r="F6" s="1580"/>
      <c r="G6" s="1575"/>
      <c r="H6" s="1575"/>
      <c r="I6" s="1575"/>
      <c r="J6" s="1575"/>
      <c r="K6" s="1575"/>
    </row>
    <row r="7" spans="1:12" x14ac:dyDescent="0.2">
      <c r="A7" s="427" t="s">
        <v>110</v>
      </c>
      <c r="B7" s="471">
        <v>1140</v>
      </c>
      <c r="C7" s="1573">
        <v>24676</v>
      </c>
      <c r="D7" s="1573"/>
      <c r="E7" s="1575"/>
      <c r="F7" s="1574"/>
      <c r="G7" s="1574"/>
      <c r="H7" s="1574"/>
      <c r="I7" s="1575"/>
      <c r="J7" s="1575"/>
      <c r="K7" s="1575"/>
    </row>
    <row r="8" spans="1:12" x14ac:dyDescent="0.2">
      <c r="A8" s="427" t="s">
        <v>410</v>
      </c>
      <c r="B8" s="429">
        <v>1150</v>
      </c>
      <c r="C8" s="1580"/>
      <c r="D8" s="1580"/>
      <c r="E8" s="1582"/>
      <c r="F8" s="1582"/>
      <c r="G8" s="1586">
        <v>101887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2069059</v>
      </c>
      <c r="D12" s="1633">
        <f t="shared" si="0"/>
        <v>442387</v>
      </c>
      <c r="E12" s="1633">
        <f t="shared" si="0"/>
        <v>349135</v>
      </c>
      <c r="F12" s="1633">
        <f t="shared" si="0"/>
        <v>101765</v>
      </c>
      <c r="G12" s="1633">
        <f t="shared" si="0"/>
        <v>157363</v>
      </c>
      <c r="H12" s="1633">
        <f t="shared" si="0"/>
        <v>0</v>
      </c>
      <c r="I12" s="1633">
        <f t="shared" si="0"/>
        <v>0</v>
      </c>
      <c r="J12" s="1633">
        <f t="shared" si="0"/>
        <v>54100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38876</v>
      </c>
      <c r="D16" s="1573"/>
      <c r="E16" s="1573"/>
      <c r="F16" s="1573"/>
      <c r="G16" s="1573">
        <v>10000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38876</v>
      </c>
      <c r="D18" s="1635">
        <f t="shared" ref="D18:K18" si="1">SUM(D14:D17)</f>
        <v>0</v>
      </c>
      <c r="E18" s="1635">
        <f t="shared" si="1"/>
        <v>0</v>
      </c>
      <c r="F18" s="1635">
        <f t="shared" si="1"/>
        <v>0</v>
      </c>
      <c r="G18" s="1635">
        <f t="shared" si="1"/>
        <v>10000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v>3400</v>
      </c>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v>121372</v>
      </c>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124772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22986</v>
      </c>
      <c r="D65" s="1573">
        <v>2745</v>
      </c>
      <c r="E65" s="1573">
        <v>126</v>
      </c>
      <c r="F65" s="1574">
        <v>2850</v>
      </c>
      <c r="G65" s="1573">
        <v>140</v>
      </c>
      <c r="H65" s="1573">
        <v>44</v>
      </c>
      <c r="I65" s="1573"/>
      <c r="J65" s="1574">
        <v>14</v>
      </c>
      <c r="K65" s="1573">
        <v>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22986</v>
      </c>
      <c r="D67" s="1594">
        <f t="shared" ref="D67:K67" si="2">SUM(D65:D66)</f>
        <v>2745</v>
      </c>
      <c r="E67" s="1594">
        <f t="shared" si="2"/>
        <v>126</v>
      </c>
      <c r="F67" s="1594">
        <f t="shared" si="2"/>
        <v>2850</v>
      </c>
      <c r="G67" s="1594">
        <f t="shared" si="2"/>
        <v>140</v>
      </c>
      <c r="H67" s="1594">
        <f t="shared" si="2"/>
        <v>44</v>
      </c>
      <c r="I67" s="1594">
        <f t="shared" si="2"/>
        <v>0</v>
      </c>
      <c r="J67" s="1594">
        <f t="shared" si="2"/>
        <v>14</v>
      </c>
      <c r="K67" s="1594">
        <f t="shared" si="2"/>
        <v>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104255</v>
      </c>
      <c r="D69" s="1575"/>
      <c r="E69" s="1575"/>
      <c r="F69" s="1575"/>
      <c r="G69" s="1575"/>
      <c r="H69" s="1575"/>
      <c r="I69" s="1575"/>
      <c r="J69" s="1575"/>
      <c r="K69" s="1575"/>
    </row>
    <row r="70" spans="1:11" ht="12.75" customHeight="1" x14ac:dyDescent="0.2">
      <c r="A70" s="427" t="s">
        <v>990</v>
      </c>
      <c r="B70" s="429">
        <v>1612</v>
      </c>
      <c r="C70" s="1632">
        <v>8058</v>
      </c>
      <c r="D70" s="1575"/>
      <c r="E70" s="1575"/>
      <c r="F70" s="1575"/>
      <c r="G70" s="1575"/>
      <c r="H70" s="1575"/>
      <c r="I70" s="1575"/>
      <c r="J70" s="1575"/>
      <c r="K70" s="1575"/>
    </row>
    <row r="71" spans="1:11" ht="12.75" customHeight="1" x14ac:dyDescent="0.2">
      <c r="A71" s="427" t="s">
        <v>271</v>
      </c>
      <c r="B71" s="429">
        <v>1613</v>
      </c>
      <c r="C71" s="1632">
        <v>47093</v>
      </c>
      <c r="D71" s="1575"/>
      <c r="E71" s="1575"/>
      <c r="F71" s="1575"/>
      <c r="G71" s="1575"/>
      <c r="H71" s="1575"/>
      <c r="I71" s="1575"/>
      <c r="J71" s="1575"/>
      <c r="K71" s="1575"/>
    </row>
    <row r="72" spans="1:11" ht="12.75" customHeight="1" x14ac:dyDescent="0.2">
      <c r="A72" s="427" t="s">
        <v>24</v>
      </c>
      <c r="B72" s="429">
        <v>1614</v>
      </c>
      <c r="C72" s="1632">
        <v>9392</v>
      </c>
      <c r="D72" s="1575"/>
      <c r="E72" s="1575"/>
      <c r="F72" s="1575"/>
      <c r="G72" s="1575"/>
      <c r="H72" s="1575"/>
      <c r="I72" s="1575"/>
      <c r="J72" s="1575"/>
      <c r="K72" s="1575"/>
    </row>
    <row r="73" spans="1:11" ht="12.75" customHeight="1" x14ac:dyDescent="0.2">
      <c r="A73" s="427" t="s">
        <v>991</v>
      </c>
      <c r="B73" s="429">
        <v>1620</v>
      </c>
      <c r="C73" s="1632">
        <v>3575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172373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13009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7665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15960</v>
      </c>
      <c r="D81" s="1573"/>
      <c r="E81" s="1575"/>
      <c r="F81" s="1575"/>
      <c r="G81" s="1575"/>
      <c r="H81" s="1575"/>
      <c r="I81" s="1575"/>
      <c r="J81" s="1575"/>
      <c r="K81" s="1575"/>
    </row>
    <row r="82" spans="1:11" ht="12.75" customHeight="1" thickBot="1" x14ac:dyDescent="0.25">
      <c r="A82" s="1406" t="s">
        <v>239</v>
      </c>
      <c r="B82" s="1407"/>
      <c r="C82" s="1633">
        <f>SUM(C77:C81)</f>
        <v>36634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48818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48818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2580</v>
      </c>
      <c r="D95" s="1632"/>
      <c r="E95" s="1617"/>
      <c r="F95" s="1617"/>
      <c r="G95" s="1617"/>
      <c r="H95" s="1617"/>
      <c r="I95" s="1617"/>
      <c r="J95" s="1617"/>
      <c r="K95" s="1617"/>
    </row>
    <row r="96" spans="1:11" ht="12.75" customHeight="1" x14ac:dyDescent="0.2">
      <c r="A96" s="427" t="s">
        <v>388</v>
      </c>
      <c r="B96" s="429">
        <v>1920</v>
      </c>
      <c r="C96" s="1632">
        <v>9384</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617906</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2212</v>
      </c>
      <c r="D107" s="1573"/>
      <c r="E107" s="1573"/>
      <c r="F107" s="1573"/>
      <c r="G107" s="1573"/>
      <c r="H107" s="1573"/>
      <c r="I107" s="1573"/>
      <c r="J107" s="1574"/>
      <c r="K107" s="1573"/>
    </row>
    <row r="108" spans="1:12" ht="12.75" customHeight="1" thickBot="1" x14ac:dyDescent="0.25">
      <c r="A108" s="1406" t="s">
        <v>484</v>
      </c>
      <c r="B108" s="1408"/>
      <c r="C108" s="1633">
        <f>SUM(C95:C107)</f>
        <v>14176</v>
      </c>
      <c r="D108" s="1633">
        <f t="shared" ref="D108:K108" si="3">SUM(D95:D107)</f>
        <v>0</v>
      </c>
      <c r="E108" s="1633">
        <f t="shared" si="3"/>
        <v>617906</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2402922</v>
      </c>
      <c r="D109" s="1641">
        <f t="shared" si="4"/>
        <v>445132</v>
      </c>
      <c r="E109" s="1641">
        <f t="shared" si="4"/>
        <v>967167</v>
      </c>
      <c r="F109" s="1641">
        <f t="shared" si="4"/>
        <v>229387</v>
      </c>
      <c r="G109" s="1641">
        <f t="shared" si="4"/>
        <v>167503</v>
      </c>
      <c r="H109" s="1641">
        <f t="shared" si="4"/>
        <v>44</v>
      </c>
      <c r="I109" s="1641">
        <f t="shared" si="4"/>
        <v>0</v>
      </c>
      <c r="J109" s="1641">
        <f t="shared" si="4"/>
        <v>54114</v>
      </c>
      <c r="K109" s="1629">
        <f t="shared" si="4"/>
        <v>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2717054</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2717054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12009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8190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20199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639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136314</v>
      </c>
      <c r="G152" s="1574"/>
      <c r="H152" s="1575"/>
      <c r="I152" s="1575"/>
      <c r="J152" s="1575"/>
      <c r="K152" s="1575"/>
    </row>
    <row r="153" spans="1:11" ht="12.75" customHeight="1" x14ac:dyDescent="0.2">
      <c r="A153" s="427" t="s">
        <v>1048</v>
      </c>
      <c r="B153" s="478">
        <v>3510</v>
      </c>
      <c r="C153" s="1632"/>
      <c r="D153" s="1573"/>
      <c r="E153" s="1640"/>
      <c r="F153" s="1573">
        <v>28324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164638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21588</v>
      </c>
      <c r="D169" s="1658">
        <f t="shared" si="6"/>
        <v>0</v>
      </c>
      <c r="E169" s="1658">
        <f t="shared" si="6"/>
        <v>0</v>
      </c>
      <c r="F169" s="1658">
        <f t="shared" si="6"/>
        <v>164638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2738642</v>
      </c>
      <c r="D170" s="1641">
        <f t="shared" si="7"/>
        <v>0</v>
      </c>
      <c r="E170" s="1641">
        <f t="shared" si="7"/>
        <v>0</v>
      </c>
      <c r="F170" s="1641">
        <f t="shared" si="7"/>
        <v>164638</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70171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8355</v>
      </c>
      <c r="D193" s="1575"/>
      <c r="E193" s="1640"/>
      <c r="F193" s="1575"/>
      <c r="G193" s="1664"/>
      <c r="H193" s="1575"/>
      <c r="I193" s="1575"/>
      <c r="J193" s="1575"/>
      <c r="K193" s="1575"/>
    </row>
    <row r="194" spans="1:11" ht="12.75" customHeight="1" x14ac:dyDescent="0.2">
      <c r="A194" s="427" t="s">
        <v>1434</v>
      </c>
      <c r="B194" s="429">
        <v>4225</v>
      </c>
      <c r="C194" s="1632">
        <v>16005</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94531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44633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44633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5154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5154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3986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164735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168721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10969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13379</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337387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337387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5478951</v>
      </c>
      <c r="D268" s="1641">
        <f t="shared" si="12"/>
        <v>445132</v>
      </c>
      <c r="E268" s="1641">
        <f t="shared" si="12"/>
        <v>967167</v>
      </c>
      <c r="F268" s="1641">
        <f t="shared" si="12"/>
        <v>394025</v>
      </c>
      <c r="G268" s="1641">
        <f t="shared" si="12"/>
        <v>167503</v>
      </c>
      <c r="H268" s="1641">
        <f t="shared" si="12"/>
        <v>50044</v>
      </c>
      <c r="I268" s="1641">
        <f t="shared" si="12"/>
        <v>0</v>
      </c>
      <c r="J268" s="1641">
        <f t="shared" si="12"/>
        <v>54114</v>
      </c>
      <c r="K268" s="1629">
        <f t="shared" si="12"/>
        <v>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2537811</v>
      </c>
      <c r="D5" s="1573">
        <v>666402</v>
      </c>
      <c r="E5" s="1573">
        <v>28915</v>
      </c>
      <c r="F5" s="1573">
        <v>160944</v>
      </c>
      <c r="G5" s="1573">
        <v>24970</v>
      </c>
      <c r="H5" s="1573">
        <v>482</v>
      </c>
      <c r="I5" s="1574"/>
      <c r="J5" s="1574"/>
      <c r="K5" s="1672">
        <f>SUM(C5:J5)</f>
        <v>3419524</v>
      </c>
      <c r="L5" s="1573">
        <v>3375032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452160</v>
      </c>
      <c r="D8" s="1573">
        <v>143039</v>
      </c>
      <c r="E8" s="1573">
        <v>12270</v>
      </c>
      <c r="F8" s="1573">
        <v>592</v>
      </c>
      <c r="G8" s="1573">
        <v>718</v>
      </c>
      <c r="H8" s="1573"/>
      <c r="I8" s="1574"/>
      <c r="J8" s="1574"/>
      <c r="K8" s="1672">
        <f t="shared" si="0"/>
        <v>608779</v>
      </c>
      <c r="L8" s="1573">
        <v>622959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64234</v>
      </c>
      <c r="D14" s="1573">
        <v>3982</v>
      </c>
      <c r="E14" s="1573">
        <v>9111</v>
      </c>
      <c r="F14" s="1573">
        <v>8259</v>
      </c>
      <c r="G14" s="1573">
        <v>270</v>
      </c>
      <c r="H14" s="1573">
        <v>3130</v>
      </c>
      <c r="I14" s="1574"/>
      <c r="J14" s="1574"/>
      <c r="K14" s="1672">
        <f t="shared" si="0"/>
        <v>88986</v>
      </c>
      <c r="L14" s="1573">
        <v>96350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3054205</v>
      </c>
      <c r="D33" s="1674">
        <f t="shared" ref="D33:L33" si="1">SUM(D5:D32)</f>
        <v>813423</v>
      </c>
      <c r="E33" s="1674">
        <f t="shared" si="1"/>
        <v>50296</v>
      </c>
      <c r="F33" s="1674">
        <f t="shared" si="1"/>
        <v>169795</v>
      </c>
      <c r="G33" s="1674">
        <f t="shared" si="1"/>
        <v>25958</v>
      </c>
      <c r="H33" s="1674">
        <f t="shared" si="1"/>
        <v>3612</v>
      </c>
      <c r="I33" s="1674">
        <f t="shared" si="1"/>
        <v>0</v>
      </c>
      <c r="J33" s="1674">
        <f t="shared" si="1"/>
        <v>0</v>
      </c>
      <c r="K33" s="1674">
        <f t="shared" si="1"/>
        <v>4117289</v>
      </c>
      <c r="L33" s="1674">
        <f t="shared" si="1"/>
        <v>4094341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41069</v>
      </c>
      <c r="D38" s="1573">
        <v>6821</v>
      </c>
      <c r="E38" s="1573"/>
      <c r="F38" s="1573">
        <v>2124</v>
      </c>
      <c r="G38" s="1573"/>
      <c r="H38" s="1573"/>
      <c r="I38" s="1574"/>
      <c r="J38" s="1574"/>
      <c r="K38" s="1672">
        <f t="shared" si="2"/>
        <v>50014</v>
      </c>
      <c r="L38" s="1573">
        <v>50663</v>
      </c>
    </row>
    <row r="39" spans="1:14" x14ac:dyDescent="0.2">
      <c r="A39" s="1274" t="s">
        <v>197</v>
      </c>
      <c r="B39" s="503">
        <v>2140</v>
      </c>
      <c r="C39" s="1573"/>
      <c r="D39" s="1573"/>
      <c r="E39" s="1573">
        <v>85959</v>
      </c>
      <c r="F39" s="1573"/>
      <c r="G39" s="1573"/>
      <c r="H39" s="1573"/>
      <c r="I39" s="1574"/>
      <c r="J39" s="1574"/>
      <c r="K39" s="1672">
        <f t="shared" si="2"/>
        <v>85959</v>
      </c>
      <c r="L39" s="1573">
        <v>86000</v>
      </c>
    </row>
    <row r="40" spans="1:14" x14ac:dyDescent="0.2">
      <c r="A40" s="1274" t="s">
        <v>198</v>
      </c>
      <c r="B40" s="503">
        <v>2150</v>
      </c>
      <c r="C40" s="1573">
        <v>119559</v>
      </c>
      <c r="D40" s="1573">
        <v>29187</v>
      </c>
      <c r="E40" s="1573"/>
      <c r="F40" s="1573">
        <v>113</v>
      </c>
      <c r="G40" s="1573"/>
      <c r="H40" s="1573"/>
      <c r="I40" s="1574"/>
      <c r="J40" s="1574"/>
      <c r="K40" s="1672">
        <f t="shared" si="2"/>
        <v>148859</v>
      </c>
      <c r="L40" s="1573">
        <v>149969</v>
      </c>
    </row>
    <row r="41" spans="1:14" x14ac:dyDescent="0.2">
      <c r="A41" s="1274" t="s">
        <v>1650</v>
      </c>
      <c r="B41" s="503">
        <v>2190</v>
      </c>
      <c r="C41" s="1573">
        <v>4063</v>
      </c>
      <c r="D41" s="1573"/>
      <c r="E41" s="1573">
        <v>9135</v>
      </c>
      <c r="F41" s="1573"/>
      <c r="G41" s="1573"/>
      <c r="H41" s="1573">
        <v>10820</v>
      </c>
      <c r="I41" s="1574"/>
      <c r="J41" s="1574"/>
      <c r="K41" s="1672">
        <f t="shared" si="2"/>
        <v>24018</v>
      </c>
      <c r="L41" s="1573">
        <v>37583</v>
      </c>
    </row>
    <row r="42" spans="1:14" ht="12.75" customHeight="1" thickBot="1" x14ac:dyDescent="0.25">
      <c r="A42" s="1380" t="s">
        <v>556</v>
      </c>
      <c r="B42" s="1381" t="s">
        <v>711</v>
      </c>
      <c r="C42" s="1674">
        <f>SUM(C36:C41)</f>
        <v>164691</v>
      </c>
      <c r="D42" s="1674">
        <f t="shared" ref="D42:L42" si="3">SUM(D36:D41)</f>
        <v>36008</v>
      </c>
      <c r="E42" s="1674">
        <f t="shared" si="3"/>
        <v>95094</v>
      </c>
      <c r="F42" s="1674">
        <f t="shared" si="3"/>
        <v>2237</v>
      </c>
      <c r="G42" s="1674">
        <f t="shared" si="3"/>
        <v>0</v>
      </c>
      <c r="H42" s="1674">
        <f t="shared" si="3"/>
        <v>10820</v>
      </c>
      <c r="I42" s="1674">
        <f t="shared" si="3"/>
        <v>0</v>
      </c>
      <c r="J42" s="1674">
        <f t="shared" si="3"/>
        <v>0</v>
      </c>
      <c r="K42" s="1674">
        <f t="shared" si="3"/>
        <v>308850</v>
      </c>
      <c r="L42" s="1674">
        <f t="shared" si="3"/>
        <v>324215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102963</v>
      </c>
      <c r="D44" s="1586">
        <v>21570</v>
      </c>
      <c r="E44" s="1586">
        <v>9381</v>
      </c>
      <c r="F44" s="1586"/>
      <c r="G44" s="1586"/>
      <c r="H44" s="1586"/>
      <c r="I44" s="1574"/>
      <c r="J44" s="1574"/>
      <c r="K44" s="1678">
        <f>SUM(C44:J44)</f>
        <v>133914</v>
      </c>
      <c r="L44" s="1586">
        <v>127718</v>
      </c>
    </row>
    <row r="45" spans="1:14" x14ac:dyDescent="0.2">
      <c r="A45" s="1274" t="s">
        <v>810</v>
      </c>
      <c r="B45" s="503">
        <v>2220</v>
      </c>
      <c r="C45" s="1573">
        <v>41220</v>
      </c>
      <c r="D45" s="1573">
        <v>14940</v>
      </c>
      <c r="E45" s="1573">
        <v>2980</v>
      </c>
      <c r="F45" s="1573">
        <v>12600</v>
      </c>
      <c r="G45" s="1573"/>
      <c r="H45" s="1573"/>
      <c r="I45" s="1574"/>
      <c r="J45" s="1574"/>
      <c r="K45" s="1678">
        <f>SUM(C45:J45)</f>
        <v>71740</v>
      </c>
      <c r="L45" s="1573">
        <v>73742</v>
      </c>
    </row>
    <row r="46" spans="1:14" x14ac:dyDescent="0.2">
      <c r="A46" s="1274" t="s">
        <v>811</v>
      </c>
      <c r="B46" s="503">
        <v>2230</v>
      </c>
      <c r="C46" s="1573"/>
      <c r="D46" s="1573"/>
      <c r="E46" s="1573">
        <v>6892</v>
      </c>
      <c r="F46" s="1573"/>
      <c r="G46" s="1573"/>
      <c r="H46" s="1573"/>
      <c r="I46" s="1574"/>
      <c r="J46" s="1574"/>
      <c r="K46" s="1678">
        <f>SUM(C46:J46)</f>
        <v>6892</v>
      </c>
      <c r="L46" s="1573">
        <v>6750</v>
      </c>
    </row>
    <row r="47" spans="1:14" ht="12.75" customHeight="1" thickBot="1" x14ac:dyDescent="0.25">
      <c r="A47" s="1380" t="s">
        <v>557</v>
      </c>
      <c r="B47" s="1381" t="s">
        <v>32</v>
      </c>
      <c r="C47" s="1674">
        <f>SUM(C44:C46)</f>
        <v>144183</v>
      </c>
      <c r="D47" s="1674">
        <f t="shared" ref="D47:K47" si="4">SUM(D44:D46)</f>
        <v>36510</v>
      </c>
      <c r="E47" s="1674">
        <f t="shared" si="4"/>
        <v>19253</v>
      </c>
      <c r="F47" s="1674">
        <f t="shared" si="4"/>
        <v>12600</v>
      </c>
      <c r="G47" s="1674">
        <f t="shared" si="4"/>
        <v>0</v>
      </c>
      <c r="H47" s="1674">
        <f t="shared" si="4"/>
        <v>0</v>
      </c>
      <c r="I47" s="1674">
        <f t="shared" si="4"/>
        <v>0</v>
      </c>
      <c r="J47" s="1674">
        <f t="shared" si="4"/>
        <v>0</v>
      </c>
      <c r="K47" s="1674">
        <f t="shared" si="4"/>
        <v>212546</v>
      </c>
      <c r="L47" s="1674">
        <f>SUM(L44:L46)</f>
        <v>208210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1380</v>
      </c>
      <c r="D49" s="1586"/>
      <c r="E49" s="1586">
        <v>15187</v>
      </c>
      <c r="F49" s="1586">
        <v>105</v>
      </c>
      <c r="G49" s="1586"/>
      <c r="H49" s="1586">
        <v>14386</v>
      </c>
      <c r="I49" s="1574"/>
      <c r="J49" s="1574"/>
      <c r="K49" s="1678">
        <f>SUM(C49:J49)</f>
        <v>31058</v>
      </c>
      <c r="L49" s="1586">
        <v>27280</v>
      </c>
    </row>
    <row r="50" spans="1:14" x14ac:dyDescent="0.2">
      <c r="A50" s="1274" t="s">
        <v>813</v>
      </c>
      <c r="B50" s="503">
        <v>2320</v>
      </c>
      <c r="C50" s="1573">
        <v>184278</v>
      </c>
      <c r="D50" s="1573">
        <v>32799</v>
      </c>
      <c r="E50" s="1573">
        <v>6948</v>
      </c>
      <c r="F50" s="1573">
        <v>231</v>
      </c>
      <c r="G50" s="1573"/>
      <c r="H50" s="1573">
        <v>2060</v>
      </c>
      <c r="I50" s="1574"/>
      <c r="J50" s="1574"/>
      <c r="K50" s="1678">
        <f>SUM(C50:J50)</f>
        <v>226316</v>
      </c>
      <c r="L50" s="1573">
        <v>226121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185658</v>
      </c>
      <c r="D53" s="1674">
        <f t="shared" ref="D53:L53" si="5">SUM(D49:D52)</f>
        <v>32799</v>
      </c>
      <c r="E53" s="1674">
        <f t="shared" si="5"/>
        <v>22135</v>
      </c>
      <c r="F53" s="1674">
        <f t="shared" si="5"/>
        <v>336</v>
      </c>
      <c r="G53" s="1674">
        <f t="shared" si="5"/>
        <v>0</v>
      </c>
      <c r="H53" s="1674">
        <f t="shared" si="5"/>
        <v>16446</v>
      </c>
      <c r="I53" s="1674">
        <f t="shared" si="5"/>
        <v>0</v>
      </c>
      <c r="J53" s="1674">
        <f t="shared" si="5"/>
        <v>0</v>
      </c>
      <c r="K53" s="1674">
        <f t="shared" si="5"/>
        <v>257374</v>
      </c>
      <c r="L53" s="1674">
        <f t="shared" si="5"/>
        <v>253401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325267</v>
      </c>
      <c r="D55" s="1586">
        <v>71900</v>
      </c>
      <c r="E55" s="1586">
        <v>385</v>
      </c>
      <c r="F55" s="1586">
        <v>343</v>
      </c>
      <c r="G55" s="1586"/>
      <c r="H55" s="1586">
        <v>749</v>
      </c>
      <c r="I55" s="1574"/>
      <c r="J55" s="1574"/>
      <c r="K55" s="1678">
        <f>SUM(C55:J55)</f>
        <v>398644</v>
      </c>
      <c r="L55" s="1586">
        <v>402720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325267</v>
      </c>
      <c r="D57" s="1679">
        <f t="shared" ref="D57:K57" si="6">SUM(D55:D56)</f>
        <v>71900</v>
      </c>
      <c r="E57" s="1679">
        <f t="shared" si="6"/>
        <v>385</v>
      </c>
      <c r="F57" s="1679">
        <f t="shared" si="6"/>
        <v>343</v>
      </c>
      <c r="G57" s="1679">
        <f t="shared" si="6"/>
        <v>0</v>
      </c>
      <c r="H57" s="1679">
        <f t="shared" si="6"/>
        <v>749</v>
      </c>
      <c r="I57" s="1679">
        <f t="shared" si="6"/>
        <v>0</v>
      </c>
      <c r="J57" s="1679">
        <f t="shared" si="6"/>
        <v>0</v>
      </c>
      <c r="K57" s="1679">
        <f t="shared" si="6"/>
        <v>398644</v>
      </c>
      <c r="L57" s="1674">
        <f>SUM(L55:L56)</f>
        <v>402720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45003</v>
      </c>
      <c r="D60" s="1573">
        <v>6978</v>
      </c>
      <c r="E60" s="1573"/>
      <c r="F60" s="1573">
        <v>2116</v>
      </c>
      <c r="G60" s="1573"/>
      <c r="H60" s="1573"/>
      <c r="I60" s="1574"/>
      <c r="J60" s="1574"/>
      <c r="K60" s="1678">
        <f t="shared" si="7"/>
        <v>54097</v>
      </c>
      <c r="L60" s="1573">
        <v>54550</v>
      </c>
      <c r="M60" s="501"/>
      <c r="N60" s="501"/>
    </row>
    <row r="61" spans="1:14" s="321" customFormat="1" x14ac:dyDescent="0.2">
      <c r="A61" s="1274" t="s">
        <v>195</v>
      </c>
      <c r="B61" s="503">
        <v>2540</v>
      </c>
      <c r="C61" s="1573">
        <v>172053</v>
      </c>
      <c r="D61" s="1573"/>
      <c r="E61" s="1573"/>
      <c r="F61" s="1573"/>
      <c r="G61" s="1573"/>
      <c r="H61" s="1573"/>
      <c r="I61" s="1574"/>
      <c r="J61" s="1574"/>
      <c r="K61" s="1678">
        <f t="shared" si="7"/>
        <v>172053</v>
      </c>
      <c r="L61" s="1573">
        <v>175000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107962</v>
      </c>
      <c r="D63" s="1573">
        <v>21466</v>
      </c>
      <c r="E63" s="1573"/>
      <c r="F63" s="1573">
        <v>128712</v>
      </c>
      <c r="G63" s="1573"/>
      <c r="H63" s="1573">
        <v>1487</v>
      </c>
      <c r="I63" s="1574"/>
      <c r="J63" s="1574"/>
      <c r="K63" s="1678">
        <f t="shared" si="7"/>
        <v>259627</v>
      </c>
      <c r="L63" s="1573">
        <v>284064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325018</v>
      </c>
      <c r="D65" s="1674">
        <f t="shared" ref="D65:L65" si="8">SUM(D59:D64)</f>
        <v>28444</v>
      </c>
      <c r="E65" s="1674">
        <f t="shared" si="8"/>
        <v>0</v>
      </c>
      <c r="F65" s="1674">
        <f t="shared" si="8"/>
        <v>130828</v>
      </c>
      <c r="G65" s="1674">
        <f t="shared" si="8"/>
        <v>0</v>
      </c>
      <c r="H65" s="1674">
        <f t="shared" si="8"/>
        <v>1487</v>
      </c>
      <c r="I65" s="1674">
        <f t="shared" si="8"/>
        <v>0</v>
      </c>
      <c r="J65" s="1674">
        <f t="shared" si="8"/>
        <v>0</v>
      </c>
      <c r="K65" s="1674">
        <f t="shared" si="8"/>
        <v>485777</v>
      </c>
      <c r="L65" s="1674">
        <f t="shared" si="8"/>
        <v>513614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46723</v>
      </c>
      <c r="D71" s="1573">
        <v>7517</v>
      </c>
      <c r="E71" s="1573"/>
      <c r="F71" s="1573">
        <v>9108</v>
      </c>
      <c r="G71" s="1573"/>
      <c r="H71" s="1573"/>
      <c r="I71" s="1574"/>
      <c r="J71" s="1574"/>
      <c r="K71" s="1678">
        <f>SUM(C71:J71)</f>
        <v>63348</v>
      </c>
      <c r="L71" s="1573">
        <v>65338</v>
      </c>
      <c r="M71" s="501"/>
      <c r="N71" s="501"/>
    </row>
    <row r="72" spans="1:14" s="321" customFormat="1" ht="12.75" customHeight="1" thickBot="1" x14ac:dyDescent="0.25">
      <c r="A72" s="1380" t="s">
        <v>37</v>
      </c>
      <c r="B72" s="1383" t="s">
        <v>36</v>
      </c>
      <c r="C72" s="1674">
        <f>SUM(C67:C71)</f>
        <v>46723</v>
      </c>
      <c r="D72" s="1674">
        <f t="shared" ref="D72:K72" si="9">SUM(D67:D71)</f>
        <v>7517</v>
      </c>
      <c r="E72" s="1674">
        <f t="shared" si="9"/>
        <v>0</v>
      </c>
      <c r="F72" s="1674">
        <f t="shared" si="9"/>
        <v>9108</v>
      </c>
      <c r="G72" s="1674">
        <f t="shared" si="9"/>
        <v>0</v>
      </c>
      <c r="H72" s="1674">
        <f t="shared" si="9"/>
        <v>0</v>
      </c>
      <c r="I72" s="1674">
        <f t="shared" si="9"/>
        <v>0</v>
      </c>
      <c r="J72" s="1674">
        <f t="shared" si="9"/>
        <v>0</v>
      </c>
      <c r="K72" s="1674">
        <f t="shared" si="9"/>
        <v>63348</v>
      </c>
      <c r="L72" s="1674">
        <f>SUM(L67:L71)</f>
        <v>65338</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1191540</v>
      </c>
      <c r="D74" s="1681">
        <f t="shared" ref="D74:K74" si="10">SUM(D42,D47,D53,D57,D65,D72,D73)</f>
        <v>213178</v>
      </c>
      <c r="E74" s="1681">
        <f t="shared" si="10"/>
        <v>136867</v>
      </c>
      <c r="F74" s="1681">
        <f t="shared" si="10"/>
        <v>155452</v>
      </c>
      <c r="G74" s="1681">
        <f t="shared" si="10"/>
        <v>0</v>
      </c>
      <c r="H74" s="1681">
        <f t="shared" si="10"/>
        <v>29502</v>
      </c>
      <c r="I74" s="1681">
        <f t="shared" si="10"/>
        <v>0</v>
      </c>
      <c r="J74" s="1681">
        <f t="shared" si="10"/>
        <v>0</v>
      </c>
      <c r="K74" s="1681">
        <f t="shared" si="10"/>
        <v>1726539</v>
      </c>
      <c r="L74" s="1681">
        <f>SUM(L42,L47,L53,L57,L65,L72,L73)</f>
        <v>1767498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168721</v>
      </c>
      <c r="F79" s="1673"/>
      <c r="G79" s="1673"/>
      <c r="H79" s="1573"/>
      <c r="I79" s="1582"/>
      <c r="J79" s="1582"/>
      <c r="K79" s="1672">
        <f t="shared" si="11"/>
        <v>168721</v>
      </c>
      <c r="L79" s="1573">
        <v>159803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168721</v>
      </c>
      <c r="F84" s="1673"/>
      <c r="G84" s="1673"/>
      <c r="H84" s="1674">
        <f>SUM(H78:H83)</f>
        <v>0</v>
      </c>
      <c r="I84" s="1582"/>
      <c r="J84" s="1582"/>
      <c r="K84" s="1674">
        <f>SUM(K78:K83)</f>
        <v>168721</v>
      </c>
      <c r="L84" s="1674">
        <f>SUM(L78:L83)</f>
        <v>159803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5475</v>
      </c>
      <c r="I86" s="1582"/>
      <c r="J86" s="1582"/>
      <c r="K86" s="1681">
        <f t="shared" ref="K86:K98" si="12">H86</f>
        <v>5475</v>
      </c>
      <c r="L86" s="1626">
        <v>32589</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5475</v>
      </c>
      <c r="I92" s="1582"/>
      <c r="J92" s="1582"/>
      <c r="K92" s="1681">
        <f t="shared" si="12"/>
        <v>5475</v>
      </c>
      <c r="L92" s="1674">
        <f>SUM(L85:L91)</f>
        <v>32589</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168721</v>
      </c>
      <c r="F102" s="1673"/>
      <c r="G102" s="1673"/>
      <c r="H102" s="1681">
        <f>SUM(H84,H92,H100,H101)</f>
        <v>5475</v>
      </c>
      <c r="I102" s="1582"/>
      <c r="J102" s="1582"/>
      <c r="K102" s="1681">
        <f>SUM(K84,K92,K100,K101)</f>
        <v>174196</v>
      </c>
      <c r="L102" s="1681">
        <f>SUM(L84,L92,L100,L101)</f>
        <v>192392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800</v>
      </c>
      <c r="I111" s="1575"/>
      <c r="J111" s="1575"/>
      <c r="K111" s="1688">
        <f>H111</f>
        <v>800</v>
      </c>
      <c r="L111" s="1628">
        <v>22000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800</v>
      </c>
      <c r="I112" s="1575"/>
      <c r="J112" s="1575"/>
      <c r="K112" s="1674">
        <f>SUM(K110:K111)</f>
        <v>800</v>
      </c>
      <c r="L112" s="1681">
        <f>SUM(L110,L111)</f>
        <v>22000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4245745</v>
      </c>
      <c r="D114" s="1674">
        <f t="shared" ref="D114:K114" si="13">SUM(D33,D74,D75,D102,D112,D113)</f>
        <v>1026601</v>
      </c>
      <c r="E114" s="1674">
        <f t="shared" si="13"/>
        <v>355884</v>
      </c>
      <c r="F114" s="1674">
        <f t="shared" si="13"/>
        <v>325247</v>
      </c>
      <c r="G114" s="1674">
        <f t="shared" si="13"/>
        <v>25958</v>
      </c>
      <c r="H114" s="1674">
        <f>SUM(H33,H74,H75,H102,H112,H113)</f>
        <v>39389</v>
      </c>
      <c r="I114" s="1674">
        <f t="shared" si="13"/>
        <v>0</v>
      </c>
      <c r="J114" s="1674">
        <f t="shared" si="13"/>
        <v>0</v>
      </c>
      <c r="K114" s="1674">
        <f t="shared" si="13"/>
        <v>6018824</v>
      </c>
      <c r="L114" s="1674">
        <f>SUM(L33,L74,L75,L102,L112,L113)</f>
        <v>6076231</v>
      </c>
    </row>
    <row r="115" spans="1:14" ht="13.5" thickTop="1" x14ac:dyDescent="0.2">
      <c r="A115" s="2289" t="s">
        <v>989</v>
      </c>
      <c r="B115" s="2290"/>
      <c r="C115" s="1675"/>
      <c r="D115" s="1675"/>
      <c r="E115" s="1675"/>
      <c r="F115" s="1675"/>
      <c r="G115" s="1675"/>
      <c r="H115" s="1675"/>
      <c r="I115" s="1675"/>
      <c r="J115" s="1675"/>
      <c r="K115" s="1689">
        <f>'Revenues 9-14'!C268-'Expenditures 15-22'!K114</f>
        <v>-539873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27710</v>
      </c>
      <c r="D124" s="1573">
        <v>39431</v>
      </c>
      <c r="E124" s="1573">
        <v>213617</v>
      </c>
      <c r="F124" s="1573">
        <v>209034</v>
      </c>
      <c r="G124" s="1573">
        <v>524665</v>
      </c>
      <c r="H124" s="1573">
        <v>129</v>
      </c>
      <c r="I124" s="1574"/>
      <c r="J124" s="1574"/>
      <c r="K124" s="1674">
        <f>SUM(C124:J124)</f>
        <v>1014586</v>
      </c>
      <c r="L124" s="1573">
        <v>1078816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27710</v>
      </c>
      <c r="D127" s="1674">
        <f t="shared" ref="D127:L127" si="14">SUM(D122:D126)</f>
        <v>39431</v>
      </c>
      <c r="E127" s="1674">
        <f t="shared" si="14"/>
        <v>213617</v>
      </c>
      <c r="F127" s="1674">
        <f t="shared" si="14"/>
        <v>209034</v>
      </c>
      <c r="G127" s="1674">
        <f t="shared" si="14"/>
        <v>524665</v>
      </c>
      <c r="H127" s="1674">
        <f t="shared" si="14"/>
        <v>129</v>
      </c>
      <c r="I127" s="1674">
        <f t="shared" si="14"/>
        <v>0</v>
      </c>
      <c r="J127" s="1674">
        <f t="shared" si="14"/>
        <v>0</v>
      </c>
      <c r="K127" s="1674">
        <f t="shared" si="14"/>
        <v>1014586</v>
      </c>
      <c r="L127" s="1674">
        <f t="shared" si="14"/>
        <v>1078816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27710</v>
      </c>
      <c r="D129" s="1681">
        <f t="shared" ref="D129:L129" si="15">SUM(D120,D127,D128)</f>
        <v>39431</v>
      </c>
      <c r="E129" s="1681">
        <f t="shared" si="15"/>
        <v>213617</v>
      </c>
      <c r="F129" s="1681">
        <f t="shared" si="15"/>
        <v>209034</v>
      </c>
      <c r="G129" s="1681">
        <f t="shared" si="15"/>
        <v>524665</v>
      </c>
      <c r="H129" s="1681">
        <f t="shared" si="15"/>
        <v>129</v>
      </c>
      <c r="I129" s="1681">
        <f t="shared" si="15"/>
        <v>0</v>
      </c>
      <c r="J129" s="1681">
        <f t="shared" si="15"/>
        <v>0</v>
      </c>
      <c r="K129" s="1681">
        <f t="shared" si="15"/>
        <v>1014586</v>
      </c>
      <c r="L129" s="1681">
        <f t="shared" si="15"/>
        <v>1078816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27710</v>
      </c>
      <c r="D151" s="1674">
        <f t="shared" ref="D151:K151" si="16">SUM(D129,D130,D139,D149,D150)</f>
        <v>39431</v>
      </c>
      <c r="E151" s="1674">
        <f t="shared" si="16"/>
        <v>213617</v>
      </c>
      <c r="F151" s="1674">
        <f t="shared" si="16"/>
        <v>209034</v>
      </c>
      <c r="G151" s="1674">
        <f t="shared" si="16"/>
        <v>524665</v>
      </c>
      <c r="H151" s="1674">
        <f t="shared" si="16"/>
        <v>129</v>
      </c>
      <c r="I151" s="1674">
        <f t="shared" si="16"/>
        <v>0</v>
      </c>
      <c r="J151" s="1674">
        <f t="shared" si="16"/>
        <v>0</v>
      </c>
      <c r="K151" s="1674">
        <f t="shared" si="16"/>
        <v>1014586</v>
      </c>
      <c r="L151" s="1674">
        <f>SUM(L129,L130,L139,L149,L150)</f>
        <v>1078816</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-569454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164592</v>
      </c>
      <c r="I169" s="1673"/>
      <c r="J169" s="1673"/>
      <c r="K169" s="1672">
        <f>SUM(C169:H169)</f>
        <v>164592</v>
      </c>
      <c r="L169" s="1695">
        <v>166843</v>
      </c>
    </row>
    <row r="170" spans="1:14" ht="33.75" customHeight="1" x14ac:dyDescent="0.2">
      <c r="A170" s="543" t="s">
        <v>1651</v>
      </c>
      <c r="B170" s="545" t="s">
        <v>31</v>
      </c>
      <c r="C170" s="1673"/>
      <c r="D170" s="1673"/>
      <c r="E170" s="1673"/>
      <c r="F170" s="1673"/>
      <c r="G170" s="1673"/>
      <c r="H170" s="1646">
        <v>831789</v>
      </c>
      <c r="I170" s="1673"/>
      <c r="J170" s="1673"/>
      <c r="K170" s="1672">
        <f>SUM(C170:J170)</f>
        <v>831789</v>
      </c>
      <c r="L170" s="1646">
        <v>800000</v>
      </c>
    </row>
    <row r="171" spans="1:14" ht="15.75" customHeight="1" x14ac:dyDescent="0.2">
      <c r="A171" s="507" t="s">
        <v>761</v>
      </c>
      <c r="B171" s="546" t="s">
        <v>84</v>
      </c>
      <c r="C171" s="1673"/>
      <c r="D171" s="1673"/>
      <c r="E171" s="1573"/>
      <c r="F171" s="1673"/>
      <c r="G171" s="1673"/>
      <c r="H171" s="1646">
        <v>2250</v>
      </c>
      <c r="I171" s="1582"/>
      <c r="J171" s="1673"/>
      <c r="K171" s="1672">
        <f>SUM(C171:J171)</f>
        <v>2250</v>
      </c>
      <c r="L171" s="1646"/>
    </row>
    <row r="172" spans="1:14" ht="12.75" customHeight="1" thickBot="1" x14ac:dyDescent="0.25">
      <c r="A172" s="1380" t="s">
        <v>633</v>
      </c>
      <c r="B172" s="1381" t="s">
        <v>489</v>
      </c>
      <c r="C172" s="1673"/>
      <c r="D172" s="1673"/>
      <c r="E172" s="1681">
        <f>SUM(E168,E169,E170,E171)</f>
        <v>0</v>
      </c>
      <c r="F172" s="1673"/>
      <c r="G172" s="1673"/>
      <c r="H172" s="1681">
        <f>SUM(H168,H169,H170,H171)</f>
        <v>998631</v>
      </c>
      <c r="I172" s="1684"/>
      <c r="J172" s="1673"/>
      <c r="K172" s="1681">
        <f>SUM(K168,K169,K170,K171)</f>
        <v>998631</v>
      </c>
      <c r="L172" s="1681">
        <f>SUM(L168,L169,L170,L171)</f>
        <v>966843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998631</v>
      </c>
      <c r="I174" s="1684"/>
      <c r="J174" s="1673"/>
      <c r="K174" s="1681">
        <f>SUM(K160,K172,K173)</f>
        <v>998631</v>
      </c>
      <c r="L174" s="1681">
        <f>SUM(L160,L172,L173)</f>
        <v>966843</v>
      </c>
    </row>
    <row r="175" spans="1:14" ht="13.5" thickTop="1" x14ac:dyDescent="0.2">
      <c r="A175" s="2289" t="s">
        <v>989</v>
      </c>
      <c r="B175" s="2290"/>
      <c r="C175" s="1673"/>
      <c r="D175" s="1673"/>
      <c r="E175" s="1673"/>
      <c r="F175" s="1673"/>
      <c r="G175" s="1673"/>
      <c r="H175" s="1675"/>
      <c r="I175" s="1673"/>
      <c r="J175" s="1673"/>
      <c r="K175" s="1689">
        <f>'Revenues 9-14'!E268-'Expenditures 15-22'!K174</f>
        <v>-31464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137346</v>
      </c>
      <c r="D182" s="1573">
        <v>8885</v>
      </c>
      <c r="E182" s="1573">
        <v>35679</v>
      </c>
      <c r="F182" s="1573">
        <v>19707</v>
      </c>
      <c r="G182" s="1573">
        <v>61865</v>
      </c>
      <c r="H182" s="1573"/>
      <c r="I182" s="1574"/>
      <c r="J182" s="1574"/>
      <c r="K182" s="1672">
        <f>SUM(C182:J182)</f>
        <v>263482</v>
      </c>
      <c r="L182" s="1573">
        <v>354011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137346</v>
      </c>
      <c r="D184" s="1681">
        <f t="shared" ref="D184:J184" si="17">SUM(D180,D182,D183)</f>
        <v>8885</v>
      </c>
      <c r="E184" s="1681">
        <f t="shared" si="17"/>
        <v>35679</v>
      </c>
      <c r="F184" s="1681">
        <f t="shared" si="17"/>
        <v>19707</v>
      </c>
      <c r="G184" s="1681">
        <f t="shared" si="17"/>
        <v>61865</v>
      </c>
      <c r="H184" s="1681">
        <f t="shared" si="17"/>
        <v>0</v>
      </c>
      <c r="I184" s="1681">
        <f t="shared" si="17"/>
        <v>0</v>
      </c>
      <c r="J184" s="1681">
        <f t="shared" si="17"/>
        <v>0</v>
      </c>
      <c r="K184" s="1681">
        <f>SUM(K180,K182,K183)</f>
        <v>263482</v>
      </c>
      <c r="L184" s="1681">
        <f>SUM(L180, L182:L183)</f>
        <v>354011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9932</v>
      </c>
      <c r="I205" s="1673"/>
      <c r="J205" s="1673"/>
      <c r="K205" s="1696">
        <f>SUM(H205)</f>
        <v>9932</v>
      </c>
      <c r="L205" s="1630"/>
    </row>
    <row r="206" spans="1:14" ht="30" customHeight="1" x14ac:dyDescent="0.2">
      <c r="A206" s="555" t="s">
        <v>1652</v>
      </c>
      <c r="B206" s="546" t="s">
        <v>31</v>
      </c>
      <c r="C206" s="1673"/>
      <c r="D206" s="1673"/>
      <c r="E206" s="1673"/>
      <c r="F206" s="1673"/>
      <c r="G206" s="1673"/>
      <c r="H206" s="1573">
        <v>61115</v>
      </c>
      <c r="I206" s="1673"/>
      <c r="J206" s="1673"/>
      <c r="K206" s="1672">
        <f>SUM(H206)</f>
        <v>61115</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71047</v>
      </c>
      <c r="I208" s="1673"/>
      <c r="J208" s="1673"/>
      <c r="K208" s="1681">
        <f>SUM(K204,K205,K206,K207)</f>
        <v>71047</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137346</v>
      </c>
      <c r="D210" s="1674">
        <f>SUM(D184,D185)</f>
        <v>8885</v>
      </c>
      <c r="E210" s="1674">
        <f>SUM(E184,E185,E196)</f>
        <v>35679</v>
      </c>
      <c r="F210" s="1674">
        <f>SUM(F184,F185)</f>
        <v>19707</v>
      </c>
      <c r="G210" s="1674">
        <f>SUM(G184,G185)</f>
        <v>61865</v>
      </c>
      <c r="H210" s="1674">
        <f>SUM(H184,H185,H196,H208,H209)</f>
        <v>71047</v>
      </c>
      <c r="I210" s="1674">
        <f>SUM(I184,I185)</f>
        <v>0</v>
      </c>
      <c r="J210" s="1674">
        <f>SUM(J184,J185)</f>
        <v>0</v>
      </c>
      <c r="K210" s="1672">
        <f>SUM(K184,K185,K196,K208,K209)</f>
        <v>334529</v>
      </c>
      <c r="L210" s="1674">
        <f>SUM(L184,L185,L196,L208,L209)</f>
        <v>354011</v>
      </c>
    </row>
    <row r="211" spans="1:14" ht="13.5" thickTop="1" x14ac:dyDescent="0.2">
      <c r="A211" s="2289" t="s">
        <v>989</v>
      </c>
      <c r="B211" s="2290"/>
      <c r="C211" s="1675"/>
      <c r="D211" s="1675"/>
      <c r="E211" s="1675"/>
      <c r="F211" s="1675"/>
      <c r="G211" s="1675"/>
      <c r="H211" s="1675"/>
      <c r="I211" s="1673"/>
      <c r="J211" s="1673"/>
      <c r="K211" s="1689">
        <f>'Revenues 9-14'!F268-'Expenditures 15-22'!K210</f>
        <v>59496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38394</v>
      </c>
      <c r="E215" s="1673"/>
      <c r="F215" s="1673"/>
      <c r="G215" s="1673"/>
      <c r="H215" s="1673"/>
      <c r="I215" s="1673"/>
      <c r="J215" s="1673"/>
      <c r="K215" s="1672">
        <f>D215</f>
        <v>38394</v>
      </c>
      <c r="L215" s="1573">
        <v>37900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28699</v>
      </c>
      <c r="E217" s="1673"/>
      <c r="F217" s="1673"/>
      <c r="G217" s="1673"/>
      <c r="H217" s="1673"/>
      <c r="I217" s="1673"/>
      <c r="J217" s="1673"/>
      <c r="K217" s="1672">
        <f t="shared" si="19"/>
        <v>28699</v>
      </c>
      <c r="L217" s="1573">
        <v>31500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3266</v>
      </c>
      <c r="E223" s="1673"/>
      <c r="F223" s="1673"/>
      <c r="G223" s="1673"/>
      <c r="H223" s="1673"/>
      <c r="I223" s="1673"/>
      <c r="J223" s="1673"/>
      <c r="K223" s="1672">
        <f t="shared" si="19"/>
        <v>3266</v>
      </c>
      <c r="L223" s="1573">
        <v>2995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70359</v>
      </c>
      <c r="E229" s="1673"/>
      <c r="F229" s="1673"/>
      <c r="G229" s="1673"/>
      <c r="H229" s="1673"/>
      <c r="I229" s="1673"/>
      <c r="J229" s="1673"/>
      <c r="K229" s="1674">
        <f>SUM(K215:K228)</f>
        <v>70359</v>
      </c>
      <c r="L229" s="1674">
        <f>SUM(L215:L228)</f>
        <v>72395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6960</v>
      </c>
      <c r="E234" s="1673"/>
      <c r="F234" s="1673"/>
      <c r="G234" s="1673"/>
      <c r="H234" s="1673"/>
      <c r="I234" s="1673"/>
      <c r="J234" s="1673"/>
      <c r="K234" s="1672">
        <f t="shared" si="20"/>
        <v>6960</v>
      </c>
      <c r="L234" s="1573">
        <v>6850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1609</v>
      </c>
      <c r="E236" s="1673"/>
      <c r="F236" s="1673"/>
      <c r="G236" s="1673"/>
      <c r="H236" s="1673"/>
      <c r="I236" s="1673"/>
      <c r="J236" s="1673"/>
      <c r="K236" s="1672">
        <f t="shared" si="20"/>
        <v>1609</v>
      </c>
      <c r="L236" s="1573">
        <v>1650</v>
      </c>
    </row>
    <row r="237" spans="1:12" x14ac:dyDescent="0.2">
      <c r="A237" s="1274" t="s">
        <v>164</v>
      </c>
      <c r="B237" s="503">
        <v>2190</v>
      </c>
      <c r="C237" s="1673"/>
      <c r="D237" s="1573">
        <v>311</v>
      </c>
      <c r="E237" s="1673"/>
      <c r="F237" s="1673"/>
      <c r="G237" s="1673"/>
      <c r="H237" s="1673"/>
      <c r="I237" s="1673"/>
      <c r="J237" s="1673"/>
      <c r="K237" s="1672">
        <f t="shared" si="20"/>
        <v>311</v>
      </c>
      <c r="L237" s="1573">
        <v>340</v>
      </c>
    </row>
    <row r="238" spans="1:12" ht="12.75" customHeight="1" thickBot="1" x14ac:dyDescent="0.25">
      <c r="A238" s="1380" t="s">
        <v>556</v>
      </c>
      <c r="B238" s="1383" t="s">
        <v>711</v>
      </c>
      <c r="C238" s="1673"/>
      <c r="D238" s="1674">
        <f>SUM(D232:D237)</f>
        <v>8880</v>
      </c>
      <c r="E238" s="1673"/>
      <c r="F238" s="1673"/>
      <c r="G238" s="1673"/>
      <c r="H238" s="1673"/>
      <c r="I238" s="1673"/>
      <c r="J238" s="1673"/>
      <c r="K238" s="1674">
        <f>SUM(K232:K237)</f>
        <v>8880</v>
      </c>
      <c r="L238" s="1674">
        <f>SUM(L232:L237)</f>
        <v>8840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1369</v>
      </c>
      <c r="E240" s="1673"/>
      <c r="F240" s="1673"/>
      <c r="G240" s="1673"/>
      <c r="H240" s="1673"/>
      <c r="I240" s="1673"/>
      <c r="J240" s="1673"/>
      <c r="K240" s="1678">
        <f>D240</f>
        <v>1369</v>
      </c>
      <c r="L240" s="1586">
        <v>1300</v>
      </c>
    </row>
    <row r="241" spans="1:12" x14ac:dyDescent="0.2">
      <c r="A241" s="1274" t="s">
        <v>810</v>
      </c>
      <c r="B241" s="503">
        <v>2220</v>
      </c>
      <c r="C241" s="1673"/>
      <c r="D241" s="1573">
        <v>2212</v>
      </c>
      <c r="E241" s="1673"/>
      <c r="F241" s="1673"/>
      <c r="G241" s="1673"/>
      <c r="H241" s="1673"/>
      <c r="I241" s="1673"/>
      <c r="J241" s="1673"/>
      <c r="K241" s="1678">
        <f>D241</f>
        <v>2212</v>
      </c>
      <c r="L241" s="1573">
        <v>3350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3581</v>
      </c>
      <c r="E243" s="1673"/>
      <c r="F243" s="1673"/>
      <c r="G243" s="1673"/>
      <c r="H243" s="1673"/>
      <c r="I243" s="1673"/>
      <c r="J243" s="1673"/>
      <c r="K243" s="1674">
        <f>SUM(K240:K242)</f>
        <v>3581</v>
      </c>
      <c r="L243" s="1674">
        <f>SUM(L240:L242)</f>
        <v>4650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165</v>
      </c>
      <c r="E245" s="1673"/>
      <c r="F245" s="1673"/>
      <c r="G245" s="1673"/>
      <c r="H245" s="1673"/>
      <c r="I245" s="1673"/>
      <c r="J245" s="1673"/>
      <c r="K245" s="1678">
        <f>D245</f>
        <v>165</v>
      </c>
      <c r="L245" s="1586">
        <v>165</v>
      </c>
    </row>
    <row r="246" spans="1:12" x14ac:dyDescent="0.2">
      <c r="A246" s="1274" t="s">
        <v>813</v>
      </c>
      <c r="B246" s="503">
        <v>2320</v>
      </c>
      <c r="C246" s="1673"/>
      <c r="D246" s="1573">
        <v>2527</v>
      </c>
      <c r="E246" s="1673"/>
      <c r="F246" s="1673"/>
      <c r="G246" s="1673"/>
      <c r="H246" s="1673"/>
      <c r="I246" s="1673"/>
      <c r="J246" s="1673"/>
      <c r="K246" s="1678">
        <f t="shared" ref="K246:K256" si="21">D246</f>
        <v>2527</v>
      </c>
      <c r="L246" s="1573">
        <v>2500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2692</v>
      </c>
      <c r="E257" s="1673"/>
      <c r="F257" s="1673"/>
      <c r="G257" s="1673"/>
      <c r="H257" s="1673"/>
      <c r="I257" s="1673"/>
      <c r="J257" s="1673"/>
      <c r="K257" s="1674">
        <f>SUM(K245:K256)</f>
        <v>2692</v>
      </c>
      <c r="L257" s="1674">
        <f>SUM(L245:L256)</f>
        <v>2665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21566</v>
      </c>
      <c r="E259" s="1673"/>
      <c r="F259" s="1673"/>
      <c r="G259" s="1673"/>
      <c r="H259" s="1673"/>
      <c r="I259" s="1673"/>
      <c r="J259" s="1673"/>
      <c r="K259" s="1678">
        <f>D259</f>
        <v>21566</v>
      </c>
      <c r="L259" s="1586">
        <v>21200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21566</v>
      </c>
      <c r="E261" s="1673"/>
      <c r="F261" s="1673"/>
      <c r="G261" s="1673"/>
      <c r="H261" s="1673"/>
      <c r="I261" s="1673"/>
      <c r="J261" s="1673"/>
      <c r="K261" s="1674">
        <f>SUM(K259:K260)</f>
        <v>21566</v>
      </c>
      <c r="L261" s="1674">
        <f>SUM(L259:L260)</f>
        <v>21200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7624</v>
      </c>
      <c r="E264" s="1673"/>
      <c r="F264" s="1673"/>
      <c r="G264" s="1673"/>
      <c r="H264" s="1673"/>
      <c r="I264" s="1673"/>
      <c r="J264" s="1673"/>
      <c r="K264" s="1678">
        <f t="shared" ref="K264:K269" si="22">D264</f>
        <v>7624</v>
      </c>
      <c r="L264" s="1573">
        <v>7600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31037</v>
      </c>
      <c r="E266" s="1673"/>
      <c r="F266" s="1673"/>
      <c r="G266" s="1673"/>
      <c r="H266" s="1673"/>
      <c r="I266" s="1673"/>
      <c r="J266" s="1673"/>
      <c r="K266" s="1678">
        <f t="shared" si="22"/>
        <v>31037</v>
      </c>
      <c r="L266" s="1573">
        <v>36000</v>
      </c>
    </row>
    <row r="267" spans="1:14" x14ac:dyDescent="0.2">
      <c r="A267" s="1274" t="s">
        <v>947</v>
      </c>
      <c r="B267" s="503">
        <v>2550</v>
      </c>
      <c r="C267" s="1673"/>
      <c r="D267" s="1573">
        <v>14388</v>
      </c>
      <c r="E267" s="1673"/>
      <c r="F267" s="1673"/>
      <c r="G267" s="1673"/>
      <c r="H267" s="1673"/>
      <c r="I267" s="1673"/>
      <c r="J267" s="1673"/>
      <c r="K267" s="1678">
        <f t="shared" si="22"/>
        <v>14388</v>
      </c>
      <c r="L267" s="1573">
        <v>20200</v>
      </c>
    </row>
    <row r="268" spans="1:14" x14ac:dyDescent="0.2">
      <c r="A268" s="1274" t="s">
        <v>100</v>
      </c>
      <c r="B268" s="503">
        <v>2560</v>
      </c>
      <c r="C268" s="1673"/>
      <c r="D268" s="1573">
        <v>16249</v>
      </c>
      <c r="E268" s="1673"/>
      <c r="F268" s="1673"/>
      <c r="G268" s="1673"/>
      <c r="H268" s="1673"/>
      <c r="I268" s="1673"/>
      <c r="J268" s="1673"/>
      <c r="K268" s="1678">
        <f t="shared" si="22"/>
        <v>16249</v>
      </c>
      <c r="L268" s="1573">
        <v>16600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69298</v>
      </c>
      <c r="E270" s="1673"/>
      <c r="F270" s="1673"/>
      <c r="G270" s="1673"/>
      <c r="H270" s="1673"/>
      <c r="I270" s="1673"/>
      <c r="J270" s="1673"/>
      <c r="K270" s="1674">
        <f>SUM(K263:K269)</f>
        <v>69298</v>
      </c>
      <c r="L270" s="1674">
        <f>SUM(L263:L269)</f>
        <v>80400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6031</v>
      </c>
      <c r="E276" s="1673"/>
      <c r="F276" s="1673"/>
      <c r="G276" s="1673"/>
      <c r="H276" s="1673"/>
      <c r="I276" s="1673"/>
      <c r="J276" s="1673"/>
      <c r="K276" s="1678">
        <f>D276</f>
        <v>6031</v>
      </c>
      <c r="L276" s="1573">
        <v>5950</v>
      </c>
    </row>
    <row r="277" spans="1:12" ht="12.75" customHeight="1" thickBot="1" x14ac:dyDescent="0.25">
      <c r="A277" s="1393" t="s">
        <v>37</v>
      </c>
      <c r="B277" s="1381" t="s">
        <v>36</v>
      </c>
      <c r="C277" s="1673"/>
      <c r="D277" s="1674">
        <f>SUM(D272:D276)</f>
        <v>6031</v>
      </c>
      <c r="E277" s="1673"/>
      <c r="F277" s="1673"/>
      <c r="G277" s="1673"/>
      <c r="H277" s="1673"/>
      <c r="I277" s="1673"/>
      <c r="J277" s="1673"/>
      <c r="K277" s="1674">
        <f>SUM(K272:K276)</f>
        <v>6031</v>
      </c>
      <c r="L277" s="1674">
        <f>SUM(L272:L276)</f>
        <v>5950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112048</v>
      </c>
      <c r="E279" s="1673"/>
      <c r="F279" s="1673"/>
      <c r="G279" s="1673"/>
      <c r="H279" s="1673"/>
      <c r="I279" s="1673"/>
      <c r="J279" s="1673"/>
      <c r="K279" s="1681">
        <f>SUM(K238,K243,K257,K261,K270,K277,K278)</f>
        <v>112048</v>
      </c>
      <c r="L279" s="1681">
        <f>SUM(L238,L243,L257,L261,L270,L277,L278)</f>
        <v>123705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182407</v>
      </c>
      <c r="E295" s="1673"/>
      <c r="F295" s="1673"/>
      <c r="G295" s="1673"/>
      <c r="H295" s="1674">
        <f>H293</f>
        <v>0</v>
      </c>
      <c r="I295" s="1673"/>
      <c r="J295" s="1673"/>
      <c r="K295" s="1674">
        <f>SUM(K229,K279,K280,K285,K293,K294)</f>
        <v>182407</v>
      </c>
      <c r="L295" s="1674">
        <f>SUM(L229,L279,L280,L285,L293,L294)</f>
        <v>196100</v>
      </c>
    </row>
    <row r="296" spans="1:14" ht="13.5" thickTop="1" x14ac:dyDescent="0.2">
      <c r="A296" s="2289" t="s">
        <v>989</v>
      </c>
      <c r="B296" s="2290"/>
      <c r="C296" s="1673"/>
      <c r="D296" s="1675"/>
      <c r="E296" s="1673"/>
      <c r="F296" s="1673"/>
      <c r="G296" s="1673"/>
      <c r="H296" s="1707"/>
      <c r="I296" s="1673"/>
      <c r="J296" s="1673"/>
      <c r="K296" s="1689">
        <f>'Revenues 9-14'!G268-'Expenditures 15-22'!K295</f>
        <v>-14904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38967</v>
      </c>
      <c r="F301" s="1573"/>
      <c r="G301" s="1573">
        <v>14490</v>
      </c>
      <c r="H301" s="1573"/>
      <c r="I301" s="1574"/>
      <c r="J301" s="1574"/>
      <c r="K301" s="1672">
        <f>SUM(C301:J301)</f>
        <v>53457</v>
      </c>
      <c r="L301" s="1574">
        <v>50000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38967</v>
      </c>
      <c r="F303" s="1681">
        <f t="shared" si="23"/>
        <v>0</v>
      </c>
      <c r="G303" s="1681">
        <f t="shared" si="23"/>
        <v>14490</v>
      </c>
      <c r="H303" s="1681">
        <f t="shared" si="23"/>
        <v>0</v>
      </c>
      <c r="I303" s="1681">
        <f t="shared" si="23"/>
        <v>0</v>
      </c>
      <c r="J303" s="1681">
        <f t="shared" si="23"/>
        <v>0</v>
      </c>
      <c r="K303" s="1681">
        <f t="shared" si="23"/>
        <v>53457</v>
      </c>
      <c r="L303" s="1681">
        <f t="shared" si="23"/>
        <v>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38967</v>
      </c>
      <c r="F312" s="1674">
        <f>SUM(F303)</f>
        <v>0</v>
      </c>
      <c r="G312" s="1674">
        <f>SUM(G303)</f>
        <v>14490</v>
      </c>
      <c r="H312" s="1674">
        <f>SUM(H303,H310)</f>
        <v>0</v>
      </c>
      <c r="I312" s="1674">
        <f>SUM(I303)</f>
        <v>0</v>
      </c>
      <c r="J312" s="1674">
        <f>SUM(J303)</f>
        <v>0</v>
      </c>
      <c r="K312" s="1674">
        <f>SUM(K303,K310,K311)</f>
        <v>53457</v>
      </c>
      <c r="L312" s="1674">
        <f>SUM(L303,L310,L311)</f>
        <v>50000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-3413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21351</v>
      </c>
      <c r="F320" s="1574"/>
      <c r="G320" s="1574"/>
      <c r="H320" s="1574"/>
      <c r="I320" s="1574"/>
      <c r="J320" s="1574"/>
      <c r="K320" s="1672">
        <f t="shared" ref="K320:K327" si="24">SUM(C320:J320)</f>
        <v>21351</v>
      </c>
      <c r="L320" s="1574">
        <v>21403</v>
      </c>
      <c r="M320" s="539"/>
      <c r="N320" s="539"/>
    </row>
    <row r="321" spans="1:14" s="548" customFormat="1" x14ac:dyDescent="0.2">
      <c r="A321" s="1289" t="s">
        <v>297</v>
      </c>
      <c r="B321" s="567" t="s">
        <v>281</v>
      </c>
      <c r="C321" s="1574"/>
      <c r="D321" s="1574"/>
      <c r="E321" s="1574">
        <v>14799</v>
      </c>
      <c r="F321" s="1574"/>
      <c r="G321" s="1574"/>
      <c r="H321" s="1574"/>
      <c r="I321" s="1574"/>
      <c r="J321" s="1574"/>
      <c r="K321" s="1672">
        <f t="shared" si="24"/>
        <v>14799</v>
      </c>
      <c r="L321" s="1574">
        <v>14597</v>
      </c>
      <c r="M321" s="539"/>
      <c r="N321" s="539"/>
    </row>
    <row r="322" spans="1:14" s="548" customFormat="1" x14ac:dyDescent="0.2">
      <c r="A322" s="1289" t="s">
        <v>236</v>
      </c>
      <c r="B322" s="567" t="s">
        <v>282</v>
      </c>
      <c r="C322" s="1574"/>
      <c r="D322" s="1574"/>
      <c r="E322" s="1574">
        <v>28566</v>
      </c>
      <c r="F322" s="1574"/>
      <c r="G322" s="1574"/>
      <c r="H322" s="1574"/>
      <c r="I322" s="1574"/>
      <c r="J322" s="1574"/>
      <c r="K322" s="1672">
        <f t="shared" si="24"/>
        <v>28566</v>
      </c>
      <c r="L322" s="1574">
        <v>27009</v>
      </c>
      <c r="M322" s="539"/>
      <c r="N322" s="539"/>
    </row>
    <row r="323" spans="1:14" s="548" customFormat="1" x14ac:dyDescent="0.2">
      <c r="A323" s="1289" t="s">
        <v>697</v>
      </c>
      <c r="B323" s="567" t="s">
        <v>283</v>
      </c>
      <c r="C323" s="1574"/>
      <c r="D323" s="1574"/>
      <c r="E323" s="1574">
        <v>1017</v>
      </c>
      <c r="F323" s="1574"/>
      <c r="G323" s="1574"/>
      <c r="H323" s="1574"/>
      <c r="I323" s="1574"/>
      <c r="J323" s="1574"/>
      <c r="K323" s="1672">
        <f t="shared" si="24"/>
        <v>1017</v>
      </c>
      <c r="L323" s="1574">
        <v>1100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1175</v>
      </c>
      <c r="F325" s="1574"/>
      <c r="G325" s="1574"/>
      <c r="H325" s="1574"/>
      <c r="I325" s="1574"/>
      <c r="J325" s="1574"/>
      <c r="K325" s="1672">
        <f t="shared" si="24"/>
        <v>1175</v>
      </c>
      <c r="L325" s="1574">
        <v>1200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4714</v>
      </c>
      <c r="F327" s="1574"/>
      <c r="G327" s="1574"/>
      <c r="H327" s="1574"/>
      <c r="I327" s="1574"/>
      <c r="J327" s="1574"/>
      <c r="K327" s="1672">
        <f t="shared" si="24"/>
        <v>4714</v>
      </c>
      <c r="L327" s="1574">
        <v>4500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71622</v>
      </c>
      <c r="F330" s="1674">
        <f t="shared" si="25"/>
        <v>0</v>
      </c>
      <c r="G330" s="1674">
        <f t="shared" si="25"/>
        <v>0</v>
      </c>
      <c r="H330" s="1674">
        <f t="shared" si="25"/>
        <v>0</v>
      </c>
      <c r="I330" s="1674">
        <f t="shared" si="25"/>
        <v>0</v>
      </c>
      <c r="J330" s="1674">
        <f t="shared" si="25"/>
        <v>0</v>
      </c>
      <c r="K330" s="1674">
        <f>SUM(K319:K329)</f>
        <v>71622</v>
      </c>
      <c r="L330" s="1674">
        <f>SUM(L319:L329)</f>
        <v>69809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71622</v>
      </c>
      <c r="F342" s="1674">
        <f>SUM(F330)</f>
        <v>0</v>
      </c>
      <c r="G342" s="1674">
        <f>SUM(G330)</f>
        <v>0</v>
      </c>
      <c r="H342" s="1674">
        <f>SUM(H330,H334,H340)</f>
        <v>0</v>
      </c>
      <c r="I342" s="1674">
        <f>SUM(I330)</f>
        <v>0</v>
      </c>
      <c r="J342" s="1674">
        <f>SUM(J330)</f>
        <v>0</v>
      </c>
      <c r="K342" s="1674">
        <f>SUM(K330,K334,K340)</f>
        <v>71622</v>
      </c>
      <c r="L342" s="1681">
        <f>SUM(L330,L334,L340,L341)</f>
        <v>69809</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-17508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500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500</v>
      </c>
    </row>
    <row r="368" spans="1:14" ht="13.5" thickTop="1" x14ac:dyDescent="0.2">
      <c r="A368" s="2289" t="s">
        <v>989</v>
      </c>
      <c r="B368" s="2290"/>
      <c r="C368" s="1694"/>
      <c r="D368" s="1694"/>
      <c r="E368" s="1677"/>
      <c r="F368" s="1677"/>
      <c r="G368" s="1677"/>
      <c r="H368" s="1677"/>
      <c r="I368" s="1677"/>
      <c r="J368" s="1676"/>
      <c r="K368" s="1672">
        <f>'Revenues 9-14'!K268-'Expenditures 15-22'!K367</f>
        <v>1</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4d435f69-8686-490b-bd6d-b153bf22ab50"/>
    <ds:schemaRef ds:uri="d21dc803-237d-4c68-8692-8d731fd29118"/>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purl.org/dc/elements/1.1/"/>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2020-10-01T01:30:12Z</cp:lastPrinted>
  <dcterms:created xsi:type="dcterms:W3CDTF">2003-10-29T19:06:34Z</dcterms:created>
  <dcterms:modified xsi:type="dcterms:W3CDTF">2020-11-17T00:56:25Z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