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090EB48-F3D2-4BBF-ACA0-C77683157A36}"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2)" sheetId="185" r:id="rId28"/>
    <sheet name=" SEFA (3)" sheetId="186"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9">' SEFA'!$B$1:$M$46</definedName>
    <definedName name="_xlnm.Print_Area" localSheetId="27">' SEFA (2)'!$B$1:$M$46</definedName>
    <definedName name="_xlnm.Print_Area" localSheetId="28">'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9">#REF!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9">#REF!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9">#REF!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9">#REF!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3" i="185" l="1"/>
  <c r="L27" i="186"/>
  <c r="L26" i="186"/>
  <c r="L25" i="186"/>
  <c r="L24" i="186"/>
  <c r="L23" i="186"/>
  <c r="L22" i="186"/>
  <c r="L21" i="186"/>
  <c r="L20" i="186"/>
  <c r="L19" i="186"/>
  <c r="L18" i="186"/>
  <c r="L17" i="186"/>
  <c r="L16" i="186"/>
  <c r="L15" i="186"/>
  <c r="L14" i="186"/>
  <c r="L13" i="186"/>
  <c r="L12" i="186"/>
  <c r="L11" i="186"/>
  <c r="I9" i="186"/>
  <c r="G9" i="186"/>
  <c r="F9" i="186"/>
  <c r="E9" i="186"/>
  <c r="J8" i="186"/>
  <c r="H8" i="186"/>
  <c r="B4" i="186"/>
  <c r="L27" i="185"/>
  <c r="L26" i="185"/>
  <c r="L25" i="185"/>
  <c r="L22" i="185"/>
  <c r="L21" i="185"/>
  <c r="L20" i="185"/>
  <c r="L19" i="185"/>
  <c r="L18" i="185"/>
  <c r="L17" i="185"/>
  <c r="L16" i="185"/>
  <c r="L15" i="185"/>
  <c r="L14" i="185"/>
  <c r="L12" i="185"/>
  <c r="L11" i="185"/>
  <c r="I9" i="185"/>
  <c r="G9" i="185"/>
  <c r="F9" i="185"/>
  <c r="E9" i="185"/>
  <c r="J8" i="185"/>
  <c r="H8" i="185"/>
  <c r="B4"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6"/>
  <c r="B2" i="179"/>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C352" i="29" l="1"/>
  <c r="J210" i="29"/>
  <c r="B7072" i="106" s="1"/>
  <c r="D7072" i="106" s="1"/>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5770" i="106" l="1"/>
  <c r="D5770" i="106" s="1"/>
  <c r="F41" i="108"/>
  <c r="G43" i="108" s="1"/>
  <c r="L16" i="11"/>
  <c r="B2061" i="106" s="1"/>
  <c r="D2061" i="106" s="1"/>
  <c r="N23" i="3"/>
  <c r="B284" i="106" s="1"/>
  <c r="D284" i="106" s="1"/>
  <c r="B6216" i="106"/>
  <c r="D6216" i="106" s="1"/>
  <c r="B1381" i="106"/>
  <c r="D1381" i="106" s="1"/>
  <c r="D44" i="36"/>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<sst xmlns="http://schemas.openxmlformats.org/spreadsheetml/2006/main" count="5344" uniqueCount="2164">
  <si>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</si>
  <si>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</si>
  <si>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</si>
  <si>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</si>
  <si>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</si>
  <si>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</si>
  <si>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</si>
  <si>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</si>
  <si>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</si>
  <si>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</si>
  <si>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</si>
  <si>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</si>
  <si>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</si>
  <si>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</si>
  <si>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</si>
  <si>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</si>
  <si>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</si>
  <si>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</si>
  <si>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</si>
  <si>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</si>
  <si>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</si>
  <si>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</si>
  <si>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</si>
  <si>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</si>
  <si>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</si>
  <si>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</si>
  <si>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</si>
  <si>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</si>
  <si>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</si>
  <si>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</si>
  <si>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</si>
  <si>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</si>
  <si>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</si>
  <si>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</si>
  <si>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</si>
  <si>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</si>
  <si>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</si>
  <si>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</si>
  <si>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</si>
  <si>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</si>
  <si>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</si>
  <si>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</si>
  <si>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</si>
  <si>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</si>
  <si>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</si>
  <si>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</si>
  <si>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</si>
  <si>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</si>
  <si>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</si>
  <si>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</si>
  <si>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</si>
  <si>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</si>
  <si>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</si>
  <si>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</si>
  <si>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</si>
  <si>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</si>
  <si>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</si>
  <si>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</si>
  <si>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</si>
  <si>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</si>
  <si>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</si>
  <si>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</si>
  <si>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</si>
  <si>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</si>
  <si>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</si>
  <si>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</si>
  <si>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</si>
  <si>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</si>
  <si>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</si>
  <si>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</si>
  <si>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</si>
  <si>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</si>
  <si>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</si>
  <si>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</si>
  <si>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</si>
  <si>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</si>
  <si>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</si>
  <si>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</si>
  <si>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</si>
  <si>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</si>
  <si>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</si>
  <si>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</si>
  <si>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</si>
  <si>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</si>
  <si>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</si>
  <si>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</si>
  <si>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</si>
  <si>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</si>
  <si>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</si>
  <si>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</si>
  <si>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</si>
  <si>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</si>
  <si>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</si>
  <si>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</si>
  <si>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</si>
  <si>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</si>
  <si>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</si>
  <si>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</si>
  <si>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</si>
  <si>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</si>
  <si>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</si>
  <si>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</si>
  <si>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</si>
  <si>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</si>
  <si>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</si>
  <si>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</si>
  <si>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</si>
  <si>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</si>
  <si>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</si>
  <si>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</si>
  <si>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</si>
  <si>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</si>
  <si>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</si>
  <si>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</si>
  <si>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</si>
  <si>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</si>
  <si>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</si>
  <si>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</si>
  <si>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</si>
  <si>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</si>
  <si>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</si>
  <si>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</si>
  <si>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</si>
  <si>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</si>
  <si>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</si>
  <si>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</si>
  <si>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</si>
  <si>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</si>
  <si>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</si>
  <si>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</si>
  <si>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</si>
  <si>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</si>
  <si>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</si>
  <si>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</si>
  <si>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</si>
  <si>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</si>
  <si>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</si>
  <si>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</si>
  <si>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</si>
  <si>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</si>
  <si>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</si>
  <si>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</si>
  <si>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</si>
  <si>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</si>
  <si>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</si>
  <si>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</si>
  <si>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</si>
  <si>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</si>
  <si>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</si>
  <si>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</si>
  <si>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</si>
  <si>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</si>
  <si>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</si>
  <si>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</si>
  <si>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</si>
  <si>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</si>
  <si>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</si>
  <si>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</si>
  <si>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</si>
  <si>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</si>
  <si>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</si>
  <si>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</si>
  <si>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</si>
  <si>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</si>
  <si>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</si>
  <si>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</si>
  <si>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</si>
  <si>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</si>
  <si>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</si>
  <si>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</si>
  <si>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</si>
  <si>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</si>
  <si>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</si>
  <si>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</si>
  <si>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</si>
  <si>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</si>
  <si>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</si>
  <si>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</si>
  <si>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</si>
  <si>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</si>
  <si>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</si>
  <si>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</si>
  <si>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</si>
  <si>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</si>
  <si>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</si>
  <si>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</si>
  <si>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</si>
  <si>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</si>
  <si>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</si>
  <si>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</si>
  <si>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</si>
  <si>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</si>
  <si>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</si>
  <si>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</si>
  <si>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</si>
  <si>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</si>
  <si>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</si>
  <si>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</si>
  <si>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</si>
  <si>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</si>
  <si>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</si>
  <si>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</si>
  <si>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</si>
  <si>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</si>
  <si>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</si>
  <si>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</si>
  <si>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</si>
  <si>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</si>
  <si>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</si>
  <si>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</si>
  <si>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</si>
  <si>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</si>
  <si>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</si>
  <si>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</si>
  <si>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</si>
  <si>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</si>
  <si>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</si>
  <si>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</si>
  <si>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</si>
  <si>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</si>
  <si>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</si>
  <si>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</si>
  <si>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</si>
  <si>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</si>
  <si>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</si>
  <si>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</si>
  <si>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</si>
  <si>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</si>
  <si>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</si>
  <si>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</si>
  <si>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</si>
  <si>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</si>
  <si>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</si>
  <si>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</si>
  <si>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</si>
  <si>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</si>
  <si>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</si>
  <si>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</si>
  <si>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</si>
  <si>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</si>
  <si>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</si>
  <si>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</si>
  <si>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</si>
  <si>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</si>
  <si>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</si>
  <si>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</si>
  <si>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</si>
  <si>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</si>
  <si>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</si>
  <si>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</si>
  <si>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</si>
  <si>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</si>
  <si>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</si>
  <si>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</si>
  <si>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</si>
  <si>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</si>
  <si>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</si>
  <si>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</si>
  <si>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</si>
  <si>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</si>
  <si>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</si>
  <si>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</si>
  <si>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</si>
  <si>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</si>
  <si>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</si>
  <si>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</si>
  <si>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</si>
  <si>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</si>
  <si>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</si>
  <si>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</si>
  <si>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</si>
  <si>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</si>
  <si>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</si>
  <si>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</si>
  <si>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</si>
  <si>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</si>
  <si>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</si>
  <si>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</si>
  <si>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</si>
  <si>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</si>
  <si>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</si>
  <si>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</si>
  <si>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</si>
  <si>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</si>
  <si>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</si>
  <si>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</si>
  <si>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</si>
  <si>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</si>
  <si>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</si>
  <si>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</si>
  <si>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</si>
  <si>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</si>
  <si>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</si>
  <si>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</si>
  <si>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</si>
  <si>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</si>
  <si>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</si>
  <si>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</si>
  <si>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</si>
  <si>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</si>
  <si>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</si>
  <si>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</si>
  <si>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</si>
  <si>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</si>
  <si>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</si>
  <si>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</si>
  <si>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</si>
  <si>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</si>
  <si>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</si>
  <si>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</si>
  <si>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</si>
  <si>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</si>
  <si>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</si>
  <si>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</si>
  <si>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</si>
  <si>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</si>
  <si>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</si>
  <si>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</si>
  <si>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</si>
  <si>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</si>
  <si>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</si>
  <si>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</si>
  <si>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</si>
  <si>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</si>
  <si>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</si>
  <si>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</si>
  <si>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</si>
  <si>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</si>
  <si>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</si>
  <si>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</si>
  <si>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</si>
  <si>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</si>
  <si>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</si>
  <si>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</si>
  <si>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</si>
  <si>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</si>
  <si>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</si>
  <si>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</si>
  <si>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</si>
  <si>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</si>
  <si>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</si>
  <si>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</si>
  <si>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</si>
  <si>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</si>
  <si>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</si>
  <si>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</si>
  <si>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</si>
  <si>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</si>
  <si>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</si>
  <si>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</si>
  <si>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</si>
  <si>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</si>
  <si>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</si>
  <si>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</si>
  <si>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</si>
  <si>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</si>
  <si>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</si>
  <si>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</si>
  <si>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</si>
  <si>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</si>
  <si>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</si>
  <si>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</si>
  <si>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</si>
  <si>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</si>
  <si>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</si>
  <si>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</si>
  <si>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</si>
  <si>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</si>
  <si>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</si>
  <si>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</si>
  <si>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</si>
  <si>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</si>
  <si>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</si>
  <si>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</si>
  <si>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</si>
  <si>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</si>
  <si>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</si>
  <si>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</si>
  <si>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</si>
  <si>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</si>
  <si>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</si>
  <si>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</si>
  <si>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</si>
  <si>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</si>
  <si>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</si>
  <si>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</si>
  <si>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</si>
  <si>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</si>
  <si>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</si>
  <si>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</si>
  <si>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</si>
  <si>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</si>
  <si>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</si>
  <si>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</si>
  <si>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</si>
  <si>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</si>
  <si>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</si>
  <si>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</si>
  <si>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</si>
  <si>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</si>
  <si>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</si>
  <si>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</si>
  <si>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</si>
  <si>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</si>
  <si>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</si>
  <si>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</si>
  <si>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</si>
  <si>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</si>
  <si>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</si>
  <si>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</si>
  <si>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</si>
  <si>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</si>
  <si>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</si>
  <si>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</si>
  <si>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</si>
  <si>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</si>
  <si>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</si>
  <si>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</si>
  <si>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</si>
  <si>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</si>
  <si>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</si>
  <si>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</si>
  <si>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</si>
  <si>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</si>
  <si>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</si>
  <si>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</si>
  <si>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</si>
  <si>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</si>
  <si>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</si>
  <si>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</si>
  <si>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</si>
  <si>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</si>
  <si>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</si>
  <si>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</si>
  <si>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</si>
  <si>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</si>
  <si>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</si>
  <si>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</si>
  <si>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</si>
  <si>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</si>
  <si>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</si>
  <si>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</si>
  <si>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</si>
  <si>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</si>
  <si>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</si>
  <si>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</si>
  <si>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</si>
  <si>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</si>
  <si>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</si>
  <si>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</si>
  <si>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</si>
  <si>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</si>
  <si>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</si>
  <si>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</si>
  <si>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</si>
  <si>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</si>
  <si>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</si>
  <si>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</si>
  <si>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</si>
  <si>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</si>
  <si>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</si>
  <si>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</si>
  <si>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</si>
  <si>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</si>
  <si>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</si>
  <si>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</si>
  <si>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</si>
  <si>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</si>
  <si>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</si>
  <si>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</si>
  <si>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</si>
  <si>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</si>
  <si>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</si>
  <si>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</si>
  <si>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</si>
  <si>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</si>
  <si>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</si>
  <si>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</si>
  <si>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</si>
  <si>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</si>
  <si>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</si>
  <si>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</si>
  <si>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</si>
  <si>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</si>
  <si>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</si>
  <si>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</si>
  <si>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</si>
  <si>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</si>
  <si>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</si>
  <si>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</si>
  <si>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</si>
  <si>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</si>
  <si>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</si>
  <si>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</si>
  <si>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</si>
  <si>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</si>
  <si>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</si>
  <si>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</si>
  <si>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</si>
  <si>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</si>
  <si>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</si>
  <si>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</si>
  <si>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</si>
  <si>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</si>
  <si>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</si>
  <si>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</si>
  <si>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</si>
  <si>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</si>
  <si>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</si>
  <si>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</si>
  <si>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</si>
  <si>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</si>
  <si>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</si>
  <si>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</si>
  <si>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</si>
  <si>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</si>
  <si>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</si>
  <si>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</si>
  <si>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</si>
  <si>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</si>
  <si>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</si>
  <si>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</si>
  <si>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</si>
  <si>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</si>
  <si>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</si>
  <si>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</si>
  <si>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</si>
  <si>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</si>
  <si>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</si>
  <si>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</si>
  <si>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</si>
  <si>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</si>
  <si>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</si>
  <si>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</si>
  <si>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</si>
  <si>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</si>
  <si>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</si>
  <si>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</si>
  <si>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</si>
  <si>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</si>
  <si>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</si>
  <si>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</si>
  <si>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</si>
  <si>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</si>
  <si>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</si>
  <si>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</si>
  <si>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</si>
  <si>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</si>
  <si>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</si>
  <si>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</si>
  <si>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</si>
  <si>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</si>
  <si>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</si>
  <si>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</si>
  <si>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</si>
  <si>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</si>
  <si>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</si>
  <si>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</si>
  <si>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</si>
  <si>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</si>
  <si>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</si>
  <si>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</si>
  <si>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</si>
  <si>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</si>
  <si>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</si>
  <si>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</si>
  <si>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</si>
  <si>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</si>
  <si>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</si>
  <si>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</si>
  <si>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</si>
  <si>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</si>
  <si>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</si>
  <si>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</si>
  <si>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</si>
  <si>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</si>
  <si>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</si>
  <si>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</si>
  <si>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</si>
  <si>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</si>
  <si>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</si>
  <si>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</si>
  <si>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</si>
  <si>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</si>
  <si>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</si>
  <si>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</si>
  <si>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</si>
  <si>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</si>
  <si>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</si>
  <si>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</si>
  <si>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</si>
  <si>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</si>
  <si>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</si>
  <si>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</si>
  <si>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</si>
  <si>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</si>
  <si>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</si>
  <si>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</si>
  <si>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</si>
  <si>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</si>
  <si>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</si>
  <si>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</si>
  <si>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</si>
  <si>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</si>
  <si>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</si>
  <si>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</si>
  <si>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</si>
  <si>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</si>
  <si>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</si>
  <si>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</si>
  <si>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</si>
  <si>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</si>
  <si>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</si>
  <si>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</si>
  <si>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</si>
  <si>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</si>
  <si>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</si>
  <si>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</si>
  <si>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</si>
  <si>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</si>
  <si>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</si>
  <si>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</si>
  <si>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</si>
  <si>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</si>
  <si>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</si>
  <si>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</si>
  <si>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</si>
  <si>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</si>
  <si>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</si>
  <si>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</si>
  <si>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</si>
  <si>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</si>
  <si>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</si>
  <si>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</si>
  <si>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</si>
  <si>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</si>
  <si>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</si>
  <si>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</si>
  <si>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</si>
  <si>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</si>
  <si>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</si>
  <si>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</si>
  <si>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</si>
  <si>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</si>
  <si>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</si>
  <si>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</si>
  <si>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</si>
  <si>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</si>
  <si>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</si>
  <si>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</si>
  <si>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</si>
  <si>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</si>
  <si>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</si>
  <si>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</si>
  <si>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</si>
  <si>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</si>
  <si>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</si>
  <si>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</si>
  <si>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</si>
  <si>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</si>
  <si>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</si>
  <si>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</si>
  <si>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</si>
  <si>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</si>
  <si>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</si>
  <si>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</si>
  <si>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</si>
  <si>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</si>
  <si>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</si>
  <si>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</si>
  <si>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</si>
  <si>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</si>
  <si>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</si>
  <si>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</si>
  <si>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</si>
  <si>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</si>
  <si>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</si>
  <si>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</si>
  <si>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</si>
  <si>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</si>
  <si>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</si>
  <si>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</si>
  <si>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</si>
  <si>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</si>
  <si>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</si>
  <si>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</si>
  <si>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</si>
  <si>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</si>
  <si>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</si>
  <si>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</si>
  <si>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</si>
  <si>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</si>
  <si>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</si>
  <si>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</si>
  <si>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</si>
  <si>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</si>
  <si>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</si>
  <si>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</si>
  <si>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</si>
  <si>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</si>
  <si>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</si>
  <si>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</si>
  <si>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</si>
  <si>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</si>
  <si>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</si>
  <si>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</si>
  <si>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</si>
  <si>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</si>
  <si>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</si>
  <si>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</si>
  <si>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</si>
  <si>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</si>
  <si>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</si>
  <si>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</si>
  <si>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</si>
  <si>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</si>
  <si>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</si>
  <si>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</si>
  <si>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</si>
  <si>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</si>
  <si>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</si>
  <si>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</si>
  <si>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</si>
  <si>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</si>
  <si>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</si>
  <si>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</si>
  <si>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</si>
  <si>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</si>
  <si>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</si>
  <si>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</si>
  <si>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</si>
  <si>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</si>
  <si>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</si>
  <si>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</si>
  <si>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</si>
  <si>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</si>
  <si>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</si>
  <si>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</si>
  <si>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</si>
  <si>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</si>
  <si>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</si>
  <si>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</si>
  <si>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</si>
  <si>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</si>
  <si>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</si>
  <si>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</si>
  <si>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</si>
  <si>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</si>
  <si>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</si>
  <si>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</si>
  <si>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</si>
  <si>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</si>
  <si>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</si>
  <si>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</si>
  <si>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</si>
  <si>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</si>
  <si>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</si>
  <si>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</si>
  <si>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</si>
  <si>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</si>
  <si>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</si>
  <si>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</si>
  <si>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</si>
  <si>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</si>
  <si>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</si>
  <si>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</si>
  <si>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</si>
  <si>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</si>
  <si>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</si>
  <si>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</si>
  <si>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</si>
  <si>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</si>
  <si>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</si>
  <si>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</si>
  <si>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</si>
  <si>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</si>
  <si>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</si>
  <si>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</si>
  <si>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</si>
  <si>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</si>
  <si>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</si>
  <si>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</si>
  <si>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</si>
  <si>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</si>
  <si>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</si>
  <si>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</si>
  <si>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</si>
  <si>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</si>
  <si>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</si>
  <si>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</si>
  <si>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</si>
  <si>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</si>
  <si>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</si>
  <si>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</si>
  <si>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</si>
  <si>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</si>
  <si>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</si>
  <si>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</si>
  <si>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</si>
  <si>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</si>
  <si>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</si>
  <si>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</si>
  <si>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</si>
  <si>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</si>
  <si>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</si>
  <si>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</si>
  <si>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</si>
  <si>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</si>
  <si>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</si>
  <si>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</si>
  <si>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</si>
  <si>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</si>
  <si>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</si>
  <si>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</si>
  <si>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</si>
  <si>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</si>
  <si>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</si>
  <si>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</si>
  <si>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</si>
  <si>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</si>
  <si>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</si>
  <si>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</si>
  <si>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</si>
  <si>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</si>
  <si>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</si>
  <si>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</si>
  <si>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</si>
  <si>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</si>
  <si>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</si>
  <si>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</si>
  <si>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</si>
  <si>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</si>
  <si>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</si>
  <si>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</si>
  <si>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</si>
  <si>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</si>
  <si>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</si>
  <si>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</si>
  <si>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</si>
  <si>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</si>
  <si>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</si>
  <si>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</si>
  <si>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</si>
  <si>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</si>
  <si>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</si>
  <si>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</si>
  <si>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</si>
  <si>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</si>
  <si>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</si>
  <si>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</si>
  <si>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</si>
  <si>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</si>
  <si>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</si>
  <si>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</si>
  <si>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</si>
  <si>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</si>
  <si>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</si>
  <si>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</si>
  <si>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</si>
  <si>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</si>
  <si>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</si>
  <si>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</si>
  <si>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</si>
  <si>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</si>
  <si>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</si>
  <si>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</si>
  <si>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</si>
  <si>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</si>
  <si>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</si>
  <si>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</si>
  <si>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</si>
  <si>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</si>
  <si>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</si>
  <si>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</si>
  <si>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</si>
  <si>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</si>
  <si>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</si>
  <si>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</si>
  <si>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</si>
  <si>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</si>
  <si>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</si>
  <si>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</si>
  <si>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</si>
  <si>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</si>
  <si>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</si>
  <si>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</si>
  <si>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</si>
  <si>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</si>
  <si>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</si>
  <si>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</si>
  <si>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</si>
  <si>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</si>
  <si>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</si>
  <si>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</si>
  <si>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</si>
  <si>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</si>
  <si>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</si>
  <si>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</si>
  <si>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</si>
  <si>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</si>
  <si>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</si>
  <si>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</si>
  <si>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</si>
  <si>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</si>
  <si>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</si>
  <si>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</si>
  <si>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</si>
  <si>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</si>
  <si>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</si>
  <si>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</si>
  <si>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</si>
  <si>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</si>
  <si>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</si>
  <si>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</si>
  <si>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</si>
  <si>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</si>
  <si>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</si>
  <si>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</si>
  <si>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</si>
  <si>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</si>
  <si>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</si>
  <si>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</si>
  <si>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</si>
  <si>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</si>
  <si>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</si>
  <si>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</si>
  <si>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</si>
  <si>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</si>
  <si>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</si>
  <si>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</si>
  <si>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</si>
  <si>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</si>
  <si>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</si>
  <si>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</si>
  <si>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</si>
  <si>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</si>
  <si>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</si>
  <si>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</si>
  <si>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</si>
  <si>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</si>
  <si>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</si>
  <si>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</si>
  <si>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</si>
  <si>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</si>
  <si>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</si>
  <si>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</si>
  <si>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</si>
  <si>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</si>
  <si>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</si>
  <si>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</si>
  <si>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</si>
  <si>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</si>
  <si>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</si>
  <si>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</si>
  <si>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</si>
  <si>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</si>
  <si>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</si>
  <si>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</si>
  <si>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</si>
  <si>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</si>
  <si>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</si>
  <si>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</si>
  <si>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</si>
  <si>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</si>
  <si>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</si>
  <si>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</si>
  <si>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</si>
  <si>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</si>
  <si>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</si>
  <si>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</si>
  <si>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</si>
  <si>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</si>
  <si>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</si>
  <si>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</si>
  <si>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</si>
  <si>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</si>
  <si>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</si>
  <si>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</si>
  <si>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</si>
  <si>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</si>
  <si>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</si>
  <si>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</si>
  <si>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</si>
  <si>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</si>
  <si>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</si>
  <si>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</si>
  <si>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</si>
  <si>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</si>
  <si>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</si>
  <si>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</si>
  <si>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</si>
  <si>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</si>
  <si>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</si>
  <si>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</si>
  <si>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</si>
  <si>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</si>
  <si>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</si>
  <si>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</si>
  <si>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</si>
  <si>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</si>
  <si>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</si>
  <si>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</si>
  <si>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</si>
  <si>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</si>
  <si>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</si>
  <si>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</si>
  <si>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</si>
  <si>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</si>
  <si>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</si>
  <si>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</si>
  <si>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</si>
  <si>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</si>
  <si>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</si>
  <si>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</si>
  <si>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</si>
  <si>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</si>
  <si>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</si>
  <si>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</si>
  <si>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</si>
  <si>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</si>
  <si>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</si>
  <si>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</si>
  <si>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</si>
  <si>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</si>
  <si>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</si>
  <si>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</si>
  <si>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</si>
  <si>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</si>
  <si>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</si>
  <si>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</si>
  <si>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</si>
  <si>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</si>
  <si>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</si>
  <si>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</si>
  <si>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</si>
  <si>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</si>
  <si>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</si>
  <si>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</si>
  <si>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</si>
  <si>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</si>
  <si>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</si>
  <si>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</si>
  <si>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</si>
  <si>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</si>
  <si>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</si>
  <si>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</si>
  <si>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</si>
  <si>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</si>
  <si>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</si>
  <si>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</si>
  <si>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</si>
  <si>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</si>
  <si>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</si>
  <si>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</si>
  <si>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</si>
  <si>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</si>
  <si>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</si>
  <si>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</si>
  <si>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</si>
  <si>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</si>
  <si>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</si>
  <si>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</si>
  <si>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</si>
  <si>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</si>
  <si>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</si>
  <si>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</si>
  <si>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</si>
  <si>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</si>
  <si>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</si>
  <si>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</si>
  <si>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</si>
  <si>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</si>
  <si>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</si>
  <si>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</si>
  <si>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</si>
  <si>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</si>
  <si>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</si>
  <si>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</si>
  <si>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</si>
  <si>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</si>
  <si>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</si>
  <si>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</si>
  <si>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</si>
  <si>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</si>
  <si>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</si>
  <si>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</si>
  <si>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</si>
  <si>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</si>
  <si>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</si>
  <si>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</si>
  <si>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</si>
  <si>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</si>
  <si>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</si>
  <si>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</si>
  <si>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</si>
  <si>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</si>
  <si>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</si>
  <si>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</si>
  <si>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</si>
  <si>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</si>
  <si>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</si>
  <si>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</si>
  <si>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</si>
  <si>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</si>
  <si>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</si>
  <si>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</si>
  <si>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</si>
  <si>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</si>
  <si>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</si>
  <si>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</si>
  <si>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</si>
  <si>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</si>
  <si>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</si>
  <si>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</si>
  <si>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</si>
  <si>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</si>
  <si>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</si>
  <si>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</si>
  <si>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</si>
  <si>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</si>
  <si>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</si>
  <si>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</si>
  <si>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</si>
  <si>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</si>
  <si>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</si>
  <si>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</si>
  <si>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</si>
  <si>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</si>
  <si>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</si>
  <si>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</si>
  <si>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</si>
  <si>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</si>
  <si>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</si>
  <si>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</si>
  <si>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</si>
  <si>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</si>
  <si>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</si>
  <si>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</si>
  <si>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</si>
  <si>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</si>
  <si>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</si>
  <si>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</si>
  <si>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</si>
  <si>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</si>
  <si>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</si>
  <si>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</si>
  <si>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</si>
  <si>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</si>
  <si>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</si>
  <si>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</si>
  <si>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</si>
  <si>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</si>
  <si>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</si>
  <si>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</si>
  <si>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</si>
  <si>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</si>
  <si>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</si>
  <si>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</si>
  <si>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</si>
  <si>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</si>
  <si>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</si>
  <si>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</si>
  <si>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</si>
  <si>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</si>
  <si>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</si>
  <si>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</si>
  <si>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</si>
  <si>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</si>
  <si>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</si>
  <si>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</si>
  <si>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</si>
  <si>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</si>
  <si>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</si>
  <si>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</si>
  <si>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</si>
  <si>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</si>
  <si>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</si>
  <si>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</si>
  <si>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</si>
  <si>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</si>
  <si>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</si>
  <si>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</si>
  <si>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</si>
  <si>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</si>
  <si>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</si>
  <si>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</si>
  <si>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</si>
  <si>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</si>
  <si>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</si>
  <si>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</si>
  <si>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</si>
  <si>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</si>
  <si>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</si>
  <si>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</si>
  <si>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</si>
  <si>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</si>
  <si>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</si>
  <si>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</si>
  <si>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</si>
  <si>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</si>
  <si>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</si>
  <si>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</si>
  <si>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</si>
  <si>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</si>
  <si>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</si>
  <si>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</si>
  <si>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</si>
  <si>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</si>
  <si>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</si>
  <si>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</si>
  <si>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</si>
  <si>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</si>
  <si>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</si>
  <si>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</si>
  <si>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</si>
  <si>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</si>
  <si>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</si>
  <si>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</si>
  <si>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</si>
  <si>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</si>
  <si>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</si>
  <si>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</si>
  <si>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</si>
  <si>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</si>
  <si>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</si>
  <si>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</si>
  <si>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</si>
  <si>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</si>
  <si>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</si>
  <si>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</si>
  <si>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</si>
  <si>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</si>
  <si>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</si>
  <si>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</si>
  <si>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</si>
  <si>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</si>
  <si>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</si>
  <si>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</si>
  <si>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</si>
  <si>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</si>
  <si>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</si>
  <si>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</si>
  <si>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</si>
  <si>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</si>
  <si>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</si>
  <si>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</si>
  <si>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</si>
  <si>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</si>
  <si>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</si>
  <si>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</si>
  <si>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</si>
  <si>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</si>
  <si>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</si>
  <si>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</si>
  <si>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</si>
  <si>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</si>
  <si>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</si>
  <si>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</si>
  <si>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</si>
  <si>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</si>
  <si>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</si>
  <si>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</si>
  <si>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</si>
  <si>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</si>
  <si>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</si>
  <si>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</si>
  <si>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</si>
  <si>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</si>
  <si>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</si>
  <si>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</si>
  <si>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</si>
  <si>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</si>
  <si>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</si>
  <si>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</si>
  <si>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</si>
  <si>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</si>
  <si>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</si>
  <si>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</si>
  <si>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</si>
  <si>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</si>
  <si>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</si>
  <si>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</si>
  <si>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</si>
  <si>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</si>
  <si>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</si>
  <si>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</si>
  <si>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</si>
  <si>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</si>
  <si>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</si>
  <si>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</si>
  <si>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</si>
  <si>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</si>
  <si>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</si>
  <si>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</si>
  <si>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</si>
  <si>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</si>
  <si>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</si>
  <si>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</si>
  <si>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</si>
  <si>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</si>
  <si>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</si>
  <si>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</si>
  <si>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</si>
  <si>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</si>
  <si>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</si>
  <si>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</si>
  <si>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</si>
  <si>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</si>
  <si>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</si>
  <si>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</si>
  <si>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</si>
  <si>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</si>
  <si>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</si>
  <si>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</si>
  <si>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</si>
  <si>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</si>
  <si>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</si>
  <si>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</si>
  <si>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</si>
  <si>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</si>
  <si>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</si>
  <si>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</si>
  <si>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</si>
  <si>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</si>
  <si>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</si>
  <si>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</si>
  <si>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</si>
  <si>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</si>
  <si>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</si>
  <si>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</si>
  <si>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</si>
  <si>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</si>
  <si>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</si>
  <si>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</si>
  <si>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</si>
  <si>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</si>
  <si>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</si>
  <si>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</si>
  <si>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</si>
  <si>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</si>
  <si>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</si>
  <si>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</si>
  <si>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</si>
  <si>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</si>
  <si>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</si>
  <si>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</si>
  <si>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</si>
  <si>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</si>
  <si>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</si>
  <si>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</si>
  <si>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</si>
  <si>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</si>
  <si>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</si>
  <si>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</si>
  <si>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</si>
  <si>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</si>
  <si>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</si>
  <si>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</si>
  <si>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</si>
  <si>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</si>
  <si>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</si>
  <si>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</si>
  <si>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</si>
  <si>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</si>
  <si>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</si>
  <si>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</si>
  <si>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</si>
  <si>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</si>
  <si>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</si>
  <si>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</si>
  <si>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</si>
  <si>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</si>
  <si>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</si>
  <si>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</si>
  <si>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</si>
  <si>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</si>
  <si>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</si>
  <si>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</si>
  <si>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</si>
  <si>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</si>
  <si>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</si>
  <si>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</si>
  <si>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</si>
  <si>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</si>
  <si>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</si>
  <si>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</si>
  <si>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</si>
  <si>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</si>
  <si>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</si>
  <si>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</si>
  <si>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</si>
  <si>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</si>
  <si>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</si>
  <si>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</si>
  <si>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</si>
  <si>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</si>
  <si>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</si>
  <si>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</si>
  <si>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</si>
  <si>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</si>
  <si>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</si>
  <si>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</si>
  <si>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</si>
  <si>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</si>
  <si>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</si>
  <si>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</si>
  <si>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</si>
  <si>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</si>
  <si>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</si>
  <si>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</si>
  <si>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</si>
  <si>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</si>
  <si>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</si>
  <si>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</si>
  <si>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</si>
  <si>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</si>
  <si>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</si>
  <si>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</si>
  <si>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</si>
  <si>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</si>
  <si>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</si>
  <si>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</si>
  <si>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</si>
  <si>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</si>
  <si>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</si>
  <si>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</si>
  <si>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</si>
  <si>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</si>
  <si>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</si>
  <si>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</si>
  <si>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</si>
  <si>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</si>
  <si>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</si>
  <si>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</si>
  <si>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</si>
  <si>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</si>
  <si>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</si>
  <si>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</si>
  <si>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</si>
  <si>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</si>
  <si>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</si>
  <si>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</si>
  <si>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</si>
  <si>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</si>
  <si>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</si>
  <si>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</si>
  <si>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</si>
  <si>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</si>
  <si>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</si>
  <si>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</si>
  <si>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</si>
  <si>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</si>
  <si>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</si>
  <si>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</si>
  <si>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</si>
  <si>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</si>
  <si>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</si>
  <si>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</si>
  <si>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</si>
  <si>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</si>
  <si>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</si>
  <si>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</si>
  <si>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</si>
  <si>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</si>
  <si>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</si>
  <si>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</si>
  <si>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</si>
  <si>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</si>
  <si>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</si>
  <si>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</si>
  <si>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</si>
  <si>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</si>
  <si>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</si>
  <si>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</si>
  <si>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</si>
  <si>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</si>
  <si>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</si>
  <si>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</si>
  <si>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</si>
  <si>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</si>
  <si>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</si>
  <si>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</si>
  <si>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</si>
  <si>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</si>
  <si>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</si>
  <si>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</si>
  <si>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</si>
  <si>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</si>
  <si>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</si>
  <si>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</si>
  <si>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</si>
  <si>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</si>
  <si>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</si>
  <si>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</si>
  <si>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</si>
  <si>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</si>
  <si>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</si>
  <si>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</si>
  <si>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</si>
  <si>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</si>
  <si>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</si>
  <si>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</si>
  <si>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</si>
  <si>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</si>
  <si>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</si>
  <si>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</si>
  <si>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</si>
  <si>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</si>
  <si>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</si>
  <si>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</si>
  <si>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</si>
  <si>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</si>
  <si>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</si>
  <si>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</si>
  <si>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</si>
  <si>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</si>
  <si>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</si>
  <si>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</si>
  <si>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</si>
  <si>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</si>
  <si>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</si>
  <si>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</si>
  <si>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</si>
  <si>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</si>
  <si>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</si>
  <si>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</si>
  <si>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</si>
  <si>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</si>
  <si>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</si>
  <si>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</si>
  <si>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</si>
  <si>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</si>
  <si>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</si>
  <si>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</si>
  <si>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</si>
  <si>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</si>
  <si>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</si>
  <si>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</si>
  <si>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</si>
  <si>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</si>
  <si>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</si>
  <si>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</si>
  <si>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</si>
  <si>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</si>
  <si>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</si>
  <si>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</si>
  <si>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</si>
  <si>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</si>
  <si>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</si>
  <si>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</si>
  <si>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</si>
  <si>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</si>
  <si>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</si>
  <si>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</si>
  <si>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</si>
  <si>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</si>
  <si>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</si>
  <si>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</si>
  <si>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</si>
  <si>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</si>
  <si>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</si>
  <si>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</si>
  <si>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</si>
  <si>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</si>
  <si>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</si>
  <si>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</si>
  <si>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</si>
  <si>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</si>
  <si>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</si>
  <si>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</si>
  <si>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</si>
  <si>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</si>
  <si>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</si>
  <si>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</si>
  <si>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</si>
  <si>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</si>
  <si>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</si>
  <si>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</si>
  <si>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</si>
  <si>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</si>
  <si>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</si>
  <si>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</si>
  <si>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</si>
  <si>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</si>
  <si>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</si>
  <si>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</si>
  <si>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</si>
  <si>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</si>
  <si>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</si>
  <si>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</si>
  <si>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</si>
  <si>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</si>
  <si>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</si>
  <si>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</si>
  <si>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</si>
  <si>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</si>
  <si>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</si>
  <si>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</si>
  <si>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</si>
  <si>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</si>
  <si>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</si>
  <si>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</si>
  <si>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</si>
  <si>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</si>
  <si>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</si>
  <si>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</si>
  <si>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</si>
  <si>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</si>
  <si>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</si>
  <si>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</si>
  <si>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</si>
  <si>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</si>
  <si>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</si>
  <si>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</si>
  <si>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</si>
  <si>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</si>
  <si>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</si>
  <si>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</si>
  <si>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</si>
  <si>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</si>
  <si>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</si>
  <si>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</si>
  <si>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</si>
  <si>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</si>
  <si>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</si>
  <si>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</si>
  <si>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</si>
  <si>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</si>
  <si>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</si>
  <si>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</si>
  <si>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</si>
  <si>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</si>
  <si>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</si>
  <si>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</si>
  <si>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</si>
  <si>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</si>
  <si>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</si>
  <si>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</si>
  <si>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</si>
  <si>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</si>
  <si>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</si>
  <si>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</si>
  <si>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</si>
  <si>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</si>
  <si>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</si>
  <si>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</si>
  <si>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</si>
  <si>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</si>
  <si>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</si>
  <si>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</si>
  <si>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</si>
  <si>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</si>
  <si>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</si>
  <si>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</si>
  <si>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</si>
  <si>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</si>
  <si>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</si>
  <si>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</si>
  <si>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</si>
  <si>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</si>
  <si>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</si>
  <si>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</si>
  <si>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</si>
  <si>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</si>
  <si>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</si>
  <si>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</si>
  <si>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</si>
  <si>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</si>
  <si>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</si>
  <si>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</si>
  <si>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</si>
  <si>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</si>
  <si>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</si>
  <si>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</si>
  <si>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</si>
  <si>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</si>
  <si>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</si>
  <si>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</si>
  <si>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</si>
  <si>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</si>
  <si>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</si>
  <si>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</si>
  <si>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</si>
  <si>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</si>
  <si>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</si>
  <si>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</si>
  <si>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</si>
  <si>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</si>
  <si>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</si>
  <si>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</si>
  <si>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</si>
  <si>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</si>
  <si>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</si>
  <si>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</si>
  <si>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</si>
  <si>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</si>
  <si>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</si>
  <si>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</si>
  <si>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</si>
  <si>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</si>
  <si>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</si>
  <si>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</si>
  <si>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</si>
  <si>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</si>
  <si>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</si>
  <si>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</si>
  <si>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</si>
  <si>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</si>
  <si>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</si>
  <si>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</si>
  <si>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</si>
  <si>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</si>
  <si>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</si>
  <si>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</si>
  <si>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</si>
  <si>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</si>
  <si>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</si>
  <si>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</si>
  <si>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</si>
  <si>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</si>
  <si>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</si>
  <si>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</si>
  <si>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</si>
  <si>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</si>
  <si>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</si>
  <si>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</si>
  <si>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</si>
  <si>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</si>
  <si>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</si>
  <si>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</si>
  <si>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</si>
  <si>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</si>
  <si>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</si>
  <si>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</si>
  <si>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</si>
  <si>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</si>
  <si>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</si>
  <si>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</si>
  <si>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</si>
  <si>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</si>
  <si>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</si>
  <si>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</si>
  <si>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</si>
  <si>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</si>
  <si>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</si>
  <si>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</si>
  <si>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</si>
  <si>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</si>
  <si>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</si>
  <si>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</si>
  <si>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</si>
  <si>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</si>
  <si>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</si>
  <si>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</si>
  <si>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</si>
  <si>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</si>
  <si>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</si>
  <si>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</si>
  <si>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</si>
  <si>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</si>
  <si>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</si>
  <si>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</si>
  <si>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</si>
  <si>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</si>
  <si>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</si>
  <si>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</si>
  <si>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</si>
  <si>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</si>
  <si>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</si>
  <si>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</si>
  <si>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</si>
  <si>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</si>
  <si>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</si>
  <si>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</si>
  <si>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</si>
  <si>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</si>
  <si>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</si>
  <si>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</si>
  <si>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</si>
  <si>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</si>
  <si>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</si>
  <si>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</si>
  <si>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</si>
  <si>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</si>
  <si>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</si>
  <si>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</si>
  <si>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</si>
  <si>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</si>
  <si>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</si>
  <si>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</si>
  <si>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</si>
  <si>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</si>
  <si>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</si>
  <si>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</si>
  <si>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</si>
  <si>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</si>
  <si>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</si>
  <si>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</si>
  <si>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</si>
  <si>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</si>
  <si>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</si>
  <si>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</si>
  <si>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</si>
  <si>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</si>
  <si>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</si>
  <si>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</si>
  <si>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</si>
  <si>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</si>
  <si>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</si>
  <si>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</si>
  <si>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</si>
  <si>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</si>
  <si>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</si>
  <si>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</si>
  <si>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</si>
  <si>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</si>
  <si>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</si>
  <si>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</si>
  <si>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</si>
  <si>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</si>
  <si>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</si>
  <si>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</si>
  <si>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</si>
  <si>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</si>
  <si>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</si>
  <si>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</si>
  <si>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</si>
  <si>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</si>
  <si>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</si>
  <si>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</si>
  <si>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</si>
  <si>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</si>
  <si>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</si>
  <si>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</si>
  <si>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</si>
  <si>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</si>
  <si>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</si>
  <si>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</si>
  <si>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</si>
  <si>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</si>
  <si>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</si>
  <si>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</si>
  <si>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</si>
  <si>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</si>
  <si>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</si>
  <si>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</si>
  <si>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</si>
  <si>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</si>
  <si>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</si>
  <si>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</si>
  <si>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</si>
  <si>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</si>
  <si>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</si>
  <si>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</si>
  <si>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</si>
  <si>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</si>
  <si>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</si>
  <si>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</si>
  <si>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</si>
  <si>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</si>
  <si>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</si>
  <si>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</si>
  <si>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</si>
  <si>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</si>
  <si>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</si>
  <si>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</si>
  <si>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</si>
  <si>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</si>
  <si>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</si>
  <si>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</si>
  <si>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</si>
  <si>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</si>
  <si>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</si>
  <si>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</si>
  <si>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</si>
  <si>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</si>
  <si>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</si>
  <si>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</si>
  <si>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</si>
  <si>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</si>
  <si>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</si>
  <si>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</si>
  <si>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</si>
  <si>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</si>
  <si>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</si>
  <si>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</si>
  <si>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</si>
  <si>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</si>
  <si>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</si>
  <si>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</si>
  <si>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</si>
  <si>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</si>
  <si>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</si>
  <si>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</si>
  <si>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</si>
  <si>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</si>
  <si>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</si>
  <si>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</si>
  <si>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</si>
  <si>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</si>
  <si>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</si>
  <si>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</si>
  <si>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</si>
  <si>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</si>
  <si>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</si>
  <si>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</si>
  <si>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</si>
  <si>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</si>
  <si>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</si>
  <si>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</si>
  <si>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</si>
  <si>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</si>
  <si>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</si>
  <si>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</si>
  <si>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</si>
  <si>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</si>
  <si>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</si>
  <si>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</si>
  <si>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</si>
  <si>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</si>
  <si>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</si>
  <si>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</si>
  <si>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</si>
  <si>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</si>
  <si>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</si>
  <si>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</si>
  <si>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</si>
  <si>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</si>
  <si>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</si>
  <si>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</si>
  <si>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</si>
  <si>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</si>
  <si>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</si>
  <si>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</si>
  <si>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</si>
  <si>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</si>
  <si>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</si>
  <si>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</si>
  <si>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</si>
  <si>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</si>
  <si>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</si>
  <si>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</si>
  <si>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</si>
  <si>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</si>
  <si>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</si>
  <si>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</si>
  <si>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</si>
  <si>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</si>
  <si>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</si>
  <si>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</si>
  <si>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</si>
  <si>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</si>
  <si>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</si>
  <si>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</si>
  <si>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</si>
  <si>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</si>
  <si>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</si>
  <si>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</si>
  <si>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</si>
  <si>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</si>
  <si>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</si>
  <si>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</si>
  <si>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</si>
  <si>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</si>
  <si>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</si>
  <si>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</si>
  <si>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</si>
  <si>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</si>
  <si>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</si>
  <si>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</si>
  <si>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</si>
  <si>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</si>
  <si>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</si>
  <si>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</si>
  <si>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</si>
  <si>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</si>
  <si>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</si>
  <si>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</si>
  <si>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</si>
  <si>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</si>
  <si>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</si>
  <si>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</si>
  <si>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</si>
  <si>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</si>
  <si>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</si>
  <si>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</si>
  <si>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</si>
  <si>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</si>
  <si>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</si>
  <si>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</si>
  <si>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</si>
  <si>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</si>
  <si>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</si>
  <si>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</si>
  <si>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</si>
  <si>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</si>
  <si>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</si>
  <si>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</si>
  <si>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</si>
  <si>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</si>
  <si>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</si>
  <si>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</si>
  <si>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</si>
  <si>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</si>
  <si>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</si>
  <si>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</si>
  <si>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</si>
  <si>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</si>
  <si>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</si>
  <si>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</si>
  <si>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</si>
  <si>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</si>
  <si>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</si>
  <si>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</si>
  <si>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</si>
  <si>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</si>
  <si>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</si>
  <si>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</si>
  <si>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</si>
  <si>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</si>
  <si>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</si>
  <si>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</si>
  <si>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</si>
  <si>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</si>
  <si>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</si>
  <si>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</si>
  <si>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</si>
  <si>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</si>
  <si>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</si>
  <si>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</si>
  <si>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</si>
  <si>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</si>
  <si>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</si>
  <si>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</si>
  <si>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</si>
  <si>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</si>
  <si>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</si>
  <si>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</si>
  <si>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</si>
  <si>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</si>
  <si>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</si>
  <si>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</si>
  <si>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</si>
  <si>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</si>
  <si>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</si>
  <si>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</si>
  <si>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</si>
  <si>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</si>
  <si>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</si>
  <si>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CHAMPAIGN</t>
  </si>
  <si>
    <t>400 EAST WABASH</t>
  </si>
  <si>
    <t>RANTOUL</t>
  </si>
  <si>
    <t>Michelle Ramage</t>
  </si>
  <si>
    <t>michelle.ramage@rcs.k12.il.us</t>
  </si>
  <si>
    <t>217-893-4171</t>
  </si>
  <si>
    <t>217-893-4313</t>
  </si>
  <si>
    <t>RUSSELL LEIGH &amp; ASSOCIATES LLC</t>
  </si>
  <si>
    <t>RUSS LEIGH</t>
  </si>
  <si>
    <t>228 E MAIN ST</t>
  </si>
  <si>
    <t>HOOPESTON</t>
  </si>
  <si>
    <t>IL</t>
  </si>
  <si>
    <t>217-283-9336</t>
  </si>
  <si>
    <t>217-283-9736</t>
  </si>
  <si>
    <t>065.018319</t>
  </si>
  <si>
    <t>admin@russleigh.com</t>
  </si>
  <si>
    <t>Russell Leigh &amp; Associates LLC</t>
  </si>
  <si>
    <t>General Obligation School Bonds, Series 2010A</t>
  </si>
  <si>
    <t>General Obligation School Bonds, Series 2010B</t>
  </si>
  <si>
    <t>2016 Qualified School Construction Bonds, Alt. Rev</t>
  </si>
  <si>
    <t>Capital Leases - Copiers</t>
  </si>
  <si>
    <t>Capital Lease</t>
  </si>
  <si>
    <t>2020 Refunding School Bonds - Alt. Rev.</t>
  </si>
  <si>
    <t>No applicable contracts paid in current year.</t>
  </si>
  <si>
    <t>Page 8 - Acct 8990 - Other Uses not Classified Elsewhere</t>
  </si>
  <si>
    <t>Col 30 - Debt Services</t>
  </si>
  <si>
    <t>Bonds Refunded - $5,000,000</t>
  </si>
  <si>
    <t>Bond Issue Costs - $125,760</t>
  </si>
  <si>
    <t>Page 10 - Acct 1690 - Other Food Service Revnue</t>
  </si>
  <si>
    <t>Col 10 - Educational</t>
  </si>
  <si>
    <t>Refunds &amp; Reimbursements - $2,035</t>
  </si>
  <si>
    <t>Page 11 - Acct 1990 - Other Local Revenues</t>
  </si>
  <si>
    <t>Misc Refunds &amp; Reimbursements - $23,311</t>
  </si>
  <si>
    <t>Col 20 - Operations &amp; Maintenance</t>
  </si>
  <si>
    <t>Col 40 - Transportation</t>
  </si>
  <si>
    <t>Col 80 - Tort</t>
  </si>
  <si>
    <t>Misc Refunds &amp; Reimbursements - $2,388</t>
  </si>
  <si>
    <t>Misc Refunds &amp; Reimbursements - $4,174</t>
  </si>
  <si>
    <t>Misc Refunds &amp; Reimbursements - $2,729</t>
  </si>
  <si>
    <t>Misc Refunds &amp; Reimbursements - $6,568</t>
  </si>
  <si>
    <t>Page 12 - Acct 3999 - Other Restricted Revene from State Sources</t>
  </si>
  <si>
    <t>Other State Programs - $97,766</t>
  </si>
  <si>
    <t>Page 13 - Acct 4399 - Title I - Other</t>
  </si>
  <si>
    <t>Title I - School Improvement &amp; Accountability Grant - $418,123</t>
  </si>
  <si>
    <t>Pages 16 &amp; 20 - Acct 2900 - Other Support Services</t>
  </si>
  <si>
    <t>Student Support Salaries &amp; Benefits</t>
  </si>
  <si>
    <t>Page 16 - Acct 4190 - Other Payments to Instate Government Unites</t>
  </si>
  <si>
    <t>Payments for Other Programs</t>
  </si>
  <si>
    <t>Page 18 - Acct 5400 - Debt Services - Other</t>
  </si>
  <si>
    <t>Bond Fees - $1,443</t>
  </si>
  <si>
    <t>Short-Term Long-Term Debt Tab</t>
  </si>
  <si>
    <t>Other Differences on 2010A Bonds Payable</t>
  </si>
  <si>
    <t>Bonds were refunded in the current year.</t>
  </si>
  <si>
    <t>AUDITCHECK Tab</t>
  </si>
  <si>
    <t>Number 8 - Error for Long-Term Debt Principal Retired</t>
  </si>
  <si>
    <t>Difference is due to copier leases recorded and paid in the Education Fund</t>
  </si>
  <si>
    <t>Number 15 - Contracts Paid Error</t>
  </si>
  <si>
    <t>No applicable contracs paid in the current year.</t>
  </si>
  <si>
    <t>U.S. Department of Education</t>
  </si>
  <si>
    <t xml:space="preserve">     Passed Through the Illinois State Board of Education</t>
  </si>
  <si>
    <t>(M)  School Lunch Regular-19</t>
  </si>
  <si>
    <t>(M)  School Lunch Regular-20</t>
  </si>
  <si>
    <t xml:space="preserve">         School Breakfast-19</t>
  </si>
  <si>
    <t xml:space="preserve">        School Breakfast-20</t>
  </si>
  <si>
    <t xml:space="preserve">        Summer Food</t>
  </si>
  <si>
    <t xml:space="preserve">       Child and Adult</t>
  </si>
  <si>
    <t xml:space="preserve">        School Commodities</t>
  </si>
  <si>
    <t xml:space="preserve">          Total U.S. Department of Agriculture</t>
  </si>
  <si>
    <t>84.010a</t>
  </si>
  <si>
    <t>(M)  Title 1-Low Income-19</t>
  </si>
  <si>
    <t>(M)  Title 1-Low Income-20</t>
  </si>
  <si>
    <t xml:space="preserve">       Title 1-School Improvement</t>
  </si>
  <si>
    <t xml:space="preserve">          Title 1-School Improvement-20</t>
  </si>
  <si>
    <t>84.424a</t>
  </si>
  <si>
    <t xml:space="preserve">       Title IV-Student Support-19</t>
  </si>
  <si>
    <t xml:space="preserve">    </t>
  </si>
  <si>
    <t xml:space="preserve">       Title IV-Student Support-20</t>
  </si>
  <si>
    <t>84.173a</t>
  </si>
  <si>
    <t xml:space="preserve">       IDEA-Part B-Pre School-19</t>
  </si>
  <si>
    <t xml:space="preserve">       IDEA-Part B-Pre School-20</t>
  </si>
  <si>
    <t>84.027a</t>
  </si>
  <si>
    <t xml:space="preserve">       IDEA-Flow Thru-19</t>
  </si>
  <si>
    <t>(M)IDEA-Flow Thru-20</t>
  </si>
  <si>
    <t xml:space="preserve">       IDEA-Room &amp; Board-20</t>
  </si>
  <si>
    <t xml:space="preserve">      IDEA-Room &amp;Board-19</t>
  </si>
  <si>
    <t xml:space="preserve">       Title III</t>
  </si>
  <si>
    <t xml:space="preserve">        Title II</t>
  </si>
  <si>
    <t>84.367a</t>
  </si>
  <si>
    <t>U.S. Department of Health &amp; Human Services</t>
  </si>
  <si>
    <t xml:space="preserve">      Mediciaid-Admin Outreach</t>
  </si>
  <si>
    <t xml:space="preserve">       Total U.S Department of Health &amp; Human Services</t>
  </si>
  <si>
    <t xml:space="preserve">          Total Federal Financial Assistance</t>
  </si>
  <si>
    <t>The accompanying Schedule of Expenditures of Federal Awards includes the federal grant activity of Rantoul City School District No 137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</si>
  <si>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</si>
  <si>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Of the federal expenditures presented in the schedule, Rantoul City School District No 137 provided federal awards to subrecipients as follows:</t>
  </si>
  <si>
    <t>none</t>
  </si>
  <si>
    <r>
      <t xml:space="preserve">The following amounts were expended in the form of non-cash assistance byRantoul City School District No. 137 and </t>
    </r>
    <r>
      <rPr>
        <b/>
        <sz val="9"/>
        <rFont val="Calibri"/>
        <family val="2"/>
        <scheme val="minor"/>
      </rPr>
      <t>should be</t>
    </r>
    <r>
      <rPr>
        <sz val="9"/>
        <rFont val="Calibri"/>
        <family val="2"/>
        <scheme val="minor"/>
      </rPr>
      <t xml:space="preserve"> included in the Schedule of Expenditures of Federal Awards:</t>
    </r>
  </si>
  <si>
    <t>no</t>
  </si>
  <si>
    <t>Adverse-Gaap/Regulatory-Qualified</t>
  </si>
  <si>
    <t>Unmodified</t>
  </si>
  <si>
    <t>Title 1-Low Income</t>
  </si>
  <si>
    <t>School Lunch Program</t>
  </si>
  <si>
    <t>IDEA-Flow Thru</t>
  </si>
  <si>
    <t>The District is required to maintain a system of controls over the preparation of financial statements.  The District's internal control over the financial reporting should include adequately trained personnel with the knowldege and expertise to review the financial statements to ensure they are free of material mistatements</t>
  </si>
  <si>
    <t>For the year end reporting purposes the District relies on the auditor to propaose year end adjustments, and to prepare a draft of the financial statements</t>
  </si>
  <si>
    <t>Although the auditor can propse adjustments and assist in assembling or drafting the financial statements, they cannot establish or maintain the District's internal controls, including monitoring ongoing activities,since to do so would impair the auditor's independence</t>
  </si>
  <si>
    <t>Lack of Sufficient knowledge and expertise to prepare and review the financial statements could result in controls not being effective in preventing or detecting material mistatements particularly in the related notes to the fianncial statements</t>
  </si>
  <si>
    <t>Due to the actual errors identified and adjustments required durng the preperation of the financial statements, the District was not monitoring its financials</t>
  </si>
  <si>
    <t>We recommend that the District establish effective review procedures for financial reports</t>
  </si>
  <si>
    <t>The District agrees with the corrective action plan and will evaluate year-end reporting controls and pursue additional training when it is considered cost beneficial</t>
  </si>
  <si>
    <t xml:space="preserve">     Passed Through the Illinois Department of Healthcare and Family Services</t>
  </si>
  <si>
    <t xml:space="preserve">          Total U.S.  Department of Education </t>
  </si>
  <si>
    <t xml:space="preserve">        CARES-Elementary and Secondary Schhol Relief'</t>
  </si>
  <si>
    <t>84.425d</t>
  </si>
  <si>
    <t xml:space="preserve">  Rantoul City SD 137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</si>
</sst>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9" t="s">
        <v>402</v>
      </c>
      <c r="J1" s="2120"/>
      <c r="K1" s="2120"/>
      <c r="L1" s="2120"/>
      <c r="M1" s="2120"/>
      <c r="N1" s="2120"/>
      <c r="O1" s="2120"/>
      <c r="P1" s="2120"/>
      <c r="Q1" s="2120"/>
      <c r="R1" s="2120"/>
      <c r="S1" s="2120"/>
    </row>
    <row r="2" spans="1:32" ht="12" customHeight="1" x14ac:dyDescent="0.2">
      <c r="A2" s="1831" t="str">
        <f>"Due to ISBE on "</f>
        <v xml:space="preserve">Due to ISBE on </v>
      </c>
      <c r="B2" s="2041">
        <f>+'AFR20'!F4</f>
        <v>44151</v>
      </c>
      <c r="C2" s="2041"/>
      <c r="D2" s="2042"/>
      <c r="I2" s="2121" t="s">
        <v>2000</v>
      </c>
      <c r="J2" s="2120"/>
      <c r="K2" s="2120"/>
      <c r="L2" s="2120"/>
      <c r="M2" s="2120"/>
      <c r="N2" s="2120"/>
      <c r="O2" s="2120"/>
      <c r="P2" s="2120"/>
      <c r="Q2" s="2120"/>
      <c r="R2" s="2120"/>
      <c r="S2" s="2120"/>
    </row>
    <row r="3" spans="1:32" ht="12" customHeight="1" x14ac:dyDescent="0.2">
      <c r="A3" s="1834"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t="s">
        <v>2048</v>
      </c>
      <c r="C5" s="26" t="s">
        <v>904</v>
      </c>
      <c r="D5" s="81"/>
      <c r="E5" s="81"/>
      <c r="H5" s="38"/>
      <c r="I5" s="2128" t="s">
        <v>675</v>
      </c>
      <c r="J5" s="2072"/>
      <c r="K5" s="2072"/>
      <c r="L5" s="2072"/>
      <c r="M5" s="2072"/>
      <c r="N5" s="2072"/>
      <c r="O5" s="2072"/>
      <c r="P5" s="2072"/>
      <c r="Q5" s="2072"/>
      <c r="R5" s="2072"/>
      <c r="S5" s="2072"/>
      <c r="AF5" s="1827"/>
    </row>
    <row r="6" spans="1:32" ht="14.1" customHeight="1" x14ac:dyDescent="0.2">
      <c r="B6" s="101"/>
      <c r="C6" s="26" t="s">
        <v>905</v>
      </c>
      <c r="D6" s="81"/>
      <c r="E6" s="81"/>
      <c r="I6" s="2127" t="s">
        <v>877</v>
      </c>
      <c r="J6" s="2072"/>
      <c r="K6" s="2072"/>
      <c r="L6" s="2072"/>
      <c r="M6" s="2072"/>
      <c r="N6" s="2072"/>
      <c r="O6" s="2072"/>
      <c r="P6" s="2072"/>
      <c r="Q6" s="2072"/>
      <c r="R6" s="2072"/>
      <c r="S6" s="2072"/>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2048</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9010137002</v>
      </c>
      <c r="B13" s="2089"/>
      <c r="C13" s="2089"/>
      <c r="D13" s="2089"/>
      <c r="E13" s="2089"/>
      <c r="F13" s="2089"/>
      <c r="G13" s="2089"/>
      <c r="H13" s="2090"/>
      <c r="I13" s="31"/>
      <c r="J13" s="30"/>
      <c r="K13" s="28"/>
      <c r="L13" s="30"/>
      <c r="M13" s="30"/>
      <c r="N13" s="30"/>
      <c r="O13" s="30"/>
      <c r="P13" s="30"/>
      <c r="Q13" s="30"/>
      <c r="R13" s="30"/>
      <c r="S13" s="30"/>
      <c r="T13" s="2093" t="s">
        <v>2056</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2049</v>
      </c>
      <c r="B15" s="2091"/>
      <c r="C15" s="2091"/>
      <c r="D15" s="2091"/>
      <c r="E15" s="2091"/>
      <c r="F15" s="2091"/>
      <c r="G15" s="2091"/>
      <c r="H15" s="2092"/>
      <c r="T15" s="2054" t="s">
        <v>2057</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6" t="s">
        <v>2163</v>
      </c>
      <c r="B17" s="2117"/>
      <c r="C17" s="2117"/>
      <c r="D17" s="2117"/>
      <c r="E17" s="2117"/>
      <c r="F17" s="2117"/>
      <c r="G17" s="2117"/>
      <c r="H17" s="2118"/>
      <c r="T17" s="2103" t="s">
        <v>2058</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2050</v>
      </c>
      <c r="B19" s="2087"/>
      <c r="C19" s="2087"/>
      <c r="D19" s="2087"/>
      <c r="E19" s="2087"/>
      <c r="F19" s="2087"/>
      <c r="G19" s="2087"/>
      <c r="H19" s="2085"/>
      <c r="I19" s="30"/>
      <c r="J19" s="96"/>
      <c r="K19" s="40"/>
      <c r="L19" s="38"/>
      <c r="M19" s="109" t="s">
        <v>312</v>
      </c>
      <c r="P19" s="27"/>
      <c r="Q19" s="27"/>
      <c r="R19" s="27"/>
      <c r="S19" s="31"/>
      <c r="T19" s="2086" t="s">
        <v>2059</v>
      </c>
      <c r="U19" s="2084"/>
      <c r="V19" s="2084"/>
      <c r="W19" s="2085"/>
      <c r="X19" s="2101" t="s">
        <v>2060</v>
      </c>
      <c r="Y19" s="2102"/>
      <c r="Z19" s="2099">
        <v>60942</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2051</v>
      </c>
      <c r="B21" s="2084"/>
      <c r="C21" s="2084"/>
      <c r="D21" s="2084"/>
      <c r="E21" s="2084"/>
      <c r="F21" s="2084"/>
      <c r="G21" s="2084"/>
      <c r="H21" s="2085"/>
      <c r="I21" s="2109" t="s">
        <v>673</v>
      </c>
      <c r="J21" s="2072"/>
      <c r="K21" s="2072"/>
      <c r="L21" s="2072"/>
      <c r="M21" s="2072"/>
      <c r="N21" s="2072"/>
      <c r="O21" s="2072"/>
      <c r="P21" s="2072"/>
      <c r="Q21" s="2072"/>
      <c r="R21" s="2072"/>
      <c r="S21" s="2073"/>
      <c r="T21" s="2051" t="s">
        <v>2061</v>
      </c>
      <c r="U21" s="2052"/>
      <c r="V21" s="2052"/>
      <c r="W21" s="2052"/>
      <c r="X21" s="2065" t="s">
        <v>2062</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t="s">
        <v>2063</v>
      </c>
      <c r="U23" s="2047"/>
      <c r="V23" s="2047"/>
      <c r="W23" s="2047"/>
      <c r="X23" s="2062">
        <v>44469</v>
      </c>
      <c r="Y23" s="2063"/>
      <c r="Z23" s="2063"/>
      <c r="AA23" s="2064"/>
    </row>
    <row r="24" spans="1:27" ht="14.1" customHeight="1" x14ac:dyDescent="0.2">
      <c r="A24" s="85" t="s">
        <v>672</v>
      </c>
      <c r="B24" s="46"/>
      <c r="C24" s="46"/>
      <c r="D24" s="46"/>
      <c r="E24" s="46"/>
      <c r="F24" s="46"/>
      <c r="G24" s="46"/>
      <c r="H24" s="58"/>
      <c r="J24" s="2149">
        <f>IF(B5="x",IF(AUDITCHECK!D29="AFR form Incomplete.","",IF(AUDITCHECK!D29="Deficit reduction plan is required.","School District must complete a deficit reduction plan in the 2020-2021 Budget",)),"")</f>
        <v>0</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3">
        <v>61866</v>
      </c>
      <c r="B25" s="2084"/>
      <c r="C25" s="2084"/>
      <c r="D25" s="2084"/>
      <c r="E25" s="2084"/>
      <c r="F25" s="2084"/>
      <c r="G25" s="2084"/>
      <c r="H25" s="2085"/>
      <c r="I25" s="110"/>
      <c r="J25" s="2151"/>
      <c r="K25" s="2151"/>
      <c r="L25" s="2151"/>
      <c r="M25" s="2151"/>
      <c r="N25" s="2151"/>
      <c r="O25" s="2151"/>
      <c r="P25" s="2151"/>
      <c r="Q25" s="2151"/>
      <c r="R25" s="2151"/>
      <c r="S25" s="2152"/>
      <c r="T25" s="2043" t="s">
        <v>2064</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2"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6" t="s">
        <v>2052</v>
      </c>
      <c r="B38" s="2117"/>
      <c r="C38" s="2117"/>
      <c r="D38" s="2117"/>
      <c r="E38" s="2117"/>
      <c r="F38" s="2084"/>
      <c r="G38" s="2084"/>
      <c r="H38" s="2085"/>
      <c r="I38" s="2136"/>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t="s">
        <v>2053</v>
      </c>
      <c r="B40" s="2144"/>
      <c r="C40" s="2145"/>
      <c r="D40" s="2145"/>
      <c r="E40" s="2145"/>
      <c r="F40" s="2146"/>
      <c r="G40" s="2146"/>
      <c r="H40" s="2147"/>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t="s">
        <v>2054</v>
      </c>
      <c r="B42" s="2134"/>
      <c r="C42" s="2135"/>
      <c r="D42" s="2148" t="s">
        <v>2055</v>
      </c>
      <c r="E42" s="2134"/>
      <c r="F42" s="2134"/>
      <c r="G42" s="2134"/>
      <c r="H42" s="2135"/>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sqref="A1:B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2780334</v>
      </c>
      <c r="C4" s="1722">
        <v>293036</v>
      </c>
      <c r="D4" s="1723">
        <f>B4-C4</f>
        <v>2487298</v>
      </c>
      <c r="E4" s="1722">
        <v>3176034</v>
      </c>
      <c r="F4" s="1723">
        <f>E4-C4</f>
        <v>2882998</v>
      </c>
    </row>
    <row r="5" spans="1:8" ht="13.7" customHeight="1" x14ac:dyDescent="0.2">
      <c r="A5" s="579" t="s">
        <v>865</v>
      </c>
      <c r="B5" s="1724">
        <f>'Revenues 9-14'!D5</f>
        <v>322666</v>
      </c>
      <c r="C5" s="1664">
        <v>45501</v>
      </c>
      <c r="D5" s="1725">
        <f t="shared" ref="D5:D18" si="0">B5-C5</f>
        <v>277165</v>
      </c>
      <c r="E5" s="1664">
        <v>493154</v>
      </c>
      <c r="F5" s="1725">
        <f>E5-C5</f>
        <v>447653</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218212</v>
      </c>
      <c r="C7" s="1664">
        <v>20226</v>
      </c>
      <c r="D7" s="1725">
        <f t="shared" si="0"/>
        <v>197986</v>
      </c>
      <c r="E7" s="1664">
        <v>219221</v>
      </c>
      <c r="F7" s="1725">
        <f t="shared" si="1"/>
        <v>198995</v>
      </c>
    </row>
    <row r="8" spans="1:8" ht="13.7" customHeight="1" x14ac:dyDescent="0.2">
      <c r="A8" s="579" t="s">
        <v>1169</v>
      </c>
      <c r="B8" s="1724">
        <f>'Revenues 9-14'!G5</f>
        <v>285080</v>
      </c>
      <c r="C8" s="1664">
        <v>27690</v>
      </c>
      <c r="D8" s="1725">
        <f t="shared" si="0"/>
        <v>257390</v>
      </c>
      <c r="E8" s="1664">
        <v>300110</v>
      </c>
      <c r="F8" s="1725">
        <f t="shared" si="1"/>
        <v>272420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9529</v>
      </c>
      <c r="C10" s="1664">
        <v>1042</v>
      </c>
      <c r="D10" s="1725">
        <f t="shared" si="0"/>
        <v>8487</v>
      </c>
      <c r="E10" s="1664">
        <v>11290</v>
      </c>
      <c r="F10" s="1725">
        <f t="shared" si="1"/>
        <v>10248</v>
      </c>
    </row>
    <row r="11" spans="1:8" x14ac:dyDescent="0.2">
      <c r="A11" s="579" t="s">
        <v>406</v>
      </c>
      <c r="B11" s="1724">
        <f>'Revenues 9-14'!J5</f>
        <v>255749</v>
      </c>
      <c r="C11" s="1664">
        <v>27690</v>
      </c>
      <c r="D11" s="1725">
        <f t="shared" si="0"/>
        <v>228059</v>
      </c>
      <c r="E11" s="1664">
        <v>300110</v>
      </c>
      <c r="F11" s="1725">
        <f t="shared" si="1"/>
        <v>272420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280652</v>
      </c>
      <c r="C14" s="1664">
        <v>27300</v>
      </c>
      <c r="D14" s="1725">
        <f t="shared" si="0"/>
        <v>253352</v>
      </c>
      <c r="E14" s="1664">
        <v>295892</v>
      </c>
      <c r="F14" s="1725">
        <f t="shared" si="1"/>
        <v>268592</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359425</v>
      </c>
      <c r="C16" s="1664">
        <v>38759</v>
      </c>
      <c r="D16" s="1725">
        <f t="shared" si="0"/>
        <v>320666</v>
      </c>
      <c r="E16" s="1664">
        <v>420080</v>
      </c>
      <c r="F16" s="1725">
        <f t="shared" si="1"/>
        <v>381321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4511647</v>
      </c>
      <c r="C19" s="1726">
        <f>SUM(C4:C18)</f>
        <v>481244</v>
      </c>
      <c r="D19" s="1726">
        <f>SUM(D4:D18)</f>
        <v>4030403</v>
      </c>
      <c r="E19" s="1726">
        <f>SUM(E4:E18)</f>
        <v>5215891</v>
      </c>
      <c r="F19" s="1726">
        <f>SUM(F4:F18)</f>
        <v>4734647</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23" sqref="A23:B2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1776</v>
      </c>
      <c r="B2" s="230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0" t="s">
        <v>1104</v>
      </c>
      <c r="B3" s="2311"/>
      <c r="C3" s="2299"/>
      <c r="D3" s="2300"/>
      <c r="E3" s="2300"/>
      <c r="F3" s="2301"/>
    </row>
    <row r="4" spans="1:7" ht="12.75" customHeight="1" thickBot="1" x14ac:dyDescent="0.25">
      <c r="A4" s="2308" t="s">
        <v>626</v>
      </c>
      <c r="B4" s="2309"/>
      <c r="C4" s="1656"/>
      <c r="D4" s="1656"/>
      <c r="E4" s="1656"/>
      <c r="F4" s="1732">
        <f>SUM(C4+D4)-E4</f>
        <v>0</v>
      </c>
    </row>
    <row r="5" spans="1:7" ht="15.75" customHeight="1" thickTop="1" x14ac:dyDescent="0.2">
      <c r="A5" s="2293" t="s">
        <v>1101</v>
      </c>
      <c r="B5" s="2294"/>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5" t="s">
        <v>627</v>
      </c>
      <c r="B15" s="2296"/>
      <c r="C15" s="1732">
        <f>SUM(C6:C14)</f>
        <v>0</v>
      </c>
      <c r="D15" s="1732">
        <f>SUM(D6:D14)</f>
        <v>0</v>
      </c>
      <c r="E15" s="1732">
        <f>SUM(E6:E14)</f>
        <v>0</v>
      </c>
      <c r="F15" s="1732">
        <f>SUM(F6:F14)</f>
        <v>0</v>
      </c>
      <c r="G15" s="473"/>
    </row>
    <row r="16" spans="1:7" s="197" customFormat="1" ht="15.75" customHeight="1" thickTop="1" x14ac:dyDescent="0.2">
      <c r="A16" s="2305" t="s">
        <v>1102</v>
      </c>
      <c r="B16" s="2294"/>
      <c r="C16" s="2302"/>
      <c r="D16" s="2303"/>
      <c r="E16" s="2303"/>
      <c r="F16" s="2304"/>
    </row>
    <row r="17" spans="1:11" ht="12.75" customHeight="1" thickBot="1" x14ac:dyDescent="0.25">
      <c r="A17" s="2318" t="s">
        <v>64</v>
      </c>
      <c r="B17" s="2319"/>
      <c r="C17" s="1733"/>
      <c r="D17" s="1664"/>
      <c r="E17" s="1733"/>
      <c r="F17" s="1732">
        <f>SUM(C17+D17)-E17</f>
        <v>0</v>
      </c>
    </row>
    <row r="18" spans="1:11" ht="12.75" customHeight="1" thickTop="1" thickBot="1" x14ac:dyDescent="0.25">
      <c r="A18" s="2318" t="s">
        <v>6</v>
      </c>
      <c r="B18" s="2319"/>
      <c r="C18" s="1733"/>
      <c r="D18" s="1664"/>
      <c r="E18" s="1733"/>
      <c r="F18" s="1732">
        <f>SUM(C18+D18)-E18</f>
        <v>0</v>
      </c>
    </row>
    <row r="19" spans="1:11" ht="12.75" customHeight="1" thickTop="1" thickBot="1" x14ac:dyDescent="0.25">
      <c r="A19" s="2318" t="s">
        <v>385</v>
      </c>
      <c r="B19" s="2319"/>
      <c r="C19" s="1733"/>
      <c r="D19" s="1664"/>
      <c r="E19" s="1733"/>
      <c r="F19" s="1732">
        <f>SUM(C19+D19)-E19</f>
        <v>0</v>
      </c>
    </row>
    <row r="20" spans="1:11" ht="12.75" customHeight="1" thickTop="1" thickBot="1" x14ac:dyDescent="0.25">
      <c r="A20" s="2318" t="s">
        <v>445</v>
      </c>
      <c r="B20" s="2319"/>
      <c r="C20" s="1733"/>
      <c r="D20" s="1664"/>
      <c r="E20" s="1733"/>
      <c r="F20" s="1732">
        <f>SUM(C20+D20)-E20</f>
        <v>0</v>
      </c>
    </row>
    <row r="21" spans="1:11" ht="14.25" thickTop="1" thickBot="1" x14ac:dyDescent="0.25">
      <c r="A21" s="2295" t="s">
        <v>628</v>
      </c>
      <c r="B21" s="2296"/>
      <c r="C21" s="1732">
        <f>SUM(C17:C20)</f>
        <v>0</v>
      </c>
      <c r="D21" s="1732">
        <f>SUM(D17:D20)</f>
        <v>0</v>
      </c>
      <c r="E21" s="1732">
        <f>SUM(E17:E20)</f>
        <v>0</v>
      </c>
      <c r="F21" s="1732">
        <f>SUM(F17:F20)</f>
        <v>0</v>
      </c>
      <c r="G21" s="473"/>
    </row>
    <row r="22" spans="1:11" ht="15.75" customHeight="1" thickTop="1" x14ac:dyDescent="0.2">
      <c r="A22" s="2320" t="s">
        <v>1103</v>
      </c>
      <c r="B22" s="2294"/>
      <c r="C22" s="2302"/>
      <c r="D22" s="2303"/>
      <c r="E22" s="2303"/>
      <c r="F22" s="2304"/>
    </row>
    <row r="23" spans="1:11" ht="13.5" thickBot="1" x14ac:dyDescent="0.25">
      <c r="A23" s="2308" t="s">
        <v>629</v>
      </c>
      <c r="B23" s="2309"/>
      <c r="C23" s="1656"/>
      <c r="D23" s="1656"/>
      <c r="E23" s="1656"/>
      <c r="F23" s="1732">
        <f>SUM(C23+D23)-E23</f>
        <v>0</v>
      </c>
      <c r="G23" s="473"/>
    </row>
    <row r="24" spans="1:11" ht="15.75" customHeight="1" thickTop="1" x14ac:dyDescent="0.2">
      <c r="A24" s="2320" t="s">
        <v>2003</v>
      </c>
      <c r="B24" s="2294"/>
      <c r="C24" s="2302"/>
      <c r="D24" s="2303"/>
      <c r="E24" s="2303"/>
      <c r="F24" s="2304"/>
    </row>
    <row r="25" spans="1:11" ht="13.5" thickBot="1" x14ac:dyDescent="0.25">
      <c r="A25" s="2308" t="s">
        <v>2004</v>
      </c>
      <c r="B25" s="2309"/>
      <c r="C25" s="1656"/>
      <c r="D25" s="1656"/>
      <c r="E25" s="1656"/>
      <c r="F25" s="1732">
        <f>SUM(C25+D25)-E25</f>
        <v>0</v>
      </c>
      <c r="G25" s="473"/>
    </row>
    <row r="26" spans="1:11" ht="15.75" customHeight="1" thickTop="1" x14ac:dyDescent="0.2">
      <c r="A26" s="2293" t="s">
        <v>652</v>
      </c>
      <c r="B26" s="2294"/>
      <c r="C26" s="589"/>
      <c r="D26" s="589"/>
      <c r="E26" s="589"/>
      <c r="F26" s="590"/>
    </row>
    <row r="27" spans="1:11" ht="13.5" thickBot="1" x14ac:dyDescent="0.25">
      <c r="A27" s="2295" t="s">
        <v>1061</v>
      </c>
      <c r="B27" s="2296"/>
      <c r="C27" s="1664"/>
      <c r="D27" s="1664"/>
      <c r="E27" s="1664"/>
      <c r="F27" s="1732">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2066</v>
      </c>
      <c r="B31" s="595">
        <v>40238</v>
      </c>
      <c r="C31" s="1734">
        <v>8500000</v>
      </c>
      <c r="D31" s="1735">
        <v>2</v>
      </c>
      <c r="E31" s="1734">
        <v>5000000</v>
      </c>
      <c r="F31" s="1734"/>
      <c r="G31" s="1734">
        <v>-5000000</v>
      </c>
      <c r="H31" s="1734"/>
      <c r="I31" s="1736">
        <f>((E31+F31)-H31)+G31</f>
        <v>0</v>
      </c>
      <c r="J31" s="1734"/>
      <c r="K31" s="596"/>
    </row>
    <row r="32" spans="1:11" ht="12" customHeight="1" x14ac:dyDescent="0.2">
      <c r="A32" s="594" t="s">
        <v>2067</v>
      </c>
      <c r="B32" s="595">
        <v>40386</v>
      </c>
      <c r="C32" s="1734">
        <v>6500000</v>
      </c>
      <c r="D32" s="1735">
        <v>2</v>
      </c>
      <c r="E32" s="1734">
        <v>5010000</v>
      </c>
      <c r="F32" s="1734"/>
      <c r="G32" s="1734"/>
      <c r="H32" s="1734">
        <v>740000</v>
      </c>
      <c r="I32" s="1736">
        <f>((E32+F32)-H32)+G32</f>
        <v>4270000</v>
      </c>
      <c r="J32" s="1734">
        <v>4221600</v>
      </c>
      <c r="K32" s="596"/>
    </row>
    <row r="33" spans="1:11" ht="12" customHeight="1" x14ac:dyDescent="0.2">
      <c r="A33" s="594" t="s">
        <v>2068</v>
      </c>
      <c r="B33" s="595">
        <v>42492</v>
      </c>
      <c r="C33" s="1734">
        <v>10000000</v>
      </c>
      <c r="D33" s="1735">
        <v>6</v>
      </c>
      <c r="E33" s="1734">
        <v>9410000</v>
      </c>
      <c r="F33" s="1734"/>
      <c r="G33" s="1734"/>
      <c r="H33" s="1734">
        <v>165000</v>
      </c>
      <c r="I33" s="1736">
        <f t="shared" ref="I33:I48" si="1">((E33+F33)-H33)+G33</f>
        <v>9245000</v>
      </c>
      <c r="J33" s="1734">
        <v>9245000</v>
      </c>
      <c r="K33" s="596"/>
    </row>
    <row r="34" spans="1:11" ht="12" customHeight="1" x14ac:dyDescent="0.2">
      <c r="A34" s="594" t="s">
        <v>2069</v>
      </c>
      <c r="B34" s="595">
        <v>40085</v>
      </c>
      <c r="C34" s="1734">
        <v>115906</v>
      </c>
      <c r="D34" s="1735">
        <v>7</v>
      </c>
      <c r="E34" s="1734">
        <v>425</v>
      </c>
      <c r="F34" s="1734"/>
      <c r="G34" s="1734"/>
      <c r="H34" s="1734">
        <v>425</v>
      </c>
      <c r="I34" s="1736">
        <f t="shared" si="1"/>
        <v>0</v>
      </c>
      <c r="J34" s="1734"/>
      <c r="K34" s="597"/>
    </row>
    <row r="35" spans="1:11" ht="12" customHeight="1" x14ac:dyDescent="0.2">
      <c r="A35" s="594" t="s">
        <v>2071</v>
      </c>
      <c r="B35" s="595">
        <v>43895</v>
      </c>
      <c r="C35" s="1737">
        <v>4450000</v>
      </c>
      <c r="D35" s="1735">
        <v>3</v>
      </c>
      <c r="E35" s="1737"/>
      <c r="F35" s="1737">
        <v>4450000</v>
      </c>
      <c r="G35" s="1737"/>
      <c r="H35" s="1737"/>
      <c r="I35" s="1736">
        <f t="shared" si="1"/>
        <v>4450000</v>
      </c>
      <c r="J35" s="1737">
        <v>4450000</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29565906</v>
      </c>
      <c r="D49" s="1742"/>
      <c r="E49" s="1736">
        <f t="shared" ref="E49:J49" si="2">SUM(E31:E48)</f>
        <v>19420425</v>
      </c>
      <c r="F49" s="1736">
        <f t="shared" si="2"/>
        <v>4450000</v>
      </c>
      <c r="G49" s="1736">
        <f t="shared" si="2"/>
        <v>-5000000</v>
      </c>
      <c r="H49" s="1736">
        <f t="shared" si="2"/>
        <v>905425</v>
      </c>
      <c r="I49" s="1736">
        <f t="shared" si="2"/>
        <v>17965000</v>
      </c>
      <c r="J49" s="1736">
        <f t="shared" si="2"/>
        <v>17916600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t="s">
        <v>2070</v>
      </c>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16" sqref="J15:J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851</v>
      </c>
      <c r="B1" s="2349"/>
      <c r="C1" s="2349"/>
      <c r="D1" s="2349"/>
      <c r="E1" s="2349"/>
      <c r="F1" s="2349"/>
      <c r="G1" s="2350"/>
      <c r="H1" s="1298"/>
      <c r="I1" s="614"/>
      <c r="J1" s="400"/>
    </row>
    <row r="2" spans="1:11" ht="26.25" x14ac:dyDescent="0.2">
      <c r="A2" s="2325" t="s">
        <v>1658</v>
      </c>
      <c r="B2" s="2326"/>
      <c r="C2" s="2326"/>
      <c r="D2" s="2326"/>
      <c r="E2" s="2327"/>
      <c r="F2" s="615" t="s">
        <v>898</v>
      </c>
      <c r="G2" s="616" t="s">
        <v>1655</v>
      </c>
      <c r="H2" s="616" t="s">
        <v>407</v>
      </c>
      <c r="I2" s="616" t="s">
        <v>1148</v>
      </c>
      <c r="J2" s="616" t="s">
        <v>1786</v>
      </c>
      <c r="K2" s="616" t="s">
        <v>137</v>
      </c>
    </row>
    <row r="3" spans="1:11" x14ac:dyDescent="0.2">
      <c r="A3" s="2328" t="str">
        <f>"Cash Basis Fund Balance as of July 1, "&amp;'AFR20'!E2-1</f>
        <v>Cash Basis Fund Balance as of July 1, 2019</v>
      </c>
      <c r="B3" s="2329"/>
      <c r="C3" s="2329"/>
      <c r="D3" s="2329"/>
      <c r="E3" s="2330"/>
      <c r="F3" s="617"/>
      <c r="G3" s="1744"/>
      <c r="H3" s="1744"/>
      <c r="I3" s="1744"/>
      <c r="J3" s="1745"/>
      <c r="K3" s="1745"/>
    </row>
    <row r="4" spans="1:11" x14ac:dyDescent="0.2">
      <c r="A4" s="2331" t="s">
        <v>366</v>
      </c>
      <c r="B4" s="2332"/>
      <c r="C4" s="2332"/>
      <c r="D4" s="2332"/>
      <c r="E4" s="2313"/>
      <c r="F4" s="620"/>
      <c r="G4" s="1746"/>
      <c r="H4" s="1747"/>
      <c r="I4" s="1746"/>
      <c r="J4" s="1748"/>
      <c r="K4" s="1748"/>
    </row>
    <row r="5" spans="1:11" x14ac:dyDescent="0.2">
      <c r="A5" s="2351" t="s">
        <v>1060</v>
      </c>
      <c r="B5" s="2322"/>
      <c r="C5" s="2322"/>
      <c r="D5" s="2322"/>
      <c r="E5" s="2352"/>
      <c r="F5" s="622" t="s">
        <v>843</v>
      </c>
      <c r="G5" s="1749"/>
      <c r="H5" s="1744">
        <v>280652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1353940</v>
      </c>
      <c r="K8" s="1748"/>
    </row>
    <row r="9" spans="1:11" x14ac:dyDescent="0.2">
      <c r="A9" s="629" t="s">
        <v>137</v>
      </c>
      <c r="B9" s="630"/>
      <c r="C9" s="630"/>
      <c r="D9" s="630"/>
      <c r="E9" s="631"/>
      <c r="F9" s="628" t="s">
        <v>848</v>
      </c>
      <c r="G9" s="1753"/>
      <c r="H9" s="1749"/>
      <c r="I9" s="1749"/>
      <c r="J9" s="1752"/>
      <c r="K9" s="1745"/>
    </row>
    <row r="10" spans="1:11" x14ac:dyDescent="0.2">
      <c r="A10" s="2351" t="s">
        <v>1787</v>
      </c>
      <c r="B10" s="2322"/>
      <c r="C10" s="2322"/>
      <c r="D10" s="2322"/>
      <c r="E10" s="2353"/>
      <c r="F10" s="633" t="s">
        <v>857</v>
      </c>
      <c r="G10" s="1753"/>
      <c r="H10" s="1754"/>
      <c r="I10" s="1744"/>
      <c r="J10" s="1745"/>
      <c r="K10" s="1745"/>
    </row>
    <row r="11" spans="1:11" x14ac:dyDescent="0.2">
      <c r="A11" s="2351" t="s">
        <v>159</v>
      </c>
      <c r="B11" s="2322"/>
      <c r="C11" s="2322"/>
      <c r="D11" s="2322"/>
      <c r="E11" s="2352"/>
      <c r="F11" s="622" t="s">
        <v>847</v>
      </c>
      <c r="G11" s="1749"/>
      <c r="H11" s="1744"/>
      <c r="I11" s="1744"/>
      <c r="J11" s="1745"/>
      <c r="K11" s="1751"/>
    </row>
    <row r="12" spans="1:11" ht="13.5" thickBot="1" x14ac:dyDescent="0.25">
      <c r="A12" s="2339" t="s">
        <v>899</v>
      </c>
      <c r="B12" s="2340"/>
      <c r="C12" s="2340"/>
      <c r="D12" s="2340"/>
      <c r="E12" s="2341"/>
      <c r="F12" s="1433"/>
      <c r="G12" s="1755">
        <f>SUM(G5:G11)</f>
        <v>0</v>
      </c>
      <c r="H12" s="1755">
        <f>SUM(H5:H11)</f>
        <v>280652</v>
      </c>
      <c r="I12" s="1755">
        <f>SUM(I5:I11)</f>
        <v>0</v>
      </c>
      <c r="J12" s="1755">
        <f>SUM(J5:J11)</f>
        <v>1353940</v>
      </c>
      <c r="K12" s="1755">
        <f>SUM(K5:K11)</f>
        <v>0</v>
      </c>
    </row>
    <row r="13" spans="1:11" ht="13.5" thickTop="1" x14ac:dyDescent="0.2">
      <c r="A13" s="2333" t="s">
        <v>367</v>
      </c>
      <c r="B13" s="2334"/>
      <c r="C13" s="2334"/>
      <c r="D13" s="2334"/>
      <c r="E13" s="2335"/>
      <c r="F13" s="634"/>
      <c r="G13" s="1756"/>
      <c r="H13" s="1757"/>
      <c r="I13" s="1758"/>
      <c r="J13" s="1758"/>
      <c r="K13" s="1758"/>
    </row>
    <row r="14" spans="1:11" x14ac:dyDescent="0.2">
      <c r="A14" s="2357" t="s">
        <v>453</v>
      </c>
      <c r="B14" s="2357"/>
      <c r="C14" s="2357"/>
      <c r="D14" s="2357"/>
      <c r="E14" s="2358"/>
      <c r="F14" s="635" t="s">
        <v>849</v>
      </c>
      <c r="G14" s="1753"/>
      <c r="H14" s="1744">
        <v>280652</v>
      </c>
      <c r="I14" s="1749"/>
      <c r="J14" s="1751"/>
      <c r="K14" s="1745"/>
    </row>
    <row r="15" spans="1:11" x14ac:dyDescent="0.2">
      <c r="A15" s="2322" t="s">
        <v>4</v>
      </c>
      <c r="B15" s="2322"/>
      <c r="C15" s="2322"/>
      <c r="D15" s="2322"/>
      <c r="E15" s="2352"/>
      <c r="F15" s="635" t="s">
        <v>850</v>
      </c>
      <c r="G15" s="1749"/>
      <c r="H15" s="1744"/>
      <c r="I15" s="1744"/>
      <c r="J15" s="1745">
        <v>93974</v>
      </c>
      <c r="K15" s="1745"/>
    </row>
    <row r="16" spans="1:11" x14ac:dyDescent="0.2">
      <c r="A16" s="2322" t="s">
        <v>295</v>
      </c>
      <c r="B16" s="2322"/>
      <c r="C16" s="2322"/>
      <c r="D16" s="2322"/>
      <c r="E16" s="2352"/>
      <c r="F16" s="635" t="s">
        <v>917</v>
      </c>
      <c r="G16" s="1750"/>
      <c r="H16" s="1746"/>
      <c r="I16" s="1746"/>
      <c r="J16" s="1748"/>
      <c r="K16" s="1748"/>
    </row>
    <row r="17" spans="1:15" x14ac:dyDescent="0.2">
      <c r="A17" s="2346" t="s">
        <v>929</v>
      </c>
      <c r="B17" s="2346"/>
      <c r="C17" s="2346"/>
      <c r="D17" s="2346"/>
      <c r="E17" s="2347"/>
      <c r="F17" s="636"/>
      <c r="G17" s="1759"/>
      <c r="H17" s="1760"/>
      <c r="I17" s="1760"/>
      <c r="J17" s="1761"/>
      <c r="K17" s="1762"/>
    </row>
    <row r="18" spans="1:15" x14ac:dyDescent="0.2">
      <c r="A18" s="2336" t="s">
        <v>365</v>
      </c>
      <c r="B18" s="2337"/>
      <c r="C18" s="2337"/>
      <c r="D18" s="2337"/>
      <c r="E18" s="2338"/>
      <c r="F18" s="635" t="s">
        <v>926</v>
      </c>
      <c r="G18" s="1753"/>
      <c r="H18" s="1753"/>
      <c r="I18" s="1753"/>
      <c r="J18" s="1745">
        <v>256886</v>
      </c>
      <c r="K18" s="1763"/>
    </row>
    <row r="19" spans="1:15" ht="21.75" customHeight="1" x14ac:dyDescent="0.2">
      <c r="A19" s="2359" t="s">
        <v>1783</v>
      </c>
      <c r="B19" s="2359"/>
      <c r="C19" s="2359"/>
      <c r="D19" s="2359"/>
      <c r="E19" s="2360"/>
      <c r="F19" s="635" t="s">
        <v>927</v>
      </c>
      <c r="G19" s="1753"/>
      <c r="H19" s="1753"/>
      <c r="I19" s="1753"/>
      <c r="J19" s="1745">
        <v>905000</v>
      </c>
      <c r="K19" s="1763"/>
    </row>
    <row r="20" spans="1:15" x14ac:dyDescent="0.2">
      <c r="A20" s="2336" t="s">
        <v>1788</v>
      </c>
      <c r="B20" s="2337"/>
      <c r="C20" s="2337"/>
      <c r="D20" s="2337"/>
      <c r="E20" s="2338"/>
      <c r="F20" s="635" t="s">
        <v>928</v>
      </c>
      <c r="G20" s="1753"/>
      <c r="H20" s="1753"/>
      <c r="I20" s="1753"/>
      <c r="J20" s="1745"/>
      <c r="K20" s="1763"/>
    </row>
    <row r="21" spans="1:15" ht="13.5" thickBot="1" x14ac:dyDescent="0.25">
      <c r="A21" s="2342" t="s">
        <v>633</v>
      </c>
      <c r="B21" s="2342"/>
      <c r="C21" s="2342"/>
      <c r="D21" s="2342"/>
      <c r="E21" s="2342"/>
      <c r="F21" s="1434"/>
      <c r="G21" s="1760"/>
      <c r="H21" s="1764"/>
      <c r="I21" s="1764"/>
      <c r="J21" s="1765">
        <f>SUM(J18:J20)</f>
        <v>1161886</v>
      </c>
      <c r="K21" s="1761"/>
    </row>
    <row r="22" spans="1:15" ht="13.5" thickTop="1" x14ac:dyDescent="0.2">
      <c r="A22" s="2322" t="s">
        <v>1789</v>
      </c>
      <c r="B22" s="2322"/>
      <c r="C22" s="2322"/>
      <c r="D22" s="2322"/>
      <c r="E22" s="2352"/>
      <c r="F22" s="635" t="s">
        <v>857</v>
      </c>
      <c r="G22" s="1753"/>
      <c r="H22" s="1744"/>
      <c r="I22" s="1744"/>
      <c r="J22" s="1766"/>
      <c r="K22" s="1745"/>
    </row>
    <row r="23" spans="1:15" ht="13.5" thickBot="1" x14ac:dyDescent="0.25">
      <c r="A23" s="2343" t="s">
        <v>900</v>
      </c>
      <c r="B23" s="2342"/>
      <c r="C23" s="2342"/>
      <c r="D23" s="2342"/>
      <c r="E23" s="2342"/>
      <c r="F23" s="1436"/>
      <c r="G23" s="1755">
        <f>SUM(G14:G16,G21,G22)</f>
        <v>0</v>
      </c>
      <c r="H23" s="1755">
        <f>SUM(H14:H16,H21,H22)</f>
        <v>280652</v>
      </c>
      <c r="I23" s="1755">
        <f>SUM(I14:I16,I21,I22)</f>
        <v>0</v>
      </c>
      <c r="J23" s="1755">
        <f>SUM(J14:J16,J21,J22)</f>
        <v>1255860</v>
      </c>
      <c r="K23" s="1755">
        <f>SUM(K14:K16,K21,K22)</f>
        <v>0</v>
      </c>
      <c r="M23" s="1846"/>
      <c r="N23" s="1846"/>
      <c r="O23" s="1846"/>
    </row>
    <row r="24" spans="1:15" ht="14.25" thickTop="1" thickBot="1" x14ac:dyDescent="0.25">
      <c r="A24" s="2344" t="str">
        <f>"Ending Cash Basis Fund Balance as of June 30, "&amp;'AFR20'!E2</f>
        <v>Ending Cash Basis Fund Balance as of June 30, 2020</v>
      </c>
      <c r="B24" s="2345"/>
      <c r="C24" s="2345"/>
      <c r="D24" s="2345"/>
      <c r="E24" s="2345"/>
      <c r="F24" s="1437"/>
      <c r="G24" s="1767">
        <f>SUM(G3,G12)-G23</f>
        <v>0</v>
      </c>
      <c r="H24" s="1767">
        <f>SUM(H3,H12)-H23</f>
        <v>0</v>
      </c>
      <c r="I24" s="1767">
        <f>SUM(I3,I12)-I23</f>
        <v>0</v>
      </c>
      <c r="J24" s="1767">
        <f>SUM(J3,J12)-J23</f>
        <v>98080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98080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1159</v>
      </c>
      <c r="B33" s="341"/>
      <c r="C33" s="341"/>
      <c r="D33" s="341"/>
      <c r="E33" s="341"/>
      <c r="F33" s="341"/>
      <c r="G33" s="653"/>
      <c r="H33" s="2356"/>
      <c r="I33" s="2355"/>
      <c r="J33" s="2355"/>
      <c r="K33" s="2355"/>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23"/>
      <c r="C41" s="2323"/>
      <c r="D41" s="2323"/>
      <c r="E41" s="2323"/>
      <c r="F41" s="232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1872</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100231</v>
      </c>
      <c r="D5" s="1770"/>
      <c r="E5" s="1770"/>
      <c r="F5" s="1765">
        <f>(C5+D5)-E5</f>
        <v>100231</v>
      </c>
      <c r="G5" s="676"/>
      <c r="H5" s="680"/>
      <c r="I5" s="680"/>
      <c r="J5" s="680"/>
      <c r="K5" s="637"/>
      <c r="L5" s="1442">
        <f>F5-K5</f>
        <v>100231</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34246857</v>
      </c>
      <c r="D8" s="1771">
        <v>418027</v>
      </c>
      <c r="E8" s="1771"/>
      <c r="F8" s="1765">
        <f>(C8+D8)-E8</f>
        <v>34664884</v>
      </c>
      <c r="G8" s="681">
        <v>50</v>
      </c>
      <c r="H8" s="619">
        <v>13475748</v>
      </c>
      <c r="I8" s="619">
        <v>1539618</v>
      </c>
      <c r="J8" s="619"/>
      <c r="K8" s="1442">
        <f>(H8+I8)-J8</f>
        <v>15015366</v>
      </c>
      <c r="L8" s="1442">
        <f>F8-K8</f>
        <v>19649518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720198</v>
      </c>
      <c r="D10" s="1772"/>
      <c r="E10" s="1772"/>
      <c r="F10" s="1773">
        <f>(C10+D10)-E10</f>
        <v>720198</v>
      </c>
      <c r="G10" s="681">
        <v>20</v>
      </c>
      <c r="H10" s="683">
        <v>410611</v>
      </c>
      <c r="I10" s="683">
        <v>33056</v>
      </c>
      <c r="J10" s="683"/>
      <c r="K10" s="1442">
        <f>(H10+I10)-J10</f>
        <v>443667</v>
      </c>
      <c r="L10" s="1442">
        <f>F10-K10</f>
        <v>276531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4345744</v>
      </c>
      <c r="D12" s="1771">
        <v>263698</v>
      </c>
      <c r="E12" s="1771"/>
      <c r="F12" s="1765">
        <f>(C12+D12)-E12</f>
        <v>4609442</v>
      </c>
      <c r="G12" s="681">
        <v>10</v>
      </c>
      <c r="H12" s="619">
        <v>3593772</v>
      </c>
      <c r="I12" s="619">
        <v>204891</v>
      </c>
      <c r="J12" s="619"/>
      <c r="K12" s="1442">
        <f>(H12+I12)-J12</f>
        <v>3798663</v>
      </c>
      <c r="L12" s="1442">
        <f>F12-K12</f>
        <v>810779</v>
      </c>
    </row>
    <row r="13" spans="1:14" ht="14.25" thickTop="1" thickBot="1" x14ac:dyDescent="0.25">
      <c r="A13" s="684" t="s">
        <v>1112</v>
      </c>
      <c r="B13" s="679">
        <v>252</v>
      </c>
      <c r="C13" s="1771">
        <v>1799</v>
      </c>
      <c r="D13" s="1771"/>
      <c r="E13" s="1771"/>
      <c r="F13" s="1765">
        <f>(C13+D13)-E13</f>
        <v>1799</v>
      </c>
      <c r="G13" s="681">
        <v>5</v>
      </c>
      <c r="H13" s="619">
        <v>1799</v>
      </c>
      <c r="I13" s="619"/>
      <c r="J13" s="619"/>
      <c r="K13" s="1442">
        <f>(H13+I13)-J13</f>
        <v>1799</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39414829</v>
      </c>
      <c r="D16" s="1765">
        <f>SUM(D3,D5:D6,D8:D10,D12:D15)</f>
        <v>681725</v>
      </c>
      <c r="E16" s="1765">
        <f>SUM(E3,E5:E6,E8:E10,E12:E15)</f>
        <v>0</v>
      </c>
      <c r="F16" s="1765">
        <f>SUM(F3,F5:F6,F8:F10,F12:F15)</f>
        <v>40096554</v>
      </c>
      <c r="G16" s="681"/>
      <c r="H16" s="1435">
        <f>SUM(H3,H6,H8:H10,H12:H14,)</f>
        <v>17481930</v>
      </c>
      <c r="I16" s="1435">
        <f>SUM(I3,I6,I8:I10,I12:I14,)</f>
        <v>1777565</v>
      </c>
      <c r="J16" s="1435">
        <f>SUM(J3,J6,J8:J10,J12:J14,)</f>
        <v>0</v>
      </c>
      <c r="K16" s="1435">
        <f>(H16+I16)-J16</f>
        <v>19259495</v>
      </c>
      <c r="L16" s="1435">
        <f>F16-K16</f>
        <v>20837059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1777565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20042446</v>
      </c>
      <c r="G8" s="701"/>
    </row>
    <row r="9" spans="1:9" x14ac:dyDescent="0.2">
      <c r="A9" s="705" t="s">
        <v>457</v>
      </c>
      <c r="B9" s="706" t="s">
        <v>1845</v>
      </c>
      <c r="C9" s="707"/>
      <c r="D9" s="705" t="s">
        <v>498</v>
      </c>
      <c r="E9" s="704"/>
      <c r="F9" s="1775">
        <f>'Expenditures 15-22'!K151</f>
        <v>1625853</v>
      </c>
      <c r="G9" s="708"/>
    </row>
    <row r="10" spans="1:9" x14ac:dyDescent="0.2">
      <c r="A10" s="705" t="s">
        <v>496</v>
      </c>
      <c r="B10" s="706" t="s">
        <v>1846</v>
      </c>
      <c r="C10" s="707"/>
      <c r="D10" s="705" t="s">
        <v>498</v>
      </c>
      <c r="E10" s="704"/>
      <c r="F10" s="1775">
        <f>'Expenditures 15-22'!K174</f>
        <v>1888295</v>
      </c>
      <c r="G10" s="708"/>
    </row>
    <row r="11" spans="1:9" x14ac:dyDescent="0.2">
      <c r="A11" s="705" t="s">
        <v>458</v>
      </c>
      <c r="B11" s="706" t="s">
        <v>1847</v>
      </c>
      <c r="C11" s="707"/>
      <c r="D11" s="705" t="s">
        <v>498</v>
      </c>
      <c r="E11" s="704"/>
      <c r="F11" s="1775">
        <f>'Expenditures 15-22'!K210</f>
        <v>1007641</v>
      </c>
      <c r="G11" s="708"/>
    </row>
    <row r="12" spans="1:9" x14ac:dyDescent="0.2">
      <c r="A12" s="705" t="s">
        <v>459</v>
      </c>
      <c r="B12" s="706" t="s">
        <v>1848</v>
      </c>
      <c r="C12" s="707"/>
      <c r="D12" s="705" t="s">
        <v>498</v>
      </c>
      <c r="E12" s="704"/>
      <c r="F12" s="1775">
        <f>'Expenditures 15-22'!K295</f>
        <v>616128</v>
      </c>
      <c r="G12" s="708"/>
    </row>
    <row r="13" spans="1:9" x14ac:dyDescent="0.2">
      <c r="A13" s="705" t="s">
        <v>106</v>
      </c>
      <c r="B13" s="706" t="s">
        <v>1849</v>
      </c>
      <c r="C13" s="707"/>
      <c r="D13" s="705" t="s">
        <v>498</v>
      </c>
      <c r="E13" s="704"/>
      <c r="F13" s="1775">
        <f>'Expenditures 15-22'!K342</f>
        <v>237881</v>
      </c>
      <c r="G13" s="709"/>
    </row>
    <row r="14" spans="1:9" ht="12" customHeight="1" thickBot="1" x14ac:dyDescent="0.25">
      <c r="A14" s="1443"/>
      <c r="B14" s="1444"/>
      <c r="C14" s="1445"/>
      <c r="D14" s="1446" t="s">
        <v>498</v>
      </c>
      <c r="E14" s="1447" t="s">
        <v>952</v>
      </c>
      <c r="F14" s="1776">
        <f>SUM(F8:F13)</f>
        <v>25418244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480836</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54843</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8837</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221329</v>
      </c>
      <c r="G52" s="701"/>
    </row>
    <row r="53" spans="1:7" x14ac:dyDescent="0.2">
      <c r="A53" s="705" t="s">
        <v>456</v>
      </c>
      <c r="B53" s="705" t="s">
        <v>1458</v>
      </c>
      <c r="C53" s="724">
        <f>'Expenditures 15-22'!B102</f>
        <v>4000</v>
      </c>
      <c r="D53" s="723" t="str">
        <f>'Expenditures 15-22'!A102</f>
        <v>Total Payments to Other Govt Units</v>
      </c>
      <c r="E53" s="704"/>
      <c r="F53" s="1782">
        <f>'Expenditures 15-22'!K102</f>
        <v>950978</v>
      </c>
      <c r="G53" s="701"/>
    </row>
    <row r="54" spans="1:7" x14ac:dyDescent="0.2">
      <c r="A54" s="705" t="s">
        <v>456</v>
      </c>
      <c r="B54" s="705" t="s">
        <v>1459</v>
      </c>
      <c r="C54" s="724" t="s">
        <v>975</v>
      </c>
      <c r="D54" s="720" t="s">
        <v>1086</v>
      </c>
      <c r="E54" s="704"/>
      <c r="F54" s="1782">
        <f>'Expenditures 15-22'!G114</f>
        <v>263698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195470</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905000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25048</v>
      </c>
      <c r="G67" s="701"/>
    </row>
    <row r="68" spans="1:9" x14ac:dyDescent="0.2">
      <c r="A68" s="705" t="s">
        <v>459</v>
      </c>
      <c r="B68" s="705" t="s">
        <v>1462</v>
      </c>
      <c r="C68" s="721" t="str">
        <f>'Expenditures 15-22'!B218</f>
        <v>1225</v>
      </c>
      <c r="D68" s="727" t="str">
        <f>'Expenditures 15-22'!A218</f>
        <v>Special Education Programs - Pre-K</v>
      </c>
      <c r="E68" s="704"/>
      <c r="F68" s="1782">
        <f>'Expenditures 15-22'!K218</f>
        <v>6054</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346</v>
      </c>
      <c r="G71" s="701"/>
    </row>
    <row r="72" spans="1:9" x14ac:dyDescent="0.2">
      <c r="A72" s="705" t="s">
        <v>459</v>
      </c>
      <c r="B72" s="705" t="s">
        <v>1864</v>
      </c>
      <c r="C72" s="721">
        <f>'Expenditures 15-22'!B280</f>
        <v>3000</v>
      </c>
      <c r="D72" s="712" t="s">
        <v>446</v>
      </c>
      <c r="E72" s="704"/>
      <c r="F72" s="1782">
        <f>'Expenditures 15-22'!K280</f>
        <v>6714</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3119153</v>
      </c>
      <c r="G77" s="701"/>
    </row>
    <row r="78" spans="1:9" s="728" customFormat="1" ht="12" customHeight="1" thickTop="1" thickBot="1" x14ac:dyDescent="0.25">
      <c r="A78" s="1450"/>
      <c r="B78" s="1448"/>
      <c r="C78" s="1445"/>
      <c r="D78" s="1449" t="s">
        <v>2009</v>
      </c>
      <c r="E78" s="1447"/>
      <c r="F78" s="1788">
        <f>(F14-F77)</f>
        <v>22299091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1616.2</v>
      </c>
      <c r="G79" s="733"/>
      <c r="H79" s="705"/>
      <c r="I79" s="705"/>
    </row>
    <row r="80" spans="1:9" s="728" customFormat="1" ht="12" customHeight="1" thickBot="1" x14ac:dyDescent="0.25">
      <c r="A80" s="1452"/>
      <c r="B80" s="1448"/>
      <c r="C80" s="1445"/>
      <c r="D80" s="1449" t="s">
        <v>2010</v>
      </c>
      <c r="E80" s="1447" t="s">
        <v>952</v>
      </c>
      <c r="F80" s="1790">
        <f>IF(F79&gt;0,F78/F79," Complete Line 79")</f>
        <v>13797.234871921792</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3168</v>
      </c>
      <c r="G95" s="745"/>
    </row>
    <row r="96" spans="1:7" x14ac:dyDescent="0.2">
      <c r="A96" s="741" t="s">
        <v>139</v>
      </c>
      <c r="B96" s="741" t="s">
        <v>174</v>
      </c>
      <c r="C96" s="743">
        <v>1700</v>
      </c>
      <c r="D96" s="751" t="str">
        <f>'Revenues 9-14'!A82</f>
        <v>Total District/School Activity Income</v>
      </c>
      <c r="E96" s="739"/>
      <c r="F96" s="1793">
        <f>SUM('Revenues 9-14'!C82,'Revenues 9-14'!D82)</f>
        <v>11060</v>
      </c>
      <c r="G96" s="745"/>
    </row>
    <row r="97" spans="1:7" x14ac:dyDescent="0.2">
      <c r="A97" s="741" t="s">
        <v>456</v>
      </c>
      <c r="B97" s="741" t="s">
        <v>175</v>
      </c>
      <c r="C97" s="743">
        <f>'Revenues 9-14'!B84</f>
        <v>1811</v>
      </c>
      <c r="D97" s="744" t="str">
        <f>'Revenues 9-14'!A84</f>
        <v>Rentals - Regular Textbooks</v>
      </c>
      <c r="E97" s="739"/>
      <c r="F97" s="1793">
        <f>'Revenues 9-14'!C84</f>
        <v>14214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4090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325973</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17573</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458397</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97766</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1203019</v>
      </c>
      <c r="G126" s="763"/>
    </row>
    <row r="127" spans="1:7" x14ac:dyDescent="0.2">
      <c r="A127" s="760" t="s">
        <v>663</v>
      </c>
      <c r="B127" s="760" t="s">
        <v>1928</v>
      </c>
      <c r="C127" s="765">
        <v>4300</v>
      </c>
      <c r="D127" s="766" t="str">
        <f>'Revenues 9-14'!A204</f>
        <v>Total Title I</v>
      </c>
      <c r="E127" s="739"/>
      <c r="F127" s="1793">
        <f>SUM('Revenues 9-14'!C204,'Revenues 9-14'!D204,'Revenues 9-14'!F204,'Revenues 9-14'!G204)</f>
        <v>1485402</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55349</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588434</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144577</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553775</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553775</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69597</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61117</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52927</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84548</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821878</v>
      </c>
      <c r="G172" s="760"/>
    </row>
    <row r="173" spans="1:7" x14ac:dyDescent="0.2">
      <c r="A173" s="1529" t="s">
        <v>659</v>
      </c>
      <c r="B173" s="1530" t="s">
        <v>1882</v>
      </c>
      <c r="C173" s="1531">
        <v>3300</v>
      </c>
      <c r="D173" s="1532" t="s">
        <v>1885</v>
      </c>
      <c r="E173" s="739"/>
      <c r="F173" s="1794">
        <v>182412</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6235276</v>
      </c>
    </row>
    <row r="176" spans="1:7" ht="12" customHeight="1" x14ac:dyDescent="0.2">
      <c r="A176" s="1443"/>
      <c r="B176" s="1453"/>
      <c r="C176" s="1454"/>
      <c r="D176" s="1455" t="s">
        <v>2011</v>
      </c>
      <c r="E176" s="1456"/>
      <c r="F176" s="1793">
        <f>'PCTC-OEPP 27-28'!F78-F175</f>
        <v>16063815</v>
      </c>
    </row>
    <row r="177" spans="1:9" ht="12" customHeight="1" x14ac:dyDescent="0.2">
      <c r="A177" s="1443"/>
      <c r="B177" s="1453"/>
      <c r="C177" s="1454"/>
      <c r="D177" s="1455" t="s">
        <v>1791</v>
      </c>
      <c r="E177" s="1456"/>
      <c r="F177" s="1793">
        <f>'Cap Outlay Deprec 26'!I18</f>
        <v>1777565</v>
      </c>
    </row>
    <row r="178" spans="1:9" ht="12" customHeight="1" x14ac:dyDescent="0.2">
      <c r="A178" s="1443"/>
      <c r="B178" s="1453"/>
      <c r="C178" s="1454"/>
      <c r="D178" s="1455" t="s">
        <v>2012</v>
      </c>
      <c r="E178" s="1456"/>
      <c r="F178" s="1793">
        <f>F176+F177</f>
        <v>17841380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1616.2</v>
      </c>
      <c r="G179" s="763"/>
      <c r="I179" s="701"/>
    </row>
    <row r="180" spans="1:9" ht="12" customHeight="1" thickBot="1" x14ac:dyDescent="0.25">
      <c r="A180" s="1443"/>
      <c r="B180" s="1457"/>
      <c r="C180" s="1454"/>
      <c r="D180" s="1455" t="s">
        <v>2014</v>
      </c>
      <c r="E180" s="1456" t="s">
        <v>1528</v>
      </c>
      <c r="F180" s="1798">
        <f>F178/F179</f>
        <v>11039.091696572206</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80" t="s">
        <v>1792</v>
      </c>
      <c r="B4" s="2381"/>
      <c r="C4" s="2381"/>
      <c r="D4" s="2381"/>
      <c r="E4" s="2381"/>
      <c r="F4" s="2382"/>
    </row>
    <row r="5" spans="1:6" x14ac:dyDescent="0.25">
      <c r="A5" s="2383"/>
      <c r="B5" s="2384"/>
      <c r="C5" s="2384"/>
      <c r="D5" s="2384"/>
      <c r="E5" s="2384"/>
      <c r="F5" s="2385"/>
    </row>
    <row r="6" spans="1:6" ht="18.75" x14ac:dyDescent="0.25">
      <c r="A6" s="1867" t="s">
        <v>1793</v>
      </c>
      <c r="B6" s="1868"/>
      <c r="C6" s="1869"/>
      <c r="D6" s="1869"/>
      <c r="E6" s="1869"/>
      <c r="F6" s="1870"/>
    </row>
    <row r="7" spans="1:6" ht="47.25" customHeight="1" x14ac:dyDescent="0.25">
      <c r="A7" s="2386" t="s">
        <v>1982</v>
      </c>
      <c r="B7" s="2387"/>
      <c r="C7" s="2387"/>
      <c r="D7" s="2387"/>
      <c r="E7" s="2387"/>
      <c r="F7" s="2388"/>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9" t="s">
        <v>1978</v>
      </c>
      <c r="B10" s="2390"/>
      <c r="C10" s="2390"/>
      <c r="D10" s="2390"/>
      <c r="E10" s="2390"/>
      <c r="F10" s="2391"/>
    </row>
    <row r="11" spans="1:6" ht="33" customHeight="1" x14ac:dyDescent="0.25">
      <c r="A11" s="2386" t="s">
        <v>1983</v>
      </c>
      <c r="B11" s="2387"/>
      <c r="C11" s="2387"/>
      <c r="D11" s="2387"/>
      <c r="E11" s="2387"/>
      <c r="F11" s="2388"/>
    </row>
    <row r="12" spans="1:6" ht="15" customHeight="1" x14ac:dyDescent="0.25">
      <c r="A12" s="1873" t="s">
        <v>1979</v>
      </c>
      <c r="B12" s="1874"/>
      <c r="C12" s="1875"/>
      <c r="D12" s="1875"/>
      <c r="E12" s="1875"/>
      <c r="F12" s="1876"/>
    </row>
    <row r="13" spans="1:6" ht="17.25" customHeight="1" x14ac:dyDescent="0.25">
      <c r="A13" s="2386" t="s">
        <v>1980</v>
      </c>
      <c r="B13" s="2387"/>
      <c r="C13" s="2387"/>
      <c r="D13" s="2387"/>
      <c r="E13" s="2387"/>
      <c r="F13" s="2388"/>
    </row>
    <row r="14" spans="1:6" ht="15" customHeight="1" x14ac:dyDescent="0.25">
      <c r="A14" s="1873" t="s">
        <v>1797</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6" t="s">
        <v>2072</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470742</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v>77172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12176389</v>
      </c>
      <c r="F19" s="1802"/>
      <c r="G19" s="1804">
        <f>'Expenditures 15-22'!K33-SUM('Expenditures 15-22'!G33,'Expenditures 15-22'!I33)+'Expenditures 15-22'!D229</f>
        <v>12176389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1749934</v>
      </c>
      <c r="F21" s="1805"/>
      <c r="G21" s="1808">
        <f>'Expenditures 15-22'!K42-SUM('Expenditures 15-22'!G42,'Expenditures 15-22'!I42)+'Expenditures 15-22'!K120-SUM('Expenditures 15-22'!G120,'Expenditures 15-22'!I120)+'Expenditures 15-22'!K180-SUM('Expenditures 15-22'!G180,'Expenditures 15-22'!I180)+'Expenditures 15-22'!D238</f>
        <v>1749934</v>
      </c>
      <c r="H21" s="817"/>
      <c r="I21" s="157"/>
    </row>
    <row r="22" spans="1:9" s="542" customFormat="1" ht="12" customHeight="1" x14ac:dyDescent="0.2">
      <c r="A22" s="824" t="s">
        <v>560</v>
      </c>
      <c r="B22" s="825"/>
      <c r="C22" s="823">
        <v>2200</v>
      </c>
      <c r="D22" s="1805"/>
      <c r="E22" s="1807">
        <f>'Expenditures 15-22'!K47-SUM('Expenditures 15-22'!G47,'Expenditures 15-22'!I47)+'Expenditures 15-22'!D243</f>
        <v>1212316</v>
      </c>
      <c r="F22" s="1805"/>
      <c r="G22" s="1808">
        <f>'Expenditures 15-22'!K47-SUM('Expenditures 15-22'!G47,'Expenditures 15-22'!I47)+'Expenditures 15-22'!D243</f>
        <v>1212316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1270573</v>
      </c>
      <c r="F23" s="1805"/>
      <c r="G23" s="1807">
        <f>'Expenditures 15-22'!K53-SUM('Expenditures 15-22'!G53,'Expenditures 15-22'!I53)+'Expenditures 15-22'!D257+'Expenditures 15-22'!K330-SUM('Expenditures 15-22'!G330,'Expenditures 15-22'!I330)</f>
        <v>1270573</v>
      </c>
      <c r="H23" s="817"/>
      <c r="I23" s="157"/>
    </row>
    <row r="24" spans="1:9" s="542" customFormat="1" ht="12" customHeight="1" x14ac:dyDescent="0.2">
      <c r="A24" s="824" t="s">
        <v>562</v>
      </c>
      <c r="B24" s="825"/>
      <c r="C24" s="823">
        <v>2400</v>
      </c>
      <c r="D24" s="1805"/>
      <c r="E24" s="1807">
        <f>'Expenditures 15-22'!K57-SUM('Expenditures 15-22'!G57,'Expenditures 15-22'!I57)+'Expenditures 15-22'!D261</f>
        <v>1559401</v>
      </c>
      <c r="F24" s="1805"/>
      <c r="G24" s="1808">
        <f>'Expenditures 15-22'!K57-SUM('Expenditures 15-22'!G57,'Expenditures 15-22'!I57)+'Expenditures 15-22'!D261</f>
        <v>1559401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255485</v>
      </c>
      <c r="E27" s="1807">
        <f>E8</f>
        <v>0</v>
      </c>
      <c r="F27" s="1807">
        <f>'Expenditures 15-22'!K60-SUM('Expenditures 15-22'!G60,'Expenditures 15-22'!I60)+'Expenditures 15-22'!D264-E8</f>
        <v>255485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1511376</v>
      </c>
      <c r="F28" s="1809">
        <f>'Expenditures 15-22'!K61-SUM('Expenditures 15-22'!G61,'Expenditures 15-22'!I61)+'Expenditures 15-22'!K124-SUM('Expenditures 15-22'!G124,'Expenditures 15-22'!I124)+'Expenditures 15-22'!D266-E9</f>
        <v>1511376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1007641</v>
      </c>
      <c r="F29" s="1805"/>
      <c r="G29" s="1808">
        <f>'Expenditures 15-22'!K62-SUM('Expenditures 15-22'!G62,'Expenditures 15-22'!I62)+'Expenditures 15-22'!K125-SUM('Expenditures 15-22'!G125,'Expenditures 15-22'!I125)+'Expenditures 15-22'!K182-SUM('Expenditures 15-22'!G182,'Expenditures 15-22'!I182)+'Expenditures 15-22'!D267</f>
        <v>1007641</v>
      </c>
      <c r="H29" s="815"/>
    </row>
    <row r="30" spans="1:9" ht="12" customHeight="1" x14ac:dyDescent="0.2">
      <c r="A30" s="824" t="s">
        <v>100</v>
      </c>
      <c r="B30" s="827"/>
      <c r="C30" s="823">
        <v>2560</v>
      </c>
      <c r="D30" s="1805"/>
      <c r="E30" s="1807">
        <f>'Expenditures 15-22'!K63-SUM('Expenditures 15-22'!G63,'Expenditures 15-22'!I63)+'Expenditures 15-22'!D268-E10</f>
        <v>440247</v>
      </c>
      <c r="F30" s="1805"/>
      <c r="G30" s="1807">
        <f>'Expenditures 15-22'!K63-SUM('Expenditures 15-22'!G63,'Expenditures 15-22'!I63)+'Expenditures 15-22'!D268-E10</f>
        <v>440247</v>
      </c>
    </row>
    <row r="31" spans="1:9" ht="12" customHeight="1" x14ac:dyDescent="0.2">
      <c r="A31" s="824" t="s">
        <v>101</v>
      </c>
      <c r="B31" s="827"/>
      <c r="C31" s="823">
        <v>2570</v>
      </c>
      <c r="D31" s="1807">
        <f>'Expenditures 15-22'!K64-SUM('Expenditures 15-22'!G64,'Expenditures 15-22'!I64)+'Expenditures 15-22'!D269-E12</f>
        <v>64130</v>
      </c>
      <c r="E31" s="1807">
        <f>E12</f>
        <v>0</v>
      </c>
      <c r="F31" s="1807">
        <f>'Expenditures 15-22'!K64-SUM('Expenditures 15-22'!G64,'Expenditures 15-22'!I64)+'Expenditures 15-22'!D269-E12</f>
        <v>64130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715</v>
      </c>
      <c r="E36" s="1807">
        <f>E13</f>
        <v>0</v>
      </c>
      <c r="F36" s="1807">
        <f>'Expenditures 15-22'!K70-SUM('Expenditures 15-22'!G70,'Expenditures 15-22'!I70)+'Expenditures 15-22'!D275-E13</f>
        <v>715</v>
      </c>
      <c r="G36" s="1807">
        <f>E13</f>
        <v>0</v>
      </c>
    </row>
    <row r="37" spans="1:7" ht="12" customHeight="1" x14ac:dyDescent="0.2">
      <c r="A37" s="824" t="s">
        <v>401</v>
      </c>
      <c r="B37" s="827"/>
      <c r="C37" s="823">
        <v>2660</v>
      </c>
      <c r="D37" s="1807">
        <f>'Expenditures 15-22'!K71-SUM('Expenditures 15-22'!G71,'Expenditures 15-22'!I71)+'Expenditures 15-22'!D276-E14</f>
        <v>148788</v>
      </c>
      <c r="E37" s="1807">
        <f>E14</f>
        <v>0</v>
      </c>
      <c r="F37" s="1807">
        <f>'Expenditures 15-22'!K71-SUM('Expenditures 15-22'!G71,'Expenditures 15-22'!I71)+'Expenditures 15-22'!D276-E14</f>
        <v>148788</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24023</v>
      </c>
      <c r="F38" s="1805"/>
      <c r="G38" s="1807">
        <f>'Expenditures 15-22'!K73-SUM('Expenditures 15-22'!G73,'Expenditures 15-22'!I73)+'Expenditures 15-22'!K128-SUM('Expenditures 15-22'!G128,'Expenditures 15-22'!I128)+'Expenditures 15-22'!K183-SUM('Expenditures 15-22'!G183,'Expenditures 15-22'!I183)+'Expenditures 15-22'!D278</f>
        <v>24023</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228043</v>
      </c>
      <c r="F39" s="1805"/>
      <c r="G39" s="1807">
        <f>'Expenditures 15-22'!K75-SUM('Expenditures 15-22'!G75,'Expenditures 15-22'!I75)+'Expenditures 15-22'!K130-SUM('Expenditures 15-22'!G130,'Expenditures 15-22'!I130)+'Expenditures 15-22'!K185-SUM('Expenditures 15-22'!G185,'Expenditures 15-22'!I185)+'Expenditures 15-22'!D280</f>
        <v>228043</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469118</v>
      </c>
      <c r="E41" s="1809">
        <f>SUM(E19:E40)</f>
        <v>21179943</v>
      </c>
      <c r="F41" s="1809">
        <f>SUM(F19:F39)</f>
        <v>1980494</v>
      </c>
      <c r="G41" s="1809">
        <f>SUM(G19:G40)</f>
        <v>19668567</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469118</v>
      </c>
      <c r="F43" s="1458" t="s">
        <v>470</v>
      </c>
      <c r="G43" s="1810">
        <f>F41</f>
        <v>1980494</v>
      </c>
    </row>
    <row r="44" spans="1:7" ht="12" customHeight="1" x14ac:dyDescent="0.2">
      <c r="A44" s="817"/>
      <c r="B44" s="157"/>
      <c r="C44" s="831"/>
      <c r="D44" s="1458" t="s">
        <v>471</v>
      </c>
      <c r="E44" s="1810">
        <f>E41</f>
        <v>21179943</v>
      </c>
      <c r="F44" s="1458" t="s">
        <v>471</v>
      </c>
      <c r="G44" s="1810">
        <f>G41</f>
        <v>19668567</v>
      </c>
    </row>
    <row r="45" spans="1:7" ht="12" customHeight="1" x14ac:dyDescent="0.2">
      <c r="A45" s="817"/>
      <c r="B45" s="157"/>
      <c r="C45" s="157"/>
      <c r="D45" s="1459" t="s">
        <v>999</v>
      </c>
      <c r="E45" s="1811">
        <f>(E43/E44)</f>
        <v>2.2149162535517682E-2</v>
      </c>
      <c r="F45" s="1459" t="s">
        <v>999</v>
      </c>
      <c r="G45" s="1811">
        <f>(G43/G44)</f>
        <v>0.10069335503699889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3" t="s">
        <v>1363</v>
      </c>
      <c r="B1" s="2403"/>
      <c r="C1" s="2403"/>
      <c r="D1" s="2403"/>
      <c r="E1" s="2403"/>
      <c r="F1" s="2403"/>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4" t="s">
        <v>1529</v>
      </c>
      <c r="B5" s="2405"/>
      <c r="C5" s="2406"/>
      <c r="D5" s="2406"/>
      <c r="E5" s="2406"/>
      <c r="F5" s="2406"/>
      <c r="G5" s="1507"/>
      <c r="L5" s="1507"/>
      <c r="M5" s="1855"/>
      <c r="N5" s="1855"/>
      <c r="O5" s="1855"/>
    </row>
    <row r="6" spans="1:15" ht="12" customHeight="1" x14ac:dyDescent="0.25">
      <c r="A6" s="1480"/>
      <c r="B6" s="1481"/>
      <c r="C6" s="2407" t="str">
        <f>COVER!A17</f>
        <v xml:space="preserve">  Rantoul City SD 137</v>
      </c>
      <c r="D6" s="2407"/>
      <c r="E6" s="2407"/>
      <c r="F6" s="1482"/>
      <c r="G6" s="1507"/>
      <c r="L6" s="1507"/>
      <c r="M6" s="1855"/>
      <c r="N6" s="1855"/>
      <c r="O6" s="1855"/>
    </row>
    <row r="7" spans="1:15" ht="11.25" customHeight="1" thickBot="1" x14ac:dyDescent="0.3">
      <c r="A7" s="1480"/>
      <c r="B7" s="1481"/>
      <c r="C7" s="2408">
        <f>COVER!A13</f>
        <v>9010137002</v>
      </c>
      <c r="D7" s="2408"/>
      <c r="E7" s="2408"/>
      <c r="F7" s="1482"/>
      <c r="G7" s="1507"/>
      <c r="L7" s="1507"/>
      <c r="M7" s="1855"/>
      <c r="N7" s="1855"/>
      <c r="O7" s="1855"/>
    </row>
    <row r="8" spans="1:15" ht="25.5" customHeight="1" thickBot="1" x14ac:dyDescent="0.25">
      <c r="A8" s="1519" t="s">
        <v>1871</v>
      </c>
      <c r="B8" s="1483" t="s">
        <v>2048</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1375</v>
      </c>
      <c r="B40" s="1504"/>
      <c r="C40" s="2417"/>
      <c r="D40" s="2417"/>
      <c r="E40" s="2417"/>
      <c r="F40" s="2418"/>
      <c r="H40" s="1508"/>
      <c r="I40" s="1508"/>
      <c r="J40" s="1508"/>
      <c r="K40" s="1508"/>
    </row>
    <row r="41" spans="1:15" s="1499" customFormat="1" ht="12" customHeight="1" x14ac:dyDescent="0.25">
      <c r="A41" s="2419"/>
      <c r="B41" s="2420"/>
      <c r="C41" s="2420"/>
      <c r="D41" s="2420"/>
      <c r="E41" s="2420"/>
      <c r="F41" s="2421"/>
      <c r="H41" s="1508"/>
      <c r="I41" s="1508"/>
      <c r="J41" s="1508"/>
      <c r="K41" s="1508"/>
    </row>
    <row r="42" spans="1:15" s="1499" customFormat="1" ht="12" customHeight="1" x14ac:dyDescent="0.25">
      <c r="A42" s="2419"/>
      <c r="B42" s="2420"/>
      <c r="C42" s="2420"/>
      <c r="D42" s="2420"/>
      <c r="E42" s="2420"/>
      <c r="F42" s="2421"/>
      <c r="H42" s="1508"/>
      <c r="I42" s="1508"/>
      <c r="J42" s="1508"/>
      <c r="K42" s="1508"/>
    </row>
    <row r="43" spans="1:15" s="1499" customFormat="1" ht="15" x14ac:dyDescent="0.25">
      <c r="A43" s="2411"/>
      <c r="B43" s="2412"/>
      <c r="C43" s="2412"/>
      <c r="D43" s="2412"/>
      <c r="E43" s="2412"/>
      <c r="F43" s="2413"/>
      <c r="H43" s="1508"/>
      <c r="I43" s="1508"/>
      <c r="J43" s="1508"/>
      <c r="K43" s="1508"/>
    </row>
    <row r="44" spans="1:15" s="1499" customFormat="1" ht="12" hidden="1" customHeight="1" x14ac:dyDescent="0.25">
      <c r="A44" s="2411"/>
      <c r="B44" s="2412"/>
      <c r="C44" s="2412"/>
      <c r="D44" s="2412"/>
      <c r="E44" s="2412"/>
      <c r="F44" s="241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1999</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3" t="str">
        <f>COVER!A17</f>
        <v xml:space="preserve">  Rantoul City SD 137</v>
      </c>
      <c r="K6" s="2423"/>
      <c r="L6" s="2424"/>
      <c r="M6" s="838"/>
      <c r="N6" s="1999"/>
    </row>
    <row r="7" spans="1:14" x14ac:dyDescent="0.2">
      <c r="A7" s="2425" t="s">
        <v>864</v>
      </c>
      <c r="B7" s="2426"/>
      <c r="C7" s="2426"/>
      <c r="D7" s="2426"/>
      <c r="E7" s="2427"/>
      <c r="F7" s="839"/>
      <c r="G7" s="838"/>
      <c r="H7" s="838"/>
      <c r="I7" s="1925" t="s">
        <v>369</v>
      </c>
      <c r="J7" s="2428">
        <f>COVER!A13</f>
        <v>9010137002</v>
      </c>
      <c r="K7" s="2428"/>
      <c r="L7" s="2428"/>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2015</v>
      </c>
      <c r="F9" s="1857"/>
      <c r="G9" s="1857"/>
      <c r="H9" s="1857"/>
      <c r="I9" s="1930" t="s">
        <v>2016</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9" t="s">
        <v>478</v>
      </c>
      <c r="B11" s="2430"/>
      <c r="C11" s="2431"/>
      <c r="D11" s="1938" t="s">
        <v>866</v>
      </c>
      <c r="E11" s="1938" t="s">
        <v>64</v>
      </c>
      <c r="F11" s="1938" t="s">
        <v>6</v>
      </c>
      <c r="G11" s="1939" t="s">
        <v>2017</v>
      </c>
      <c r="H11" s="1940" t="s">
        <v>155</v>
      </c>
      <c r="I11" s="1938" t="s">
        <v>64</v>
      </c>
      <c r="J11" s="1938" t="s">
        <v>6</v>
      </c>
      <c r="K11" s="1939" t="s">
        <v>1998</v>
      </c>
      <c r="L11" s="1940" t="s">
        <v>155</v>
      </c>
      <c r="M11" s="838"/>
      <c r="N11" s="1999"/>
    </row>
    <row r="12" spans="1:14" x14ac:dyDescent="0.2">
      <c r="A12" s="2004">
        <v>1</v>
      </c>
      <c r="B12" s="1941" t="s">
        <v>813</v>
      </c>
      <c r="C12" s="842"/>
      <c r="D12" s="1942">
        <v>2320</v>
      </c>
      <c r="E12" s="1945">
        <f>'Expenditures 15-22'!K50</f>
        <v>488167</v>
      </c>
      <c r="F12" s="1943"/>
      <c r="G12" s="1969">
        <f>G68</f>
        <v>0</v>
      </c>
      <c r="H12" s="1945">
        <f t="shared" ref="H12:H18" si="0">SUM(E12:G12)</f>
        <v>488167</v>
      </c>
      <c r="I12" s="1944">
        <v>512017</v>
      </c>
      <c r="J12" s="1943"/>
      <c r="K12" s="1944"/>
      <c r="L12" s="1945">
        <f t="shared" ref="L12:L18" si="1">SUM(I12:K12)</f>
        <v>512017</v>
      </c>
      <c r="M12" s="838"/>
      <c r="N12" s="1999"/>
    </row>
    <row r="13" spans="1:14" x14ac:dyDescent="0.2">
      <c r="A13" s="2004">
        <v>2</v>
      </c>
      <c r="B13" s="1941" t="s">
        <v>42</v>
      </c>
      <c r="C13" s="842"/>
      <c r="D13" s="1942">
        <v>2330</v>
      </c>
      <c r="E13" s="1945">
        <f>'Expenditures 15-22'!K51</f>
        <v>312303</v>
      </c>
      <c r="F13" s="1943"/>
      <c r="G13" s="1969">
        <f>H68</f>
        <v>0</v>
      </c>
      <c r="H13" s="1945">
        <f t="shared" si="0"/>
        <v>312303</v>
      </c>
      <c r="I13" s="1944">
        <v>409230</v>
      </c>
      <c r="J13" s="1943"/>
      <c r="K13" s="1944"/>
      <c r="L13" s="1945">
        <f t="shared" si="1"/>
        <v>409230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74865</v>
      </c>
      <c r="F16" s="1943"/>
      <c r="G16" s="1969">
        <f>K68</f>
        <v>0</v>
      </c>
      <c r="H16" s="1945">
        <f t="shared" si="0"/>
        <v>74865</v>
      </c>
      <c r="I16" s="1944">
        <v>62520</v>
      </c>
      <c r="J16" s="1943"/>
      <c r="K16" s="1944"/>
      <c r="L16" s="1945">
        <f t="shared" si="1"/>
        <v>62520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2" t="s">
        <v>7</v>
      </c>
      <c r="C18" s="2433"/>
      <c r="D18" s="2434"/>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875335</v>
      </c>
      <c r="F19" s="1951">
        <f t="shared" si="2"/>
        <v>0</v>
      </c>
      <c r="G19" s="1951">
        <f t="shared" ref="G19" si="3">SUM(G12:G17)-G18</f>
        <v>0</v>
      </c>
      <c r="H19" s="1951">
        <f t="shared" si="2"/>
        <v>875335</v>
      </c>
      <c r="I19" s="1951">
        <f t="shared" si="2"/>
        <v>983767</v>
      </c>
      <c r="J19" s="1951">
        <f t="shared" si="2"/>
        <v>0</v>
      </c>
      <c r="K19" s="1951">
        <f t="shared" si="2"/>
        <v>0</v>
      </c>
      <c r="L19" s="1951">
        <f t="shared" si="2"/>
        <v>983767</v>
      </c>
      <c r="M19" s="838"/>
      <c r="N19" s="1999"/>
    </row>
    <row r="20" spans="1:14" ht="13.5" thickTop="1" x14ac:dyDescent="0.2">
      <c r="A20" s="2004">
        <v>9</v>
      </c>
      <c r="B20" s="2435" t="s">
        <v>2018</v>
      </c>
      <c r="C20" s="2435"/>
      <c r="D20" s="2436"/>
      <c r="E20" s="1952"/>
      <c r="F20" s="1952"/>
      <c r="G20" s="1952"/>
      <c r="H20" s="1952"/>
      <c r="I20" s="1952"/>
      <c r="J20" s="1952"/>
      <c r="K20" s="1952"/>
      <c r="L20" s="1953">
        <f>IF(AND(H19&gt;0,L19&gt;0),(((L19-H19)/H19)),"Enter Budget Data")</f>
        <v>0.12387485933956714</v>
      </c>
      <c r="M20" s="838"/>
      <c r="N20" s="1999"/>
    </row>
    <row r="21" spans="1:14" x14ac:dyDescent="0.2">
      <c r="A21" s="2006" t="s">
        <v>194</v>
      </c>
      <c r="B21" s="2007" t="s">
        <v>2043</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2019</v>
      </c>
      <c r="B24" s="2011"/>
      <c r="C24" s="2012"/>
      <c r="D24" s="2012"/>
      <c r="E24" s="2012"/>
      <c r="F24" s="2012"/>
      <c r="G24" s="2012"/>
      <c r="H24" s="2012"/>
      <c r="I24" s="2012"/>
      <c r="J24" s="2012"/>
      <c r="K24" s="2012"/>
      <c r="L24" s="838"/>
      <c r="M24" s="838"/>
      <c r="N24" s="1999"/>
    </row>
    <row r="25" spans="1:14" x14ac:dyDescent="0.2">
      <c r="A25" s="2010" t="s">
        <v>2020</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7"/>
      <c r="D27" s="2437"/>
      <c r="E27" s="843"/>
      <c r="F27" s="2438"/>
      <c r="G27" s="2438"/>
      <c r="H27" s="2438"/>
      <c r="I27" s="838"/>
      <c r="J27" s="838"/>
      <c r="K27" s="838"/>
      <c r="L27" s="838"/>
      <c r="M27" s="838"/>
      <c r="N27" s="1999"/>
    </row>
    <row r="28" spans="1:14" x14ac:dyDescent="0.2">
      <c r="A28" s="1998"/>
      <c r="B28" s="2008"/>
      <c r="C28" s="1958" t="s">
        <v>1026</v>
      </c>
      <c r="D28" s="844"/>
      <c r="E28" s="1959"/>
      <c r="F28" s="2439" t="s">
        <v>1492</v>
      </c>
      <c r="G28" s="2439"/>
      <c r="H28" s="2439"/>
      <c r="I28" s="838"/>
      <c r="J28" s="838"/>
      <c r="K28" s="838"/>
      <c r="L28" s="838"/>
      <c r="M28" s="838"/>
      <c r="N28" s="1999"/>
    </row>
    <row r="29" spans="1:14" x14ac:dyDescent="0.2">
      <c r="A29" s="1998"/>
      <c r="B29" s="2008"/>
      <c r="C29" s="2440"/>
      <c r="D29" s="2440"/>
      <c r="E29" s="845"/>
      <c r="F29" s="2440"/>
      <c r="G29" s="2440"/>
      <c r="H29" s="2440"/>
      <c r="I29" s="838"/>
      <c r="J29" s="838"/>
      <c r="K29" s="838"/>
      <c r="L29" s="838"/>
      <c r="M29" s="838"/>
      <c r="N29" s="1999"/>
    </row>
    <row r="30" spans="1:14" x14ac:dyDescent="0.2">
      <c r="A30" s="1998"/>
      <c r="B30" s="2008"/>
      <c r="C30" s="1961" t="s">
        <v>1544</v>
      </c>
      <c r="D30" s="838"/>
      <c r="E30" s="1960"/>
      <c r="F30" s="2422" t="s">
        <v>1493</v>
      </c>
      <c r="G30" s="2422"/>
      <c r="H30" s="242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3" t="s">
        <v>2021</v>
      </c>
      <c r="D34" s="2444"/>
      <c r="E34" s="2444"/>
      <c r="F34" s="2444"/>
      <c r="G34" s="2444"/>
      <c r="H34" s="2444"/>
      <c r="I34" s="2444"/>
      <c r="J34" s="2444"/>
      <c r="K34" s="2017"/>
      <c r="L34" s="838"/>
      <c r="M34" s="838"/>
      <c r="N34" s="1999"/>
    </row>
    <row r="35" spans="1:14" x14ac:dyDescent="0.2">
      <c r="A35" s="1998"/>
      <c r="B35" s="838"/>
      <c r="C35" s="2444"/>
      <c r="D35" s="2444"/>
      <c r="E35" s="2444"/>
      <c r="F35" s="2444"/>
      <c r="G35" s="2444"/>
      <c r="H35" s="2444"/>
      <c r="I35" s="2444"/>
      <c r="J35" s="2444"/>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3" t="s">
        <v>2022</v>
      </c>
      <c r="D37" s="2444"/>
      <c r="E37" s="2444"/>
      <c r="F37" s="2444"/>
      <c r="G37" s="2444"/>
      <c r="H37" s="2444"/>
      <c r="I37" s="2444"/>
      <c r="J37" s="2444"/>
      <c r="K37" s="2017"/>
      <c r="L37" s="2019"/>
      <c r="M37" s="838"/>
      <c r="N37" s="1999"/>
    </row>
    <row r="38" spans="1:14" x14ac:dyDescent="0.2">
      <c r="A38" s="1998"/>
      <c r="B38" s="838"/>
      <c r="C38" s="2444"/>
      <c r="D38" s="2444"/>
      <c r="E38" s="2444"/>
      <c r="F38" s="2444"/>
      <c r="G38" s="2444"/>
      <c r="H38" s="2444"/>
      <c r="I38" s="2444"/>
      <c r="J38" s="2444"/>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5" t="s">
        <v>2023</v>
      </c>
      <c r="D40" s="2446"/>
      <c r="E40" s="2446"/>
      <c r="F40" s="2446"/>
      <c r="G40" s="2446"/>
      <c r="H40" s="2446"/>
      <c r="I40" s="2446"/>
      <c r="J40" s="2446"/>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7" t="s">
        <v>2024</v>
      </c>
      <c r="B43" s="2448"/>
      <c r="C43" s="2448"/>
      <c r="D43" s="2448"/>
      <c r="E43" s="2448"/>
      <c r="F43" s="2448"/>
      <c r="G43" s="2448"/>
      <c r="H43" s="2448"/>
      <c r="I43" s="2448"/>
      <c r="J43" s="2448"/>
      <c r="K43" s="2448"/>
      <c r="L43" s="2448"/>
      <c r="M43" s="2448"/>
      <c r="N43" s="2449"/>
    </row>
    <row r="44" spans="1:14" x14ac:dyDescent="0.2">
      <c r="A44" s="1983"/>
      <c r="B44" s="1984"/>
      <c r="C44" s="1984"/>
      <c r="D44" s="1984"/>
      <c r="E44" s="1984"/>
      <c r="F44" s="1984"/>
      <c r="G44" s="1984"/>
      <c r="H44" s="1984"/>
      <c r="I44" s="1984"/>
      <c r="J44" s="1984"/>
      <c r="K44" s="1984"/>
      <c r="L44" s="1984"/>
      <c r="M44" s="1984"/>
      <c r="N44" s="1985"/>
    </row>
    <row r="45" spans="1:14" x14ac:dyDescent="0.2">
      <c r="A45" s="1983" t="s">
        <v>2025</v>
      </c>
      <c r="B45" s="1984"/>
      <c r="C45" s="1984"/>
      <c r="D45" s="1984"/>
      <c r="E45" s="1984"/>
      <c r="F45" s="1984"/>
      <c r="G45" s="1984"/>
      <c r="H45" s="1984"/>
      <c r="I45" s="1984"/>
      <c r="J45" s="1984"/>
      <c r="K45" s="1984"/>
      <c r="L45" s="1984"/>
      <c r="M45" s="1984"/>
      <c r="N45" s="1985"/>
    </row>
    <row r="46" spans="1:14" x14ac:dyDescent="0.2">
      <c r="A46" s="2450" t="s">
        <v>2026</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2042</v>
      </c>
      <c r="B49" s="2025"/>
      <c r="C49" s="2025"/>
      <c r="D49" s="2026"/>
      <c r="E49" s="2026"/>
      <c r="F49" s="2026"/>
      <c r="G49" s="2026"/>
      <c r="H49" s="2026"/>
      <c r="I49" s="2026"/>
      <c r="J49" s="2026"/>
      <c r="K49" s="2026"/>
      <c r="L49" s="2026"/>
      <c r="M49" s="2026"/>
      <c r="N49" s="2027"/>
    </row>
    <row r="50" spans="1:14" ht="15" x14ac:dyDescent="0.25">
      <c r="A50" s="2029" t="s">
        <v>2041</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3" t="str">
        <f>J6</f>
        <v xml:space="preserve">  Rantoul City SD 137</v>
      </c>
      <c r="M52" s="2423"/>
      <c r="N52" s="2453"/>
    </row>
    <row r="53" spans="1:14" x14ac:dyDescent="0.2">
      <c r="A53" s="1983"/>
      <c r="B53" s="1984"/>
      <c r="C53" s="1984"/>
      <c r="D53" s="1984"/>
      <c r="E53" s="1984"/>
      <c r="F53" s="1984"/>
      <c r="G53" s="1984"/>
      <c r="H53" s="1984"/>
      <c r="I53" s="1984"/>
      <c r="J53" s="1984"/>
      <c r="K53" s="1925" t="s">
        <v>369</v>
      </c>
      <c r="L53" s="2428">
        <f>J7</f>
        <v>9010137002</v>
      </c>
      <c r="M53" s="2428"/>
      <c r="N53" s="2454"/>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5"/>
      <c r="B55" s="2456"/>
      <c r="C55" s="2456"/>
      <c r="D55" s="1971"/>
      <c r="E55" s="1971"/>
      <c r="F55" s="1971"/>
      <c r="G55" s="2457" t="s">
        <v>2027</v>
      </c>
      <c r="H55" s="2457"/>
      <c r="I55" s="2457"/>
      <c r="J55" s="2457"/>
      <c r="K55" s="2457"/>
      <c r="L55" s="2457"/>
      <c r="M55" s="2457"/>
      <c r="N55" s="2458"/>
    </row>
    <row r="56" spans="1:14" ht="63.75" x14ac:dyDescent="0.2">
      <c r="A56" s="2459" t="s">
        <v>2028</v>
      </c>
      <c r="B56" s="2460"/>
      <c r="C56" s="2461"/>
      <c r="D56" s="1965" t="s">
        <v>2029</v>
      </c>
      <c r="E56" s="1965" t="s">
        <v>2030</v>
      </c>
      <c r="F56" s="1972"/>
      <c r="G56" s="1965" t="s">
        <v>2031</v>
      </c>
      <c r="H56" s="1965" t="s">
        <v>2032</v>
      </c>
      <c r="I56" s="1965" t="s">
        <v>2033</v>
      </c>
      <c r="J56" s="1965" t="s">
        <v>2034</v>
      </c>
      <c r="K56" s="1965" t="s">
        <v>2035</v>
      </c>
      <c r="L56" s="1965" t="s">
        <v>2036</v>
      </c>
      <c r="M56" s="1965" t="s">
        <v>2037</v>
      </c>
      <c r="N56" s="1966" t="s">
        <v>2044</v>
      </c>
    </row>
    <row r="57" spans="1:14" ht="24.75" customHeight="1" x14ac:dyDescent="0.2">
      <c r="A57" s="2462" t="s">
        <v>296</v>
      </c>
      <c r="B57" s="2463"/>
      <c r="C57" s="2463"/>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1" t="s">
        <v>2038</v>
      </c>
      <c r="B58" s="2442"/>
      <c r="C58" s="2442"/>
      <c r="D58" s="1968">
        <v>2362</v>
      </c>
      <c r="E58" s="1978">
        <f>'Expenditures 15-22'!K320</f>
        <v>74144</v>
      </c>
      <c r="F58" s="1973"/>
      <c r="G58" s="2032"/>
      <c r="H58" s="2033"/>
      <c r="I58" s="2033"/>
      <c r="J58" s="2033"/>
      <c r="K58" s="2033"/>
      <c r="L58" s="2033"/>
      <c r="M58" s="2033">
        <v>74144</v>
      </c>
      <c r="N58" s="1976">
        <f>IF((SUM(G58:M58))=E58,SUM(G58:M58),"Column N does not agree with Column E")</f>
        <v>74144</v>
      </c>
    </row>
    <row r="59" spans="1:14" ht="24.75" customHeight="1" x14ac:dyDescent="0.2">
      <c r="A59" s="2464" t="s">
        <v>297</v>
      </c>
      <c r="B59" s="2465"/>
      <c r="C59" s="2465"/>
      <c r="D59" s="1968">
        <v>2363</v>
      </c>
      <c r="E59" s="1978">
        <f>'Expenditures 15-22'!K321</f>
        <v>15917</v>
      </c>
      <c r="F59" s="1973"/>
      <c r="G59" s="2032"/>
      <c r="H59" s="2033"/>
      <c r="I59" s="2033"/>
      <c r="J59" s="2033"/>
      <c r="K59" s="2033"/>
      <c r="L59" s="2033"/>
      <c r="M59" s="2033">
        <v>15917</v>
      </c>
      <c r="N59" s="1976">
        <f>IF((SUM(G59:M59))=E59,SUM(G59:M59),"Column N does not agree with Column E")</f>
        <v>15917</v>
      </c>
    </row>
    <row r="60" spans="1:14" ht="24" customHeight="1" x14ac:dyDescent="0.2">
      <c r="A60" s="2464" t="s">
        <v>236</v>
      </c>
      <c r="B60" s="2465"/>
      <c r="C60" s="2465"/>
      <c r="D60" s="1968">
        <v>2364</v>
      </c>
      <c r="E60" s="1978">
        <f>'Expenditures 15-22'!K322</f>
        <v>3650</v>
      </c>
      <c r="F60" s="1973"/>
      <c r="G60" s="2032"/>
      <c r="H60" s="2033"/>
      <c r="I60" s="2033"/>
      <c r="J60" s="2033"/>
      <c r="K60" s="2033"/>
      <c r="L60" s="2033"/>
      <c r="M60" s="2033">
        <v>3650</v>
      </c>
      <c r="N60" s="1976">
        <f t="shared" ref="N60:N67" si="4">IF((SUM(G60:M60))=E60,SUM(G60:M60),"Column N does not agree with Column E")</f>
        <v>3650</v>
      </c>
    </row>
    <row r="61" spans="1:14" ht="24.75" customHeight="1" x14ac:dyDescent="0.2">
      <c r="A61" s="2464" t="s">
        <v>697</v>
      </c>
      <c r="B61" s="2465"/>
      <c r="C61" s="2465"/>
      <c r="D61" s="1968">
        <v>2365</v>
      </c>
      <c r="E61" s="1978">
        <f>'Expenditures 15-22'!K323</f>
        <v>7340</v>
      </c>
      <c r="F61" s="1973"/>
      <c r="G61" s="2032"/>
      <c r="H61" s="2033"/>
      <c r="I61" s="2033"/>
      <c r="J61" s="2033"/>
      <c r="K61" s="2033"/>
      <c r="L61" s="2033"/>
      <c r="M61" s="2033">
        <v>7340</v>
      </c>
      <c r="N61" s="1976">
        <f t="shared" si="4"/>
        <v>7340</v>
      </c>
    </row>
    <row r="62" spans="1:14" ht="24" customHeight="1" x14ac:dyDescent="0.2">
      <c r="A62" s="2464" t="s">
        <v>237</v>
      </c>
      <c r="B62" s="2465"/>
      <c r="C62" s="2465"/>
      <c r="D62" s="1968">
        <v>2366</v>
      </c>
      <c r="E62" s="1978">
        <f>'Expenditures 15-22'!K324</f>
        <v>0</v>
      </c>
      <c r="F62" s="1973"/>
      <c r="G62" s="2032"/>
      <c r="H62" s="2033"/>
      <c r="I62" s="2033"/>
      <c r="J62" s="2033"/>
      <c r="K62" s="2033"/>
      <c r="L62" s="2033"/>
      <c r="M62" s="2033"/>
      <c r="N62" s="1976">
        <f t="shared" si="4"/>
        <v>0</v>
      </c>
    </row>
    <row r="63" spans="1:14" ht="24" customHeight="1" x14ac:dyDescent="0.2">
      <c r="A63" s="2441" t="s">
        <v>1022</v>
      </c>
      <c r="B63" s="2442"/>
      <c r="C63" s="2442"/>
      <c r="D63" s="1968">
        <v>2367</v>
      </c>
      <c r="E63" s="1978">
        <f>'Expenditures 15-22'!K325</f>
        <v>113698</v>
      </c>
      <c r="F63" s="1973"/>
      <c r="G63" s="2032"/>
      <c r="H63" s="2033"/>
      <c r="I63" s="2033"/>
      <c r="J63" s="2033"/>
      <c r="K63" s="2033"/>
      <c r="L63" s="2033"/>
      <c r="M63" s="2033">
        <v>113698</v>
      </c>
      <c r="N63" s="1976">
        <f t="shared" si="4"/>
        <v>113698</v>
      </c>
    </row>
    <row r="64" spans="1:14" ht="24" customHeight="1" x14ac:dyDescent="0.2">
      <c r="A64" s="2464" t="s">
        <v>1023</v>
      </c>
      <c r="B64" s="2465"/>
      <c r="C64" s="2465"/>
      <c r="D64" s="1968">
        <v>2368</v>
      </c>
      <c r="E64" s="1978">
        <f>'Expenditures 15-22'!K326</f>
        <v>0</v>
      </c>
      <c r="F64" s="1973"/>
      <c r="G64" s="2032"/>
      <c r="H64" s="2033"/>
      <c r="I64" s="2033"/>
      <c r="J64" s="2033"/>
      <c r="K64" s="2033"/>
      <c r="L64" s="2033"/>
      <c r="M64" s="2033"/>
      <c r="N64" s="1976">
        <f t="shared" si="4"/>
        <v>0</v>
      </c>
    </row>
    <row r="65" spans="1:14" ht="24" customHeight="1" x14ac:dyDescent="0.2">
      <c r="A65" s="2464" t="s">
        <v>965</v>
      </c>
      <c r="B65" s="2465"/>
      <c r="C65" s="2465"/>
      <c r="D65" s="1968">
        <v>2369</v>
      </c>
      <c r="E65" s="1978">
        <f>'Expenditures 15-22'!K327</f>
        <v>0</v>
      </c>
      <c r="F65" s="1973"/>
      <c r="G65" s="2032"/>
      <c r="H65" s="2033"/>
      <c r="I65" s="2033"/>
      <c r="J65" s="2033"/>
      <c r="K65" s="2033"/>
      <c r="L65" s="2033"/>
      <c r="M65" s="2033"/>
      <c r="N65" s="1976">
        <f t="shared" si="4"/>
        <v>0</v>
      </c>
    </row>
    <row r="66" spans="1:14" ht="24" customHeight="1" x14ac:dyDescent="0.2">
      <c r="A66" s="2464" t="s">
        <v>469</v>
      </c>
      <c r="B66" s="2465"/>
      <c r="C66" s="2465"/>
      <c r="D66" s="1968">
        <v>2371</v>
      </c>
      <c r="E66" s="1978">
        <f>'Expenditures 15-22'!K328</f>
        <v>20507</v>
      </c>
      <c r="F66" s="1973"/>
      <c r="G66" s="2032"/>
      <c r="H66" s="2033"/>
      <c r="I66" s="2033"/>
      <c r="J66" s="2033"/>
      <c r="K66" s="2033"/>
      <c r="L66" s="2033"/>
      <c r="M66" s="2033">
        <v>20507</v>
      </c>
      <c r="N66" s="1976">
        <f t="shared" si="4"/>
        <v>20507</v>
      </c>
    </row>
    <row r="67" spans="1:14" ht="24.75" customHeight="1" x14ac:dyDescent="0.2">
      <c r="A67" s="2466" t="s">
        <v>2039</v>
      </c>
      <c r="B67" s="2467"/>
      <c r="C67" s="2467"/>
      <c r="D67" s="1970">
        <v>2372</v>
      </c>
      <c r="E67" s="1979">
        <f>'Expenditures 15-22'!K329</f>
        <v>2625</v>
      </c>
      <c r="F67" s="1973"/>
      <c r="G67" s="2034"/>
      <c r="H67" s="2035"/>
      <c r="I67" s="2035"/>
      <c r="J67" s="2035"/>
      <c r="K67" s="2035"/>
      <c r="L67" s="2035"/>
      <c r="M67" s="2035">
        <v>2625</v>
      </c>
      <c r="N67" s="1976">
        <f t="shared" si="4"/>
        <v>2625</v>
      </c>
    </row>
    <row r="68" spans="1:14" x14ac:dyDescent="0.2">
      <c r="A68" s="2468" t="s">
        <v>1151</v>
      </c>
      <c r="B68" s="2469"/>
      <c r="C68" s="2469"/>
      <c r="D68" s="1971"/>
      <c r="E68" s="1975">
        <f>SUM(E57:E67)</f>
        <v>237881</v>
      </c>
      <c r="F68" s="1974"/>
      <c r="G68" s="1975">
        <f t="shared" ref="G68:N68" si="5">SUM(G57:G67)</f>
        <v>0</v>
      </c>
      <c r="H68" s="1975">
        <f t="shared" si="5"/>
        <v>0</v>
      </c>
      <c r="I68" s="1975">
        <f t="shared" si="5"/>
        <v>0</v>
      </c>
      <c r="J68" s="1975">
        <f t="shared" si="5"/>
        <v>0</v>
      </c>
      <c r="K68" s="1975">
        <f t="shared" si="5"/>
        <v>0</v>
      </c>
      <c r="L68" s="1975">
        <f t="shared" si="5"/>
        <v>0</v>
      </c>
      <c r="M68" s="1975">
        <f t="shared" si="5"/>
        <v>237881</v>
      </c>
      <c r="N68" s="1989">
        <f t="shared" si="5"/>
        <v>237881</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2040</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2073</v>
      </c>
    </row>
    <row r="6" spans="1:2" x14ac:dyDescent="0.2">
      <c r="A6" s="847"/>
      <c r="B6" s="2038" t="s">
        <v>2074</v>
      </c>
    </row>
    <row r="7" spans="1:2" x14ac:dyDescent="0.2">
      <c r="A7" s="847"/>
      <c r="B7" s="307" t="s">
        <v>2075</v>
      </c>
    </row>
    <row r="8" spans="1:2" x14ac:dyDescent="0.2">
      <c r="A8" s="847"/>
      <c r="B8" s="307" t="s">
        <v>2076</v>
      </c>
    </row>
    <row r="9" spans="1:2" x14ac:dyDescent="0.2">
      <c r="A9" s="848"/>
    </row>
    <row r="10" spans="1:2" x14ac:dyDescent="0.2">
      <c r="A10" s="848">
        <v>2</v>
      </c>
      <c r="B10" s="2037" t="s">
        <v>2077</v>
      </c>
    </row>
    <row r="11" spans="1:2" x14ac:dyDescent="0.2">
      <c r="A11" s="848"/>
      <c r="B11" s="2038" t="s">
        <v>2078</v>
      </c>
    </row>
    <row r="12" spans="1:2" x14ac:dyDescent="0.2">
      <c r="A12" s="848"/>
      <c r="B12" s="307" t="s">
        <v>2079</v>
      </c>
    </row>
    <row r="13" spans="1:2" x14ac:dyDescent="0.2">
      <c r="A13" s="848"/>
    </row>
    <row r="14" spans="1:2" x14ac:dyDescent="0.2">
      <c r="A14" s="848">
        <v>3</v>
      </c>
      <c r="B14" s="2037" t="s">
        <v>2080</v>
      </c>
    </row>
    <row r="15" spans="1:2" x14ac:dyDescent="0.2">
      <c r="A15" s="848"/>
      <c r="B15" s="2038" t="s">
        <v>2078</v>
      </c>
    </row>
    <row r="16" spans="1:2" x14ac:dyDescent="0.2">
      <c r="A16" s="848"/>
      <c r="B16" s="307" t="s">
        <v>2081</v>
      </c>
    </row>
    <row r="17" spans="1:2" x14ac:dyDescent="0.2">
      <c r="A17" s="848"/>
      <c r="B17" s="2038" t="s">
        <v>2082</v>
      </c>
    </row>
    <row r="18" spans="1:2" x14ac:dyDescent="0.2">
      <c r="A18" s="848"/>
      <c r="B18" s="307" t="s">
        <v>2085</v>
      </c>
    </row>
    <row r="19" spans="1:2" x14ac:dyDescent="0.2">
      <c r="A19" s="848"/>
      <c r="B19" s="2038" t="s">
        <v>2074</v>
      </c>
    </row>
    <row r="20" spans="1:2" x14ac:dyDescent="0.2">
      <c r="A20" s="848"/>
      <c r="B20" s="307" t="s">
        <v>2086</v>
      </c>
    </row>
    <row r="21" spans="1:2" x14ac:dyDescent="0.2">
      <c r="A21" s="848"/>
      <c r="B21" s="2038" t="s">
        <v>2083</v>
      </c>
    </row>
    <row r="22" spans="1:2" x14ac:dyDescent="0.2">
      <c r="A22" s="848"/>
      <c r="B22" s="307" t="s">
        <v>2087</v>
      </c>
    </row>
    <row r="23" spans="1:2" x14ac:dyDescent="0.2">
      <c r="A23" s="848"/>
      <c r="B23" s="2038" t="s">
        <v>2084</v>
      </c>
    </row>
    <row r="24" spans="1:2" x14ac:dyDescent="0.2">
      <c r="A24" s="848"/>
      <c r="B24" s="307" t="s">
        <v>2088</v>
      </c>
    </row>
    <row r="25" spans="1:2" x14ac:dyDescent="0.2">
      <c r="A25" s="848"/>
    </row>
    <row r="26" spans="1:2" x14ac:dyDescent="0.2">
      <c r="A26" s="848">
        <v>4</v>
      </c>
      <c r="B26" s="2037" t="s">
        <v>2089</v>
      </c>
    </row>
    <row r="27" spans="1:2" x14ac:dyDescent="0.2">
      <c r="A27" s="848"/>
      <c r="B27" s="2038" t="s">
        <v>2078</v>
      </c>
    </row>
    <row r="28" spans="1:2" x14ac:dyDescent="0.2">
      <c r="A28" s="848"/>
      <c r="B28" s="307" t="s">
        <v>2090</v>
      </c>
    </row>
    <row r="29" spans="1:2" x14ac:dyDescent="0.2">
      <c r="A29" s="848"/>
    </row>
    <row r="30" spans="1:2" x14ac:dyDescent="0.2">
      <c r="A30" s="848">
        <v>5</v>
      </c>
      <c r="B30" s="2037" t="s">
        <v>2091</v>
      </c>
    </row>
    <row r="31" spans="1:2" x14ac:dyDescent="0.2">
      <c r="A31" s="848"/>
      <c r="B31" s="2038" t="s">
        <v>2078</v>
      </c>
    </row>
    <row r="32" spans="1:2" x14ac:dyDescent="0.2">
      <c r="A32" s="848"/>
      <c r="B32" s="307" t="s">
        <v>2092</v>
      </c>
    </row>
    <row r="33" spans="1:2" x14ac:dyDescent="0.2">
      <c r="A33" s="848"/>
    </row>
    <row r="34" spans="1:2" x14ac:dyDescent="0.2">
      <c r="A34" s="848">
        <v>6</v>
      </c>
      <c r="B34" s="2037" t="s">
        <v>2093</v>
      </c>
    </row>
    <row r="35" spans="1:2" x14ac:dyDescent="0.2">
      <c r="A35" s="848"/>
      <c r="B35" s="307" t="s">
        <v>2094</v>
      </c>
    </row>
    <row r="36" spans="1:2" x14ac:dyDescent="0.2">
      <c r="A36" s="848"/>
    </row>
    <row r="37" spans="1:2" x14ac:dyDescent="0.2">
      <c r="A37" s="848">
        <v>7</v>
      </c>
      <c r="B37" s="2037" t="s">
        <v>2095</v>
      </c>
    </row>
    <row r="38" spans="1:2" x14ac:dyDescent="0.2">
      <c r="A38" s="848"/>
      <c r="B38" s="307" t="s">
        <v>2096</v>
      </c>
    </row>
    <row r="39" spans="1:2" x14ac:dyDescent="0.2">
      <c r="A39" s="848"/>
    </row>
    <row r="40" spans="1:2" x14ac:dyDescent="0.2">
      <c r="A40" s="848">
        <v>8</v>
      </c>
      <c r="B40" s="2037" t="s">
        <v>2097</v>
      </c>
    </row>
    <row r="41" spans="1:2" x14ac:dyDescent="0.2">
      <c r="A41" s="848"/>
      <c r="B41" s="307" t="s">
        <v>2098</v>
      </c>
    </row>
    <row r="42" spans="1:2" x14ac:dyDescent="0.2">
      <c r="A42" s="848"/>
    </row>
    <row r="43" spans="1:2" x14ac:dyDescent="0.2">
      <c r="A43" s="848">
        <v>9</v>
      </c>
      <c r="B43" s="2037" t="s">
        <v>2099</v>
      </c>
    </row>
    <row r="44" spans="1:2" x14ac:dyDescent="0.2">
      <c r="A44" s="848"/>
      <c r="B44" s="2038" t="s">
        <v>2100</v>
      </c>
    </row>
    <row r="45" spans="1:2" x14ac:dyDescent="0.2">
      <c r="A45" s="848"/>
      <c r="B45" s="307" t="s">
        <v>2101</v>
      </c>
    </row>
    <row r="46" spans="1:2" x14ac:dyDescent="0.2">
      <c r="A46" s="848"/>
    </row>
    <row r="47" spans="1:2" x14ac:dyDescent="0.2">
      <c r="A47" s="848">
        <v>10</v>
      </c>
      <c r="B47" s="2037" t="s">
        <v>2102</v>
      </c>
    </row>
    <row r="48" spans="1:2" x14ac:dyDescent="0.2">
      <c r="A48" s="848"/>
      <c r="B48" s="2038" t="s">
        <v>2103</v>
      </c>
    </row>
    <row r="49" spans="1:2" x14ac:dyDescent="0.2">
      <c r="A49" s="848"/>
      <c r="B49" s="307" t="s">
        <v>2104</v>
      </c>
    </row>
    <row r="50" spans="1:2" x14ac:dyDescent="0.2">
      <c r="A50" s="848"/>
      <c r="B50" s="2038" t="s">
        <v>2105</v>
      </c>
    </row>
    <row r="51" spans="1:2" x14ac:dyDescent="0.2">
      <c r="A51" s="848"/>
      <c r="B51" s="307" t="s">
        <v>2106</v>
      </c>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Rantoul City SD 137</v>
      </c>
    </row>
    <row r="65" spans="2:2" x14ac:dyDescent="0.2">
      <c r="B65" s="849">
        <f>COVER!A13</f>
        <v>9010137002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1969</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19663119</v>
      </c>
      <c r="C8" s="1813">
        <f>'Acct Summary 7-8'!D8</f>
        <v>1841070</v>
      </c>
      <c r="D8" s="1813">
        <f>'Acct Summary 7-8'!F8</f>
        <v>919775</v>
      </c>
      <c r="E8" s="1813">
        <f>'Acct Summary 7-8'!I8</f>
        <v>10214</v>
      </c>
      <c r="F8" s="1813">
        <f>SUM(B8:E8)</f>
        <v>22434178</v>
      </c>
    </row>
    <row r="9" spans="1:8" s="858" customFormat="1" ht="14.25" customHeight="1" thickBot="1" x14ac:dyDescent="0.25">
      <c r="A9" s="857" t="s">
        <v>1353</v>
      </c>
      <c r="B9" s="1814">
        <f>'Acct Summary 7-8'!C17</f>
        <v>20042446</v>
      </c>
      <c r="C9" s="1814">
        <f>'Acct Summary 7-8'!D17</f>
        <v>1625853</v>
      </c>
      <c r="D9" s="1814">
        <f>'Acct Summary 7-8'!F17</f>
        <v>1007641</v>
      </c>
      <c r="E9" s="1813"/>
      <c r="F9" s="1813">
        <f>SUM(B9:E9)</f>
        <v>22675940</v>
      </c>
    </row>
    <row r="10" spans="1:8" s="858" customFormat="1" ht="14.25" thickTop="1" thickBot="1" x14ac:dyDescent="0.25">
      <c r="A10" s="859" t="s">
        <v>1354</v>
      </c>
      <c r="B10" s="1815">
        <f>(B8-B9)</f>
        <v>-379327</v>
      </c>
      <c r="C10" s="1815">
        <f>(C8-C9)</f>
        <v>215217</v>
      </c>
      <c r="D10" s="1815">
        <f>(D8-D9)</f>
        <v>-87866</v>
      </c>
      <c r="E10" s="1814">
        <f>(E8-E9)</f>
        <v>10214</v>
      </c>
      <c r="F10" s="1816">
        <f>SUM(F8-F9)</f>
        <v>-241762</v>
      </c>
    </row>
    <row r="11" spans="1:8" s="858" customFormat="1" ht="14.25" thickTop="1" thickBot="1" x14ac:dyDescent="0.25">
      <c r="A11" s="860" t="s">
        <v>1900</v>
      </c>
      <c r="B11" s="1817">
        <f>'Acct Summary 7-8'!C81</f>
        <v>8419994</v>
      </c>
      <c r="C11" s="1817">
        <f>'Acct Summary 7-8'!D81</f>
        <v>918934</v>
      </c>
      <c r="D11" s="1817">
        <f>'Acct Summary 7-8'!F81</f>
        <v>294792</v>
      </c>
      <c r="E11" s="1817">
        <f>'Acct Summary 7-8'!I81</f>
        <v>564004</v>
      </c>
      <c r="F11" s="1818">
        <f>SUM(B11:E11)</f>
        <v>10197724</v>
      </c>
    </row>
    <row r="12" spans="1:8" ht="16.5" customHeight="1" thickTop="1" x14ac:dyDescent="0.2">
      <c r="A12" s="861"/>
      <c r="B12" s="862"/>
      <c r="C12" s="2475" t="str">
        <f>IF(AND(F10&lt;0,F11&gt;=0,ABS(F10*3)&gt;ABS(F11)),A16,IF(AND(F10&lt;0,F11&gt;0,ABS(F10*3)&lt;=ABS(F11)),A17,IF(AND(F10&lt;0,F11&lt;0),A16,IF(F11=0,A19,A18))))</f>
        <v>Unbalanced -  however, a deficit reduction plan is not required at this time.</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G20" sqref="G16:G2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ERROR!</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9010137002</v>
      </c>
      <c r="E2" s="1542">
        <v>2020</v>
      </c>
      <c r="F2" s="1542">
        <v>1</v>
      </c>
      <c r="G2" s="1899">
        <v>101000300</v>
      </c>
    </row>
    <row r="3" spans="1:7" ht="15" x14ac:dyDescent="0.25">
      <c r="A3" t="s">
        <v>950</v>
      </c>
      <c r="B3" s="135" t="str">
        <f>COVER!A15</f>
        <v>CHAMPAIGN</v>
      </c>
      <c r="E3" s="1830" t="s">
        <v>1968</v>
      </c>
      <c r="F3" s="1830" t="s">
        <v>1967</v>
      </c>
      <c r="G3" s="1899">
        <v>101000400</v>
      </c>
    </row>
    <row r="4" spans="1:7" ht="15" x14ac:dyDescent="0.25">
      <c r="A4" t="s">
        <v>1000</v>
      </c>
      <c r="B4" s="135" t="str">
        <f>COVER!A17</f>
        <v xml:space="preserve">  Rantoul City SD 137</v>
      </c>
      <c r="E4" s="1828">
        <v>44119</v>
      </c>
      <c r="F4" s="1829">
        <v>44151</v>
      </c>
      <c r="G4" s="1899">
        <v>101000600</v>
      </c>
    </row>
    <row r="5" spans="1:7" ht="15" x14ac:dyDescent="0.25">
      <c r="A5" t="s">
        <v>699</v>
      </c>
      <c r="B5" s="135" t="str">
        <f>COVER!A38</f>
        <v>Michelle Ramage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5</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10084742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38067</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1664748</v>
      </c>
      <c r="C91" s="2" t="s">
        <v>569</v>
      </c>
      <c r="D91" s="2" t="str">
        <f t="shared" si="0"/>
        <v>Error?</v>
      </c>
      <c r="G91" s="1899">
        <v>102640400</v>
      </c>
    </row>
    <row r="92" spans="1:7" ht="15" x14ac:dyDescent="0.25">
      <c r="A92" s="5">
        <v>31</v>
      </c>
      <c r="B92" s="1832">
        <f>'Assets-Liab 5-6'!C39</f>
        <v>8419994</v>
      </c>
      <c r="D92" s="2" t="str">
        <f t="shared" si="0"/>
        <v>Error?</v>
      </c>
      <c r="G92" s="1899">
        <v>102640600</v>
      </c>
    </row>
    <row r="93" spans="1:7" ht="15" x14ac:dyDescent="0.25">
      <c r="A93" s="5">
        <v>32</v>
      </c>
      <c r="B93" s="1832">
        <f>'Assets-Liab 5-6'!C41</f>
        <v>10084742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918934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918934</v>
      </c>
      <c r="D123" s="2" t="str">
        <f t="shared" si="0"/>
        <v>Error?</v>
      </c>
      <c r="G123" s="1899">
        <v>203000400</v>
      </c>
    </row>
    <row r="124" spans="1:7" ht="15" x14ac:dyDescent="0.25">
      <c r="A124" s="5">
        <v>63</v>
      </c>
      <c r="B124" s="1832">
        <f>'Assets-Liab 5-6'!D41</f>
        <v>918934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48400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48400</v>
      </c>
      <c r="D140" s="2" t="str">
        <f t="shared" si="1"/>
        <v>Error?</v>
      </c>
    </row>
    <row r="141" spans="1:7" x14ac:dyDescent="0.2">
      <c r="A141" s="5">
        <v>80</v>
      </c>
      <c r="B141" s="1832">
        <f>'Assets-Liab 5-6'!E41</f>
        <v>48400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294792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294792</v>
      </c>
      <c r="D170" s="2" t="str">
        <f t="shared" si="1"/>
        <v>Error?</v>
      </c>
    </row>
    <row r="171" spans="1:4" x14ac:dyDescent="0.2">
      <c r="A171" s="5">
        <v>110</v>
      </c>
      <c r="B171" s="1832">
        <f>'Assets-Liab 5-6'!F41</f>
        <v>294792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195306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19883</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19883</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195306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1313456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1172334</v>
      </c>
      <c r="D212" s="2" t="str">
        <f t="shared" si="2"/>
        <v>Error?</v>
      </c>
    </row>
    <row r="213" spans="1:4" x14ac:dyDescent="0.2">
      <c r="A213" s="12">
        <v>152</v>
      </c>
      <c r="B213" s="1832">
        <f>'Assets-Liab 5-6'!H41</f>
        <v>1313456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100231</v>
      </c>
      <c r="D273" s="2" t="str">
        <f t="shared" si="3"/>
        <v>Error?</v>
      </c>
    </row>
    <row r="274" spans="1:4" x14ac:dyDescent="0.2">
      <c r="A274" s="5">
        <v>213</v>
      </c>
      <c r="B274" s="1832">
        <f>'Assets-Liab 5-6'!M17</f>
        <v>34664884</v>
      </c>
      <c r="D274" s="2" t="str">
        <f t="shared" si="3"/>
        <v>Error?</v>
      </c>
    </row>
    <row r="275" spans="1:4" x14ac:dyDescent="0.2">
      <c r="A275" s="5">
        <v>214</v>
      </c>
      <c r="B275" s="1832">
        <f>'Assets-Liab 5-6'!M18</f>
        <v>720198</v>
      </c>
      <c r="D275" s="2" t="str">
        <f t="shared" si="3"/>
        <v>Error?</v>
      </c>
    </row>
    <row r="276" spans="1:4" x14ac:dyDescent="0.2">
      <c r="A276" s="5">
        <v>215</v>
      </c>
      <c r="B276" s="1832">
        <f>'Assets-Liab 5-6'!M19</f>
        <v>4611241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40096554</v>
      </c>
      <c r="C279" s="2" t="s">
        <v>569</v>
      </c>
      <c r="D279" s="2" t="str">
        <f t="shared" si="3"/>
        <v>Error?</v>
      </c>
    </row>
    <row r="280" spans="1:4" x14ac:dyDescent="0.2">
      <c r="A280" s="5">
        <v>219</v>
      </c>
      <c r="B280" s="1832">
        <f>'Assets-Liab 5-6'!M40</f>
        <v>40096554</v>
      </c>
      <c r="D280" s="2" t="str">
        <f t="shared" si="3"/>
        <v>Error?</v>
      </c>
    </row>
    <row r="281" spans="1:4" x14ac:dyDescent="0.2">
      <c r="A281" s="5">
        <v>220</v>
      </c>
      <c r="B281" s="1832">
        <f>'Assets-Liab 5-6'!M41</f>
        <v>40096554</v>
      </c>
      <c r="C281" s="2" t="s">
        <v>569</v>
      </c>
      <c r="D281" s="2" t="str">
        <f t="shared" si="3"/>
        <v>Error?</v>
      </c>
    </row>
    <row r="282" spans="1:4" x14ac:dyDescent="0.2">
      <c r="A282" s="5">
        <v>221</v>
      </c>
      <c r="B282" s="1832">
        <f>'Assets-Liab 5-6'!N21</f>
        <v>48400</v>
      </c>
      <c r="D282" s="2" t="str">
        <f t="shared" si="3"/>
        <v>Error?</v>
      </c>
    </row>
    <row r="283" spans="1:4" x14ac:dyDescent="0.2">
      <c r="A283" s="5">
        <v>222</v>
      </c>
      <c r="B283" s="1832">
        <f>'Assets-Liab 5-6'!N22</f>
        <v>17916600</v>
      </c>
      <c r="D283" s="2" t="str">
        <f t="shared" si="3"/>
        <v>Error?</v>
      </c>
    </row>
    <row r="284" spans="1:4" x14ac:dyDescent="0.2">
      <c r="A284" s="5">
        <v>223</v>
      </c>
      <c r="B284" s="1832">
        <f>'Assets-Liab 5-6'!N23</f>
        <v>17965000</v>
      </c>
      <c r="C284" s="2" t="s">
        <v>569</v>
      </c>
      <c r="D284" s="2" t="str">
        <f t="shared" si="3"/>
        <v>Error?</v>
      </c>
    </row>
    <row r="285" spans="1:4" x14ac:dyDescent="0.2">
      <c r="A285" s="5">
        <v>224</v>
      </c>
      <c r="B285" s="1832">
        <f>'Assets-Liab 5-6'!N36</f>
        <v>17965000</v>
      </c>
      <c r="D285" s="2" t="str">
        <f t="shared" si="3"/>
        <v>Error?</v>
      </c>
    </row>
    <row r="286" spans="1:4" x14ac:dyDescent="0.2">
      <c r="A286" s="10">
        <v>225</v>
      </c>
      <c r="B286" s="1832"/>
      <c r="D286" s="2" t="str">
        <f t="shared" si="3"/>
        <v>OK</v>
      </c>
    </row>
    <row r="287" spans="1:4" x14ac:dyDescent="0.2">
      <c r="A287" s="5">
        <v>226</v>
      </c>
      <c r="B287" s="1832">
        <f>'Assets-Liab 5-6'!N37</f>
        <v>17965000</v>
      </c>
      <c r="C287" s="2" t="s">
        <v>569</v>
      </c>
      <c r="D287" s="2" t="str">
        <f t="shared" si="3"/>
        <v>Error?</v>
      </c>
    </row>
    <row r="288" spans="1:4" x14ac:dyDescent="0.2">
      <c r="A288" s="5">
        <v>227</v>
      </c>
      <c r="B288" s="1832">
        <f>'Assets-Liab 5-6'!N41</f>
        <v>17965000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675760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5983360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1004669</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53870</v>
      </c>
      <c r="D718" s="2" t="str">
        <f t="shared" si="10"/>
        <v>Error?</v>
      </c>
    </row>
    <row r="719" spans="1:4" x14ac:dyDescent="0.2">
      <c r="A719" s="5">
        <v>658</v>
      </c>
      <c r="B719" s="1832">
        <f>'Expenditures 15-22'!C15</f>
        <v>8175</v>
      </c>
      <c r="D719" s="2" t="str">
        <f t="shared" si="10"/>
        <v>Error?</v>
      </c>
    </row>
    <row r="720" spans="1:4" x14ac:dyDescent="0.2">
      <c r="A720" s="5">
        <v>659</v>
      </c>
      <c r="B720" s="1832">
        <f>'Expenditures 15-22'!C33</f>
        <v>9415611</v>
      </c>
      <c r="C720" s="2" t="s">
        <v>569</v>
      </c>
      <c r="D720" s="2" t="str">
        <f t="shared" si="10"/>
        <v>Error?</v>
      </c>
    </row>
    <row r="721" spans="1:4" x14ac:dyDescent="0.2">
      <c r="A721" s="5">
        <v>660</v>
      </c>
      <c r="B721" s="1832">
        <f>'Expenditures 15-22'!C36</f>
        <v>473170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331543</v>
      </c>
      <c r="D723" s="2" t="str">
        <f t="shared" si="10"/>
        <v>Error?</v>
      </c>
    </row>
    <row r="724" spans="1:4" x14ac:dyDescent="0.2">
      <c r="A724" s="5">
        <v>663</v>
      </c>
      <c r="B724" s="1832">
        <f>'Expenditures 15-22'!C39</f>
        <v>182386</v>
      </c>
      <c r="D724" s="2" t="str">
        <f t="shared" si="10"/>
        <v>Error?</v>
      </c>
    </row>
    <row r="725" spans="1:4" x14ac:dyDescent="0.2">
      <c r="A725" s="5">
        <v>664</v>
      </c>
      <c r="B725" s="1832">
        <f>'Expenditures 15-22'!C40</f>
        <v>297064</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1284163</v>
      </c>
      <c r="C727" s="2" t="s">
        <v>569</v>
      </c>
      <c r="D727" s="2" t="str">
        <f t="shared" si="10"/>
        <v>Error?</v>
      </c>
    </row>
    <row r="728" spans="1:4" x14ac:dyDescent="0.2">
      <c r="A728" s="5">
        <v>667</v>
      </c>
      <c r="B728" s="1832">
        <f>'Expenditures 15-22'!C44</f>
        <v>566120</v>
      </c>
      <c r="D728" s="2" t="str">
        <f t="shared" si="10"/>
        <v>Error?</v>
      </c>
    </row>
    <row r="729" spans="1:4" x14ac:dyDescent="0.2">
      <c r="A729" s="5">
        <v>668</v>
      </c>
      <c r="B729" s="1832">
        <f>'Expenditures 15-22'!C45</f>
        <v>195673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761793</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370067</v>
      </c>
      <c r="D733" s="2" t="str">
        <f t="shared" si="10"/>
        <v>Error?</v>
      </c>
    </row>
    <row r="734" spans="1:4" x14ac:dyDescent="0.2">
      <c r="A734" s="5">
        <v>673</v>
      </c>
      <c r="B734" s="1832">
        <f>'Expenditures 15-22'!C53</f>
        <v>619731</v>
      </c>
      <c r="C734" s="2" t="s">
        <v>569</v>
      </c>
      <c r="D734" s="2" t="str">
        <f t="shared" si="10"/>
        <v>Error?</v>
      </c>
    </row>
    <row r="735" spans="1:4" x14ac:dyDescent="0.2">
      <c r="A735" s="5">
        <v>674</v>
      </c>
      <c r="B735" s="1832">
        <f>'Expenditures 15-22'!C55</f>
        <v>1176724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1176724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186929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309188</v>
      </c>
      <c r="D742" s="2" t="str">
        <f t="shared" si="10"/>
        <v>Error?</v>
      </c>
    </row>
    <row r="743" spans="1:4" x14ac:dyDescent="0.2">
      <c r="A743" s="5">
        <v>682</v>
      </c>
      <c r="B743" s="1832">
        <f>'Expenditures 15-22'!C64</f>
        <v>37920</v>
      </c>
      <c r="D743" s="2" t="str">
        <f t="shared" si="10"/>
        <v>Error?</v>
      </c>
    </row>
    <row r="744" spans="1:4" x14ac:dyDescent="0.2">
      <c r="A744" s="10">
        <v>683</v>
      </c>
      <c r="B744" s="1832"/>
      <c r="D744" s="2" t="str">
        <f t="shared" si="10"/>
        <v>OK</v>
      </c>
    </row>
    <row r="745" spans="1:4" x14ac:dyDescent="0.2">
      <c r="A745" s="5">
        <v>684</v>
      </c>
      <c r="B745" s="1832">
        <f>'Expenditures 15-22'!C65</f>
        <v>534037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67272</v>
      </c>
      <c r="D751" s="2" t="str">
        <f t="shared" si="10"/>
        <v>Error?</v>
      </c>
    </row>
    <row r="752" spans="1:4" x14ac:dyDescent="0.2">
      <c r="A752" s="10">
        <v>691</v>
      </c>
      <c r="B752" s="1832"/>
      <c r="D752" s="2" t="str">
        <f t="shared" si="10"/>
        <v>OK</v>
      </c>
    </row>
    <row r="753" spans="1:4" x14ac:dyDescent="0.2">
      <c r="A753" s="5">
        <v>692</v>
      </c>
      <c r="B753" s="1832">
        <f>'Expenditures 15-22'!C72</f>
        <v>67272</v>
      </c>
      <c r="C753" s="2" t="s">
        <v>569</v>
      </c>
      <c r="D753" s="2" t="str">
        <f t="shared" si="10"/>
        <v>Error?</v>
      </c>
    </row>
    <row r="754" spans="1:4" x14ac:dyDescent="0.2">
      <c r="A754" s="5">
        <v>693</v>
      </c>
      <c r="B754" s="1832">
        <f>'Expenditures 15-22'!C73</f>
        <v>15748</v>
      </c>
      <c r="D754" s="2" t="str">
        <f t="shared" si="10"/>
        <v>Error?</v>
      </c>
    </row>
    <row r="755" spans="1:4" x14ac:dyDescent="0.2">
      <c r="A755" s="5">
        <v>694</v>
      </c>
      <c r="B755" s="1832">
        <f>'Expenditures 15-22'!C74</f>
        <v>4459468</v>
      </c>
      <c r="C755" s="2" t="s">
        <v>569</v>
      </c>
      <c r="D755" s="2" t="str">
        <f t="shared" si="10"/>
        <v>Error?</v>
      </c>
    </row>
    <row r="756" spans="1:4" x14ac:dyDescent="0.2">
      <c r="A756" s="5">
        <v>695</v>
      </c>
      <c r="B756" s="1832">
        <f>'Expenditures 15-22'!C75</f>
        <v>43945</v>
      </c>
      <c r="D756" s="2" t="str">
        <f t="shared" si="10"/>
        <v>Error?</v>
      </c>
    </row>
    <row r="757" spans="1:4" x14ac:dyDescent="0.2">
      <c r="A757" s="5">
        <v>696</v>
      </c>
      <c r="B757" s="1832">
        <f>'Expenditures 15-22'!C114</f>
        <v>13919024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1087603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156143</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1612</v>
      </c>
      <c r="D776" s="2" t="str">
        <f t="shared" si="11"/>
        <v>Error?</v>
      </c>
    </row>
    <row r="777" spans="1:4" x14ac:dyDescent="0.2">
      <c r="A777" s="5">
        <v>716</v>
      </c>
      <c r="B777" s="1832">
        <f>'Expenditures 15-22'!D15</f>
        <v>662</v>
      </c>
      <c r="D777" s="2" t="str">
        <f t="shared" si="11"/>
        <v>Error?</v>
      </c>
    </row>
    <row r="778" spans="1:4" x14ac:dyDescent="0.2">
      <c r="A778" s="5">
        <v>717</v>
      </c>
      <c r="B778" s="1832">
        <f>'Expenditures 15-22'!D33</f>
        <v>1636937</v>
      </c>
      <c r="C778" s="2" t="s">
        <v>569</v>
      </c>
      <c r="D778" s="2" t="str">
        <f t="shared" si="11"/>
        <v>Error?</v>
      </c>
    </row>
    <row r="779" spans="1:4" x14ac:dyDescent="0.2">
      <c r="A779" s="5">
        <v>718</v>
      </c>
      <c r="B779" s="1832">
        <f>'Expenditures 15-22'!D36</f>
        <v>92128</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55667</v>
      </c>
      <c r="D781" s="2" t="str">
        <f t="shared" si="11"/>
        <v>Error?</v>
      </c>
    </row>
    <row r="782" spans="1:4" x14ac:dyDescent="0.2">
      <c r="A782" s="5">
        <v>721</v>
      </c>
      <c r="B782" s="1832">
        <f>'Expenditures 15-22'!D39</f>
        <v>15443</v>
      </c>
      <c r="D782" s="2" t="str">
        <f t="shared" si="11"/>
        <v>Error?</v>
      </c>
    </row>
    <row r="783" spans="1:4" x14ac:dyDescent="0.2">
      <c r="A783" s="5">
        <v>722</v>
      </c>
      <c r="B783" s="1832">
        <f>'Expenditures 15-22'!D40</f>
        <v>43878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207116</v>
      </c>
      <c r="C785" s="2" t="s">
        <v>569</v>
      </c>
      <c r="D785" s="2" t="str">
        <f t="shared" si="11"/>
        <v>Error?</v>
      </c>
    </row>
    <row r="786" spans="1:4" x14ac:dyDescent="0.2">
      <c r="A786" s="5">
        <v>725</v>
      </c>
      <c r="B786" s="1832">
        <f>'Expenditures 15-22'!D44</f>
        <v>66491</v>
      </c>
      <c r="D786" s="2" t="str">
        <f t="shared" si="11"/>
        <v>Error?</v>
      </c>
    </row>
    <row r="787" spans="1:4" x14ac:dyDescent="0.2">
      <c r="A787" s="5">
        <v>726</v>
      </c>
      <c r="B787" s="1832">
        <f>'Expenditures 15-22'!D45</f>
        <v>39935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106426</v>
      </c>
      <c r="C789" s="2" t="s">
        <v>569</v>
      </c>
      <c r="D789" s="2" t="str">
        <f t="shared" si="11"/>
        <v>Error?</v>
      </c>
    </row>
    <row r="790" spans="1:4" x14ac:dyDescent="0.2">
      <c r="A790" s="5">
        <v>729</v>
      </c>
      <c r="B790" s="1832">
        <f>'Expenditures 15-22'!D49</f>
        <v>26591</v>
      </c>
      <c r="D790" s="2" t="str">
        <f t="shared" si="11"/>
        <v>Error?</v>
      </c>
    </row>
    <row r="791" spans="1:4" x14ac:dyDescent="0.2">
      <c r="A791" s="5">
        <v>730</v>
      </c>
      <c r="B791" s="1832">
        <f>'Expenditures 15-22'!D50</f>
        <v>52263</v>
      </c>
      <c r="D791" s="2" t="str">
        <f t="shared" si="11"/>
        <v>Error?</v>
      </c>
    </row>
    <row r="792" spans="1:4" x14ac:dyDescent="0.2">
      <c r="A792" s="5">
        <v>731</v>
      </c>
      <c r="B792" s="1832">
        <f>'Expenditures 15-22'!D53</f>
        <v>125162</v>
      </c>
      <c r="C792" s="2" t="s">
        <v>569</v>
      </c>
      <c r="D792" s="2" t="str">
        <f t="shared" si="11"/>
        <v>Error?</v>
      </c>
    </row>
    <row r="793" spans="1:4" x14ac:dyDescent="0.2">
      <c r="A793" s="5">
        <v>732</v>
      </c>
      <c r="B793" s="1832">
        <f>'Expenditures 15-22'!D55</f>
        <v>240867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240867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28826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81135</v>
      </c>
      <c r="D800" s="2" t="str">
        <f t="shared" si="11"/>
        <v>Error?</v>
      </c>
    </row>
    <row r="801" spans="1:4" x14ac:dyDescent="0.2">
      <c r="A801" s="5">
        <v>740</v>
      </c>
      <c r="B801" s="1832">
        <f>'Expenditures 15-22'!D64</f>
        <v>355</v>
      </c>
      <c r="D801" s="2" t="str">
        <f t="shared" si="11"/>
        <v>Error?</v>
      </c>
    </row>
    <row r="802" spans="1:4" x14ac:dyDescent="0.2">
      <c r="A802" s="10">
        <v>741</v>
      </c>
      <c r="B802" s="1832"/>
      <c r="D802" s="2" t="str">
        <f t="shared" si="11"/>
        <v>OK</v>
      </c>
    </row>
    <row r="803" spans="1:4" x14ac:dyDescent="0.2">
      <c r="A803" s="5">
        <v>742</v>
      </c>
      <c r="B803" s="1832">
        <f>'Expenditures 15-22'!D65</f>
        <v>110316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44</v>
      </c>
      <c r="D809" s="2" t="str">
        <f t="shared" si="11"/>
        <v>Error?</v>
      </c>
    </row>
    <row r="810" spans="1:4" x14ac:dyDescent="0.2">
      <c r="A810" s="10">
        <v>749</v>
      </c>
      <c r="B810" s="1832"/>
      <c r="D810" s="2" t="str">
        <f t="shared" si="11"/>
        <v>OK</v>
      </c>
    </row>
    <row r="811" spans="1:4" x14ac:dyDescent="0.2">
      <c r="A811" s="5">
        <v>750</v>
      </c>
      <c r="B811" s="1832">
        <f>'Expenditures 15-22'!D72</f>
        <v>44</v>
      </c>
      <c r="C811" s="2" t="s">
        <v>569</v>
      </c>
      <c r="D811" s="2" t="str">
        <f t="shared" si="11"/>
        <v>Error?</v>
      </c>
    </row>
    <row r="812" spans="1:4" x14ac:dyDescent="0.2">
      <c r="A812" s="5">
        <v>751</v>
      </c>
      <c r="B812" s="1832">
        <f>'Expenditures 15-22'!D73</f>
        <v>384</v>
      </c>
      <c r="D812" s="2" t="str">
        <f t="shared" si="11"/>
        <v>Error?</v>
      </c>
    </row>
    <row r="813" spans="1:4" x14ac:dyDescent="0.2">
      <c r="A813" s="5">
        <v>752</v>
      </c>
      <c r="B813" s="1832">
        <f>'Expenditures 15-22'!D74</f>
        <v>790315</v>
      </c>
      <c r="C813" s="2" t="s">
        <v>569</v>
      </c>
      <c r="D813" s="2" t="str">
        <f t="shared" si="11"/>
        <v>Error?</v>
      </c>
    </row>
    <row r="814" spans="1:4" x14ac:dyDescent="0.2">
      <c r="A814" s="5">
        <v>753</v>
      </c>
      <c r="B814" s="1832">
        <f>'Expenditures 15-22'!D75</f>
        <v>8320</v>
      </c>
      <c r="D814" s="2" t="str">
        <f t="shared" si="11"/>
        <v>Error?</v>
      </c>
    </row>
    <row r="815" spans="1:4" x14ac:dyDescent="0.2">
      <c r="A815" s="5">
        <v>754</v>
      </c>
      <c r="B815" s="1832">
        <f>'Expenditures 15-22'!D114</f>
        <v>2435572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181174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2687</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9327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293520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678</v>
      </c>
      <c r="D839" s="2" t="str">
        <f t="shared" si="12"/>
        <v>Error?</v>
      </c>
    </row>
    <row r="840" spans="1:4" x14ac:dyDescent="0.2">
      <c r="A840" s="5">
        <v>779</v>
      </c>
      <c r="B840" s="1832">
        <f>'Expenditures 15-22'!E39</f>
        <v>83196</v>
      </c>
      <c r="D840" s="2" t="str">
        <f t="shared" si="12"/>
        <v>Error?</v>
      </c>
    </row>
    <row r="841" spans="1:4" x14ac:dyDescent="0.2">
      <c r="A841" s="5">
        <v>780</v>
      </c>
      <c r="B841" s="1832">
        <f>'Expenditures 15-22'!E40</f>
        <v>98743</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182617</v>
      </c>
      <c r="C843" s="2" t="s">
        <v>569</v>
      </c>
      <c r="D843" s="2" t="str">
        <f t="shared" si="12"/>
        <v>Error?</v>
      </c>
    </row>
    <row r="844" spans="1:4" x14ac:dyDescent="0.2">
      <c r="A844" s="5">
        <v>783</v>
      </c>
      <c r="B844" s="1832">
        <f>'Expenditures 15-22'!E44</f>
        <v>97143</v>
      </c>
      <c r="D844" s="2" t="str">
        <f t="shared" si="12"/>
        <v>Error?</v>
      </c>
    </row>
    <row r="845" spans="1:4" x14ac:dyDescent="0.2">
      <c r="A845" s="5">
        <v>784</v>
      </c>
      <c r="B845" s="1832">
        <f>'Expenditures 15-22'!E45</f>
        <v>144524</v>
      </c>
      <c r="D845" s="2" t="str">
        <f t="shared" si="12"/>
        <v>Error?</v>
      </c>
    </row>
    <row r="846" spans="1:4" x14ac:dyDescent="0.2">
      <c r="A846" s="5">
        <v>785</v>
      </c>
      <c r="B846" s="1832">
        <f>'Expenditures 15-22'!E46</f>
        <v>22621</v>
      </c>
      <c r="D846" s="2" t="str">
        <f t="shared" si="12"/>
        <v>Error?</v>
      </c>
    </row>
    <row r="847" spans="1:4" x14ac:dyDescent="0.2">
      <c r="A847" s="5">
        <v>786</v>
      </c>
      <c r="B847" s="1832">
        <f>'Expenditures 15-22'!E47</f>
        <v>264288</v>
      </c>
      <c r="C847" s="2" t="s">
        <v>569</v>
      </c>
      <c r="D847" s="2" t="str">
        <f t="shared" si="12"/>
        <v>Error?</v>
      </c>
    </row>
    <row r="848" spans="1:4" x14ac:dyDescent="0.2">
      <c r="A848" s="5">
        <v>787</v>
      </c>
      <c r="B848" s="1832">
        <f>'Expenditures 15-22'!E49</f>
        <v>124907</v>
      </c>
      <c r="D848" s="2" t="str">
        <f t="shared" si="12"/>
        <v>Error?</v>
      </c>
    </row>
    <row r="849" spans="1:4" x14ac:dyDescent="0.2">
      <c r="A849" s="5">
        <v>788</v>
      </c>
      <c r="B849" s="1832">
        <f>'Expenditures 15-22'!E50</f>
        <v>51014</v>
      </c>
      <c r="D849" s="2" t="str">
        <f t="shared" si="12"/>
        <v>Error?</v>
      </c>
    </row>
    <row r="850" spans="1:4" x14ac:dyDescent="0.2">
      <c r="A850" s="5">
        <v>789</v>
      </c>
      <c r="B850" s="1832">
        <f>'Expenditures 15-22'!E53</f>
        <v>184546</v>
      </c>
      <c r="C850" s="2" t="s">
        <v>569</v>
      </c>
      <c r="D850" s="2" t="str">
        <f t="shared" si="12"/>
        <v>Error?</v>
      </c>
    </row>
    <row r="851" spans="1:4" x14ac:dyDescent="0.2">
      <c r="A851" s="5">
        <v>790</v>
      </c>
      <c r="B851" s="1832">
        <f>'Expenditures 15-22'!E55</f>
        <v>64558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64558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12062</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9065</v>
      </c>
      <c r="D858" s="2" t="str">
        <f t="shared" si="12"/>
        <v>Error?</v>
      </c>
    </row>
    <row r="859" spans="1:4" x14ac:dyDescent="0.2">
      <c r="A859" s="5">
        <v>798</v>
      </c>
      <c r="B859" s="1832">
        <f>'Expenditures 15-22'!E64</f>
        <v>31</v>
      </c>
      <c r="D859" s="2" t="str">
        <f t="shared" si="12"/>
        <v>Error?</v>
      </c>
    </row>
    <row r="860" spans="1:4" x14ac:dyDescent="0.2">
      <c r="A860" s="10">
        <v>799</v>
      </c>
      <c r="B860" s="1832"/>
      <c r="D860" s="2" t="str">
        <f t="shared" si="12"/>
        <v>OK</v>
      </c>
    </row>
    <row r="861" spans="1:4" x14ac:dyDescent="0.2">
      <c r="A861" s="5">
        <v>800</v>
      </c>
      <c r="B861" s="1832">
        <f>'Expenditures 15-22'!E65</f>
        <v>21158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715</v>
      </c>
      <c r="D865" s="2" t="str">
        <f t="shared" si="12"/>
        <v>Error?</v>
      </c>
    </row>
    <row r="866" spans="1:4" x14ac:dyDescent="0.2">
      <c r="A866" s="10">
        <v>805</v>
      </c>
      <c r="B866" s="1832"/>
      <c r="D866" s="2" t="str">
        <f t="shared" si="12"/>
        <v>OK</v>
      </c>
    </row>
    <row r="867" spans="1:4" x14ac:dyDescent="0.2">
      <c r="A867" s="5">
        <v>806</v>
      </c>
      <c r="B867" s="1832">
        <f>'Expenditures 15-22'!E71</f>
        <v>70875</v>
      </c>
      <c r="D867" s="2" t="str">
        <f t="shared" si="12"/>
        <v>Error?</v>
      </c>
    </row>
    <row r="868" spans="1:4" x14ac:dyDescent="0.2">
      <c r="A868" s="10">
        <v>807</v>
      </c>
      <c r="B868" s="1832"/>
      <c r="D868" s="2" t="str">
        <f t="shared" si="12"/>
        <v>OK</v>
      </c>
    </row>
    <row r="869" spans="1:4" x14ac:dyDescent="0.2">
      <c r="A869" s="5">
        <v>808</v>
      </c>
      <c r="B869" s="1832">
        <f>'Expenditures 15-22'!E72</f>
        <v>71590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788757</v>
      </c>
      <c r="C871" s="2" t="s">
        <v>569</v>
      </c>
      <c r="D871" s="2" t="str">
        <f t="shared" si="12"/>
        <v>Error?</v>
      </c>
    </row>
    <row r="872" spans="1:4" x14ac:dyDescent="0.2">
      <c r="A872" s="5">
        <v>811</v>
      </c>
      <c r="B872" s="1832">
        <f>'Expenditures 15-22'!E75</f>
        <v>140406</v>
      </c>
      <c r="D872" s="2" t="str">
        <f t="shared" si="12"/>
        <v>Error?</v>
      </c>
    </row>
    <row r="873" spans="1:4" x14ac:dyDescent="0.2">
      <c r="A873" s="5">
        <v>812</v>
      </c>
      <c r="B873" s="1832">
        <f>'Expenditures 15-22'!E114</f>
        <v>1332729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453977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23201</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5672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556872</v>
      </c>
      <c r="C894" s="2" t="s">
        <v>569</v>
      </c>
      <c r="D894" s="2" t="str">
        <f t="shared" si="12"/>
        <v>Error?</v>
      </c>
    </row>
    <row r="895" spans="1:4" x14ac:dyDescent="0.2">
      <c r="A895" s="5">
        <v>834</v>
      </c>
      <c r="B895" s="1832">
        <f>'Expenditures 15-22'!F36</f>
        <v>2025</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3308</v>
      </c>
      <c r="D897" s="2" t="str">
        <f t="shared" si="13"/>
        <v>Error?</v>
      </c>
    </row>
    <row r="898" spans="1:4" x14ac:dyDescent="0.2">
      <c r="A898" s="5">
        <v>837</v>
      </c>
      <c r="B898" s="1832">
        <f>'Expenditures 15-22'!F39</f>
        <v>4716</v>
      </c>
      <c r="D898" s="2" t="str">
        <f t="shared" si="13"/>
        <v>Error?</v>
      </c>
    </row>
    <row r="899" spans="1:4" x14ac:dyDescent="0.2">
      <c r="A899" s="5">
        <v>838</v>
      </c>
      <c r="B899" s="1832">
        <f>'Expenditures 15-22'!F40</f>
        <v>6322</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16371</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49579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49579</v>
      </c>
      <c r="C905" s="2" t="s">
        <v>569</v>
      </c>
      <c r="D905" s="2" t="str">
        <f t="shared" si="13"/>
        <v>Error?</v>
      </c>
    </row>
    <row r="906" spans="1:4" x14ac:dyDescent="0.2">
      <c r="A906" s="5">
        <v>845</v>
      </c>
      <c r="B906" s="1832">
        <f>'Expenditures 15-22'!F49</f>
        <v>7188</v>
      </c>
      <c r="D906" s="2" t="str">
        <f t="shared" si="13"/>
        <v>Error?</v>
      </c>
    </row>
    <row r="907" spans="1:4" x14ac:dyDescent="0.2">
      <c r="A907" s="5">
        <v>846</v>
      </c>
      <c r="B907" s="1832">
        <f>'Expenditures 15-22'!F50</f>
        <v>10821</v>
      </c>
      <c r="D907" s="2" t="str">
        <f t="shared" si="13"/>
        <v>Error?</v>
      </c>
    </row>
    <row r="908" spans="1:4" x14ac:dyDescent="0.2">
      <c r="A908" s="5">
        <v>847</v>
      </c>
      <c r="B908" s="1832">
        <f>'Expenditures 15-22'!F53</f>
        <v>24274</v>
      </c>
      <c r="C908" s="2" t="s">
        <v>569</v>
      </c>
      <c r="D908" s="2" t="str">
        <f t="shared" si="13"/>
        <v>Error?</v>
      </c>
    </row>
    <row r="909" spans="1:4" x14ac:dyDescent="0.2">
      <c r="A909" s="5">
        <v>848</v>
      </c>
      <c r="B909" s="1832">
        <f>'Expenditures 15-22'!F55</f>
        <v>18105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18105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1194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461677</v>
      </c>
      <c r="D916" s="2" t="str">
        <f t="shared" si="13"/>
        <v>Error?</v>
      </c>
    </row>
    <row r="917" spans="1:4" x14ac:dyDescent="0.2">
      <c r="A917" s="5">
        <v>856</v>
      </c>
      <c r="B917" s="1832">
        <f>'Expenditures 15-22'!F64</f>
        <v>19059</v>
      </c>
      <c r="D917" s="2" t="str">
        <f t="shared" si="13"/>
        <v>Error?</v>
      </c>
    </row>
    <row r="918" spans="1:4" x14ac:dyDescent="0.2">
      <c r="A918" s="10">
        <v>857</v>
      </c>
      <c r="B918" s="1832"/>
      <c r="D918" s="2" t="str">
        <f t="shared" si="13"/>
        <v>OK</v>
      </c>
    </row>
    <row r="919" spans="1:4" x14ac:dyDescent="0.2">
      <c r="A919" s="5">
        <v>858</v>
      </c>
      <c r="B919" s="1832">
        <f>'Expenditures 15-22'!F65</f>
        <v>481930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7509</v>
      </c>
      <c r="D928" s="2" t="str">
        <f t="shared" si="13"/>
        <v>Error?</v>
      </c>
    </row>
    <row r="929" spans="1:4" x14ac:dyDescent="0.2">
      <c r="A929" s="5">
        <v>868</v>
      </c>
      <c r="B929" s="1832">
        <f>'Expenditures 15-22'!F74</f>
        <v>597768</v>
      </c>
      <c r="C929" s="2" t="s">
        <v>569</v>
      </c>
      <c r="D929" s="2" t="str">
        <f t="shared" si="13"/>
        <v>Error?</v>
      </c>
    </row>
    <row r="930" spans="1:4" x14ac:dyDescent="0.2">
      <c r="A930" s="5">
        <v>869</v>
      </c>
      <c r="B930" s="1832">
        <f>'Expenditures 15-22'!F75</f>
        <v>28658</v>
      </c>
      <c r="D930" s="2" t="str">
        <f t="shared" si="13"/>
        <v>Error?</v>
      </c>
    </row>
    <row r="931" spans="1:4" x14ac:dyDescent="0.2">
      <c r="A931" s="5">
        <v>870</v>
      </c>
      <c r="B931" s="1832">
        <f>'Expenditures 15-22'!F114</f>
        <v>1183298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39771</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43362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3119</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3119</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172737</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172737</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25721</v>
      </c>
      <c r="D974" s="2" t="str">
        <f t="shared" si="14"/>
        <v>Error?</v>
      </c>
    </row>
    <row r="975" spans="1:4" x14ac:dyDescent="0.2">
      <c r="A975" s="5">
        <v>914</v>
      </c>
      <c r="B975" s="1832">
        <f>'Expenditures 15-22'!G64</f>
        <v>17500</v>
      </c>
      <c r="D975" s="2" t="str">
        <f t="shared" si="14"/>
        <v>Error?</v>
      </c>
    </row>
    <row r="976" spans="1:4" x14ac:dyDescent="0.2">
      <c r="A976" s="10">
        <v>915</v>
      </c>
      <c r="B976" s="1832"/>
      <c r="D976" s="2" t="str">
        <f t="shared" si="14"/>
        <v>OK</v>
      </c>
    </row>
    <row r="977" spans="1:4" x14ac:dyDescent="0.2">
      <c r="A977" s="5">
        <v>916</v>
      </c>
      <c r="B977" s="1832">
        <f>'Expenditures 15-22'!G65</f>
        <v>43221</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1259</v>
      </c>
      <c r="D986" s="2" t="str">
        <f t="shared" si="14"/>
        <v>Error?</v>
      </c>
    </row>
    <row r="987" spans="1:4" x14ac:dyDescent="0.2">
      <c r="A987" s="5">
        <v>926</v>
      </c>
      <c r="B987" s="1832">
        <f>'Expenditures 15-22'!G74</f>
        <v>220336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263698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390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1488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1878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550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550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51699</v>
      </c>
      <c r="D1022" s="2" t="str">
        <f t="shared" si="14"/>
        <v>Error?</v>
      </c>
    </row>
    <row r="1023" spans="1:4" x14ac:dyDescent="0.2">
      <c r="A1023" s="5">
        <v>962</v>
      </c>
      <c r="B1023" s="1832">
        <f>'Expenditures 15-22'!H50</f>
        <v>4002</v>
      </c>
      <c r="D1023" s="2" t="str">
        <f t="shared" ref="D1023:D1086" si="15">IF(ISBLANK(B1023),"OK",IF(A1023-B1023=0,"OK","Error?"))</f>
        <v>Error?</v>
      </c>
    </row>
    <row r="1024" spans="1:4" x14ac:dyDescent="0.2">
      <c r="A1024" s="5">
        <v>963</v>
      </c>
      <c r="B1024" s="1832">
        <f>'Expenditures 15-22'!H53</f>
        <v>57142</v>
      </c>
      <c r="C1024" s="2" t="s">
        <v>569</v>
      </c>
      <c r="D1024" s="2" t="str">
        <f t="shared" si="15"/>
        <v>Error?</v>
      </c>
    </row>
    <row r="1025" spans="1:4" x14ac:dyDescent="0.2">
      <c r="A1025" s="5">
        <v>964</v>
      </c>
      <c r="B1025" s="1832">
        <f>'Expenditures 15-22'!H55</f>
        <v>5634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5634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1989</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1989</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65315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840932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908125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7746275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1186700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71969</v>
      </c>
      <c r="C1106" s="2" t="s">
        <v>569</v>
      </c>
      <c r="D1106" s="2" t="str">
        <f t="shared" si="16"/>
        <v>Error?</v>
      </c>
    </row>
    <row r="1107" spans="1:4" x14ac:dyDescent="0.2">
      <c r="A1107" s="5">
        <v>1046</v>
      </c>
      <c r="B1107" s="1832">
        <f>'Expenditures 15-22'!K15</f>
        <v>8837</v>
      </c>
      <c r="C1107" s="2" t="s">
        <v>569</v>
      </c>
      <c r="D1107" s="2" t="str">
        <f t="shared" si="16"/>
        <v>Error?</v>
      </c>
    </row>
    <row r="1108" spans="1:4" x14ac:dyDescent="0.2">
      <c r="A1108" s="5">
        <v>1047</v>
      </c>
      <c r="B1108" s="1832">
        <f>'Expenditures 15-22'!K33</f>
        <v>11948180</v>
      </c>
      <c r="C1108" s="2" t="s">
        <v>569</v>
      </c>
      <c r="D1108" s="2" t="str">
        <f t="shared" si="16"/>
        <v>Error?</v>
      </c>
    </row>
    <row r="1109" spans="1:4" x14ac:dyDescent="0.2">
      <c r="A1109" s="5">
        <v>1048</v>
      </c>
      <c r="B1109" s="1832">
        <f>'Expenditures 15-22'!K36</f>
        <v>567323</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394315</v>
      </c>
      <c r="C1111" s="2" t="s">
        <v>569</v>
      </c>
      <c r="D1111" s="2" t="str">
        <f t="shared" si="16"/>
        <v>Error?</v>
      </c>
    </row>
    <row r="1112" spans="1:4" x14ac:dyDescent="0.2">
      <c r="A1112" s="5">
        <v>1051</v>
      </c>
      <c r="B1112" s="1832">
        <f>'Expenditures 15-22'!K39</f>
        <v>285741</v>
      </c>
      <c r="C1112" s="2" t="s">
        <v>569</v>
      </c>
      <c r="D1112" s="2" t="str">
        <f t="shared" si="16"/>
        <v>Error?</v>
      </c>
    </row>
    <row r="1113" spans="1:4" x14ac:dyDescent="0.2">
      <c r="A1113" s="5">
        <v>1052</v>
      </c>
      <c r="B1113" s="1832">
        <f>'Expenditures 15-22'!K40</f>
        <v>446557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1693936</v>
      </c>
      <c r="C1115" s="2" t="s">
        <v>569</v>
      </c>
      <c r="D1115" s="2" t="str">
        <f t="shared" si="16"/>
        <v>Error?</v>
      </c>
    </row>
    <row r="1116" spans="1:4" x14ac:dyDescent="0.2">
      <c r="A1116" s="5">
        <v>1055</v>
      </c>
      <c r="B1116" s="1832">
        <f>'Expenditures 15-22'!K44</f>
        <v>729754</v>
      </c>
      <c r="C1116" s="2" t="s">
        <v>569</v>
      </c>
      <c r="D1116" s="2" t="str">
        <f t="shared" si="16"/>
        <v>Error?</v>
      </c>
    </row>
    <row r="1117" spans="1:4" x14ac:dyDescent="0.2">
      <c r="A1117" s="5">
        <v>1056</v>
      </c>
      <c r="B1117" s="1832">
        <f>'Expenditures 15-22'!K45</f>
        <v>602448</v>
      </c>
      <c r="C1117" s="2" t="s">
        <v>569</v>
      </c>
      <c r="D1117" s="2" t="str">
        <f t="shared" si="16"/>
        <v>Error?</v>
      </c>
    </row>
    <row r="1118" spans="1:4" x14ac:dyDescent="0.2">
      <c r="A1118" s="5">
        <v>1057</v>
      </c>
      <c r="B1118" s="1832">
        <f>'Expenditures 15-22'!K46</f>
        <v>22621</v>
      </c>
      <c r="C1118" s="2" t="s">
        <v>569</v>
      </c>
      <c r="D1118" s="2" t="str">
        <f t="shared" si="16"/>
        <v>Error?</v>
      </c>
    </row>
    <row r="1119" spans="1:4" x14ac:dyDescent="0.2">
      <c r="A1119" s="5">
        <v>1058</v>
      </c>
      <c r="B1119" s="1832">
        <f>'Expenditures 15-22'!K47</f>
        <v>1354823</v>
      </c>
      <c r="C1119" s="2" t="s">
        <v>569</v>
      </c>
      <c r="D1119" s="2" t="str">
        <f t="shared" si="16"/>
        <v>Error?</v>
      </c>
    </row>
    <row r="1120" spans="1:4" x14ac:dyDescent="0.2">
      <c r="A1120" s="5">
        <v>1059</v>
      </c>
      <c r="B1120" s="1832">
        <f>'Expenditures 15-22'!K49</f>
        <v>210385</v>
      </c>
      <c r="C1120" s="2" t="s">
        <v>569</v>
      </c>
      <c r="D1120" s="2" t="str">
        <f t="shared" si="16"/>
        <v>Error?</v>
      </c>
    </row>
    <row r="1121" spans="1:4" x14ac:dyDescent="0.2">
      <c r="A1121" s="5">
        <v>1060</v>
      </c>
      <c r="B1121" s="1832">
        <f>'Expenditures 15-22'!K50</f>
        <v>488167</v>
      </c>
      <c r="C1121" s="2" t="s">
        <v>569</v>
      </c>
      <c r="D1121" s="2" t="str">
        <f t="shared" si="16"/>
        <v>Error?</v>
      </c>
    </row>
    <row r="1122" spans="1:4" x14ac:dyDescent="0.2">
      <c r="A1122" s="5">
        <v>1061</v>
      </c>
      <c r="B1122" s="1832">
        <f>'Expenditures 15-22'!K53</f>
        <v>1010855</v>
      </c>
      <c r="C1122" s="2" t="s">
        <v>569</v>
      </c>
      <c r="D1122" s="2" t="str">
        <f t="shared" si="16"/>
        <v>Error?</v>
      </c>
    </row>
    <row r="1123" spans="1:4" x14ac:dyDescent="0.2">
      <c r="A1123" s="5">
        <v>1062</v>
      </c>
      <c r="B1123" s="1832">
        <f>'Expenditures 15-22'!K55</f>
        <v>1505888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1505888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229011</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888775</v>
      </c>
      <c r="C1130" s="2" t="s">
        <v>569</v>
      </c>
      <c r="D1130" s="2" t="str">
        <f t="shared" si="16"/>
        <v>Error?</v>
      </c>
    </row>
    <row r="1131" spans="1:4" x14ac:dyDescent="0.2">
      <c r="A1131" s="5">
        <v>1070</v>
      </c>
      <c r="B1131" s="1832">
        <f>'Expenditures 15-22'!K64</f>
        <v>74865</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1192651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715</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138191</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138906</v>
      </c>
      <c r="C1141" s="2" t="s">
        <v>569</v>
      </c>
      <c r="D1141" s="2" t="str">
        <f t="shared" si="16"/>
        <v>Error?</v>
      </c>
    </row>
    <row r="1142" spans="1:4" x14ac:dyDescent="0.2">
      <c r="A1142" s="5">
        <v>1081</v>
      </c>
      <c r="B1142" s="1832">
        <f>'Expenditures 15-22'!K73</f>
        <v>24900</v>
      </c>
      <c r="C1142" s="2" t="s">
        <v>569</v>
      </c>
      <c r="D1142" s="2" t="str">
        <f t="shared" si="16"/>
        <v>Error?</v>
      </c>
    </row>
    <row r="1143" spans="1:4" x14ac:dyDescent="0.2">
      <c r="A1143" s="5">
        <v>1082</v>
      </c>
      <c r="B1143" s="1832">
        <f>'Expenditures 15-22'!K74</f>
        <v>6921959</v>
      </c>
      <c r="C1143" s="2" t="s">
        <v>569</v>
      </c>
      <c r="D1143" s="2" t="str">
        <f t="shared" si="16"/>
        <v>Error?</v>
      </c>
    </row>
    <row r="1144" spans="1:4" x14ac:dyDescent="0.2">
      <c r="A1144" s="5">
        <v>1083</v>
      </c>
      <c r="B1144" s="1832">
        <f>'Expenditures 15-22'!K75</f>
        <v>221329</v>
      </c>
      <c r="C1144" s="2" t="s">
        <v>569</v>
      </c>
      <c r="D1144" s="2" t="str">
        <f t="shared" si="16"/>
        <v>Error?</v>
      </c>
    </row>
    <row r="1145" spans="1:4" x14ac:dyDescent="0.2">
      <c r="A1145" s="5">
        <v>1084</v>
      </c>
      <c r="B1145" s="1832">
        <f>'Expenditures 15-22'!K102</f>
        <v>950978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20042446</v>
      </c>
      <c r="C1152" s="2" t="s">
        <v>569</v>
      </c>
      <c r="D1152" s="2" t="str">
        <f t="shared" si="17"/>
        <v>Error?</v>
      </c>
    </row>
    <row r="1153" spans="1:4" x14ac:dyDescent="0.2">
      <c r="A1153" s="5">
        <v>1092</v>
      </c>
      <c r="B1153" s="1832">
        <f>'Expenditures 15-22'!K115</f>
        <v>-379327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499870</v>
      </c>
      <c r="D1221" s="2" t="str">
        <f t="shared" si="18"/>
        <v>Error?</v>
      </c>
    </row>
    <row r="1222" spans="1:4" x14ac:dyDescent="0.2">
      <c r="A1222" s="10">
        <v>1161</v>
      </c>
      <c r="B1222" s="1832"/>
      <c r="D1222" s="2" t="str">
        <f t="shared" si="18"/>
        <v>OK</v>
      </c>
    </row>
    <row r="1223" spans="1:4" x14ac:dyDescent="0.2">
      <c r="A1223" s="5">
        <v>1162</v>
      </c>
      <c r="B1223" s="1832">
        <f>'Expenditures 15-22'!C127</f>
        <v>499870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499870</v>
      </c>
      <c r="C1225" s="2" t="s">
        <v>569</v>
      </c>
      <c r="D1225" s="2" t="str">
        <f t="shared" si="18"/>
        <v>Error?</v>
      </c>
    </row>
    <row r="1226" spans="1:4" x14ac:dyDescent="0.2">
      <c r="A1226" s="5">
        <v>1165</v>
      </c>
      <c r="B1226" s="1832">
        <f>'Expenditures 15-22'!C151</f>
        <v>499870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102155</v>
      </c>
      <c r="D1229" s="2" t="str">
        <f t="shared" si="18"/>
        <v>Error?</v>
      </c>
    </row>
    <row r="1230" spans="1:4" x14ac:dyDescent="0.2">
      <c r="A1230" s="10">
        <v>1169</v>
      </c>
      <c r="B1230" s="1832"/>
      <c r="D1230" s="2" t="str">
        <f t="shared" si="18"/>
        <v>OK</v>
      </c>
    </row>
    <row r="1231" spans="1:4" x14ac:dyDescent="0.2">
      <c r="A1231" s="5">
        <v>1170</v>
      </c>
      <c r="B1231" s="1832">
        <f>'Expenditures 15-22'!D127</f>
        <v>102155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102155</v>
      </c>
      <c r="C1233" s="2" t="s">
        <v>569</v>
      </c>
      <c r="D1233" s="2" t="str">
        <f t="shared" si="18"/>
        <v>Error?</v>
      </c>
    </row>
    <row r="1234" spans="1:4" x14ac:dyDescent="0.2">
      <c r="A1234" s="5">
        <v>1173</v>
      </c>
      <c r="B1234" s="1832">
        <f>'Expenditures 15-22'!D151</f>
        <v>102155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384131</v>
      </c>
      <c r="D1237" s="2" t="str">
        <f t="shared" si="18"/>
        <v>Error?</v>
      </c>
    </row>
    <row r="1238" spans="1:4" x14ac:dyDescent="0.2">
      <c r="A1238" s="10">
        <v>1177</v>
      </c>
      <c r="B1238" s="1832"/>
      <c r="D1238" s="2" t="str">
        <f t="shared" si="18"/>
        <v>OK</v>
      </c>
    </row>
    <row r="1239" spans="1:4" x14ac:dyDescent="0.2">
      <c r="A1239" s="5">
        <v>1178</v>
      </c>
      <c r="B1239" s="1832">
        <f>'Expenditures 15-22'!E127</f>
        <v>384131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384131</v>
      </c>
      <c r="C1241" s="2" t="s">
        <v>569</v>
      </c>
      <c r="D1241" s="2" t="str">
        <f t="shared" si="18"/>
        <v>Error?</v>
      </c>
    </row>
    <row r="1242" spans="1:4" x14ac:dyDescent="0.2">
      <c r="A1242" s="5">
        <v>1181</v>
      </c>
      <c r="B1242" s="1832">
        <f>'Expenditures 15-22'!E151</f>
        <v>384131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444227</v>
      </c>
      <c r="D1245" s="2" t="str">
        <f t="shared" si="18"/>
        <v>Error?</v>
      </c>
    </row>
    <row r="1246" spans="1:4" x14ac:dyDescent="0.2">
      <c r="A1246" s="10">
        <v>1185</v>
      </c>
      <c r="B1246" s="1832"/>
      <c r="D1246" s="2" t="str">
        <f t="shared" si="18"/>
        <v>OK</v>
      </c>
    </row>
    <row r="1247" spans="1:4" x14ac:dyDescent="0.2">
      <c r="A1247" s="5">
        <v>1186</v>
      </c>
      <c r="B1247" s="1832">
        <f>'Expenditures 15-22'!F127</f>
        <v>444227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444227</v>
      </c>
      <c r="C1249" s="2" t="s">
        <v>569</v>
      </c>
      <c r="D1249" s="2" t="str">
        <f t="shared" si="18"/>
        <v>Error?</v>
      </c>
    </row>
    <row r="1250" spans="1:4" x14ac:dyDescent="0.2">
      <c r="A1250" s="5">
        <v>1189</v>
      </c>
      <c r="B1250" s="1832">
        <f>'Expenditures 15-22'!F151</f>
        <v>444227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195470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195470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195470</v>
      </c>
      <c r="C1258" s="2" t="s">
        <v>569</v>
      </c>
      <c r="D1258" s="2" t="str">
        <f t="shared" si="18"/>
        <v>Error?</v>
      </c>
    </row>
    <row r="1259" spans="1:4" x14ac:dyDescent="0.2">
      <c r="A1259" s="5">
        <v>1198</v>
      </c>
      <c r="B1259" s="1832">
        <f>'Expenditures 15-22'!G151</f>
        <v>195470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1625853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1625853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1625853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1625853</v>
      </c>
      <c r="C1288" s="2" t="s">
        <v>569</v>
      </c>
      <c r="D1288" s="2" t="str">
        <f t="shared" si="19"/>
        <v>Error?</v>
      </c>
    </row>
    <row r="1289" spans="1:4" x14ac:dyDescent="0.2">
      <c r="A1289" s="5">
        <v>1228</v>
      </c>
      <c r="B1289" s="1832">
        <f>'Expenditures 15-22'!K152</f>
        <v>215217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981852</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905000</v>
      </c>
      <c r="D1315" s="2" t="str">
        <f t="shared" si="19"/>
        <v>Error?</v>
      </c>
    </row>
    <row r="1316" spans="1:4" x14ac:dyDescent="0.2">
      <c r="A1316" s="5">
        <v>1255</v>
      </c>
      <c r="B1316" s="1832">
        <f>'Expenditures 15-22'!H171</f>
        <v>1443</v>
      </c>
      <c r="D1316" s="2" t="str">
        <f t="shared" si="19"/>
        <v>Error?</v>
      </c>
    </row>
    <row r="1317" spans="1:4" x14ac:dyDescent="0.2">
      <c r="A1317" s="5">
        <v>1256</v>
      </c>
      <c r="B1317" s="1832">
        <f>'Expenditures 15-22'!H172</f>
        <v>1888295</v>
      </c>
      <c r="C1317" s="2" t="s">
        <v>569</v>
      </c>
      <c r="D1317" s="2" t="str">
        <f t="shared" si="19"/>
        <v>Error?</v>
      </c>
    </row>
    <row r="1318" spans="1:4" x14ac:dyDescent="0.2">
      <c r="A1318" s="5">
        <v>1257</v>
      </c>
      <c r="B1318" s="1832">
        <f>'Expenditures 15-22'!H174</f>
        <v>1888295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981852</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905000</v>
      </c>
      <c r="C1329" s="2" t="s">
        <v>569</v>
      </c>
      <c r="D1329" s="2" t="str">
        <f t="shared" si="19"/>
        <v>Error?</v>
      </c>
    </row>
    <row r="1330" spans="1:4" x14ac:dyDescent="0.2">
      <c r="A1330" s="5">
        <v>1269</v>
      </c>
      <c r="B1330" s="1832">
        <f>'Expenditures 15-22'!K171</f>
        <v>1443</v>
      </c>
      <c r="C1330" s="2" t="s">
        <v>569</v>
      </c>
      <c r="D1330" s="2" t="str">
        <f t="shared" si="19"/>
        <v>Error?</v>
      </c>
    </row>
    <row r="1331" spans="1:4" x14ac:dyDescent="0.2">
      <c r="A1331" s="5">
        <v>1270</v>
      </c>
      <c r="B1331" s="1832">
        <f>'Expenditures 15-22'!K172</f>
        <v>1888295</v>
      </c>
      <c r="C1331" s="2" t="s">
        <v>569</v>
      </c>
      <c r="D1331" s="2" t="str">
        <f t="shared" si="19"/>
        <v>Error?</v>
      </c>
    </row>
    <row r="1332" spans="1:4" x14ac:dyDescent="0.2">
      <c r="A1332" s="5">
        <v>1271</v>
      </c>
      <c r="B1332" s="1832">
        <f>'Expenditures 15-22'!K174</f>
        <v>1888295</v>
      </c>
      <c r="C1332" s="2" t="s">
        <v>569</v>
      </c>
      <c r="D1332" s="2" t="str">
        <f t="shared" si="19"/>
        <v>Error?</v>
      </c>
    </row>
    <row r="1333" spans="1:4" x14ac:dyDescent="0.2">
      <c r="A1333" s="5">
        <v>1272</v>
      </c>
      <c r="B1333" s="1832">
        <f>'Expenditures 15-22'!K175</f>
        <v>-167701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976747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976747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976747</v>
      </c>
      <c r="C1353" s="2" t="s">
        <v>569</v>
      </c>
      <c r="D1353" s="2" t="str">
        <f t="shared" si="20"/>
        <v>Error?</v>
      </c>
    </row>
    <row r="1354" spans="1:4" x14ac:dyDescent="0.2">
      <c r="A1354" s="5">
        <v>1293</v>
      </c>
      <c r="B1354" s="1832">
        <f>'Expenditures 15-22'!F182</f>
        <v>30894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30894</v>
      </c>
      <c r="C1358" s="2" t="s">
        <v>569</v>
      </c>
      <c r="D1358" s="2" t="str">
        <f t="shared" si="20"/>
        <v>Error?</v>
      </c>
    </row>
    <row r="1359" spans="1:4" x14ac:dyDescent="0.2">
      <c r="A1359" s="5">
        <v>1298</v>
      </c>
      <c r="B1359" s="1832">
        <f>'Expenditures 15-22'!F210</f>
        <v>30894</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1007641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1007641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1007641</v>
      </c>
      <c r="C1388" s="2" t="s">
        <v>569</v>
      </c>
      <c r="D1388" s="2" t="str">
        <f t="shared" si="20"/>
        <v>Error?</v>
      </c>
    </row>
    <row r="1389" spans="1:4" x14ac:dyDescent="0.2">
      <c r="A1389" s="5">
        <v>1328</v>
      </c>
      <c r="B1389" s="1832">
        <f>'Expenditures 15-22'!K211</f>
        <v>-87866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32264</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2609</v>
      </c>
      <c r="D1408" s="2" t="str">
        <f t="shared" si="21"/>
        <v>Error?</v>
      </c>
    </row>
    <row r="1409" spans="1:4" x14ac:dyDescent="0.2">
      <c r="A1409" s="5">
        <v>1348</v>
      </c>
      <c r="B1409" s="1832">
        <f>'Expenditures 15-22'!D224</f>
        <v>346</v>
      </c>
      <c r="D1409" s="2" t="str">
        <f t="shared" si="21"/>
        <v>Error?</v>
      </c>
    </row>
    <row r="1410" spans="1:4" x14ac:dyDescent="0.2">
      <c r="A1410" s="5">
        <v>1349</v>
      </c>
      <c r="B1410" s="1832">
        <f>'Expenditures 15-22'!D229</f>
        <v>271571</v>
      </c>
      <c r="C1410" s="2" t="s">
        <v>569</v>
      </c>
      <c r="D1410" s="2" t="str">
        <f t="shared" si="21"/>
        <v>Error?</v>
      </c>
    </row>
    <row r="1411" spans="1:4" x14ac:dyDescent="0.2">
      <c r="A1411" s="5">
        <v>1350</v>
      </c>
      <c r="B1411" s="1832">
        <f>'Expenditures 15-22'!D232</f>
        <v>11742</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40554</v>
      </c>
      <c r="D1413" s="2" t="str">
        <f t="shared" si="21"/>
        <v>Error?</v>
      </c>
    </row>
    <row r="1414" spans="1:4" x14ac:dyDescent="0.2">
      <c r="A1414" s="5">
        <v>1353</v>
      </c>
      <c r="B1414" s="1832">
        <f>'Expenditures 15-22'!D235</f>
        <v>2612</v>
      </c>
      <c r="D1414" s="2" t="str">
        <f t="shared" si="21"/>
        <v>Error?</v>
      </c>
    </row>
    <row r="1415" spans="1:4" x14ac:dyDescent="0.2">
      <c r="A1415" s="5">
        <v>1354</v>
      </c>
      <c r="B1415" s="1832">
        <f>'Expenditures 15-22'!D236</f>
        <v>4209</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59117</v>
      </c>
      <c r="C1417" s="2" t="s">
        <v>569</v>
      </c>
      <c r="D1417" s="2" t="str">
        <f t="shared" si="21"/>
        <v>Error?</v>
      </c>
    </row>
    <row r="1418" spans="1:4" x14ac:dyDescent="0.2">
      <c r="A1418" s="5">
        <v>1357</v>
      </c>
      <c r="B1418" s="1832">
        <f>'Expenditures 15-22'!D240</f>
        <v>8176</v>
      </c>
      <c r="D1418" s="2" t="str">
        <f t="shared" si="21"/>
        <v>Error?</v>
      </c>
    </row>
    <row r="1419" spans="1:4" x14ac:dyDescent="0.2">
      <c r="A1419" s="5">
        <v>1358</v>
      </c>
      <c r="B1419" s="1832">
        <f>'Expenditures 15-22'!D241</f>
        <v>22054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30230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11900</v>
      </c>
      <c r="D1423" s="2" t="str">
        <f t="shared" si="21"/>
        <v>Error?</v>
      </c>
    </row>
    <row r="1424" spans="1:4" x14ac:dyDescent="0.2">
      <c r="A1424" s="5">
        <v>1363</v>
      </c>
      <c r="B1424" s="1832">
        <f>'Expenditures 15-22'!D257</f>
        <v>21837</v>
      </c>
      <c r="C1424" s="2" t="s">
        <v>569</v>
      </c>
      <c r="D1424" s="2" t="str">
        <f t="shared" si="21"/>
        <v>Error?</v>
      </c>
    </row>
    <row r="1425" spans="1:4" x14ac:dyDescent="0.2">
      <c r="A1425" s="5">
        <v>1364</v>
      </c>
      <c r="B1425" s="1832">
        <f>'Expenditures 15-22'!D259</f>
        <v>53513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53513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26474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80993</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47935</v>
      </c>
      <c r="D1433" s="2" t="str">
        <f t="shared" si="21"/>
        <v>Error?</v>
      </c>
    </row>
    <row r="1434" spans="1:4" x14ac:dyDescent="0.2">
      <c r="A1434" s="5">
        <v>1373</v>
      </c>
      <c r="B1434" s="1832">
        <f>'Expenditures 15-22'!D269</f>
        <v>6765</v>
      </c>
      <c r="D1434" s="2" t="str">
        <f t="shared" si="21"/>
        <v>Error?</v>
      </c>
    </row>
    <row r="1435" spans="1:4" x14ac:dyDescent="0.2">
      <c r="A1435" s="10">
        <v>1374</v>
      </c>
      <c r="B1435" s="1832"/>
      <c r="D1435" s="2" t="str">
        <f t="shared" si="21"/>
        <v>OK</v>
      </c>
    </row>
    <row r="1436" spans="1:4" x14ac:dyDescent="0.2">
      <c r="A1436" s="5">
        <v>1375</v>
      </c>
      <c r="B1436" s="1832">
        <f>'Expenditures 15-22'!D270</f>
        <v>162167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10597</v>
      </c>
      <c r="D1442" s="2" t="str">
        <f t="shared" si="21"/>
        <v>Error?</v>
      </c>
    </row>
    <row r="1443" spans="1:4" x14ac:dyDescent="0.2">
      <c r="A1443" s="10">
        <v>1382</v>
      </c>
      <c r="B1443" s="1832"/>
      <c r="D1443" s="2" t="str">
        <f t="shared" si="21"/>
        <v>OK</v>
      </c>
    </row>
    <row r="1444" spans="1:4" x14ac:dyDescent="0.2">
      <c r="A1444" s="5">
        <v>1383</v>
      </c>
      <c r="B1444" s="1832">
        <f>'Expenditures 15-22'!D277</f>
        <v>10597</v>
      </c>
      <c r="C1444" s="2" t="s">
        <v>569</v>
      </c>
      <c r="D1444" s="2" t="str">
        <f t="shared" si="21"/>
        <v>Error?</v>
      </c>
    </row>
    <row r="1445" spans="1:4" x14ac:dyDescent="0.2">
      <c r="A1445" s="5">
        <v>1384</v>
      </c>
      <c r="B1445" s="1832">
        <f>'Expenditures 15-22'!D278</f>
        <v>382</v>
      </c>
      <c r="D1445" s="2" t="str">
        <f t="shared" si="21"/>
        <v>Error?</v>
      </c>
    </row>
    <row r="1446" spans="1:4" x14ac:dyDescent="0.2">
      <c r="A1446" s="5">
        <v>1385</v>
      </c>
      <c r="B1446" s="1832">
        <f>'Expenditures 15-22'!D279</f>
        <v>337843</v>
      </c>
      <c r="C1446" s="2" t="s">
        <v>569</v>
      </c>
      <c r="D1446" s="2" t="str">
        <f t="shared" si="21"/>
        <v>Error?</v>
      </c>
    </row>
    <row r="1447" spans="1:4" x14ac:dyDescent="0.2">
      <c r="A1447" s="5">
        <v>1386</v>
      </c>
      <c r="B1447" s="1832">
        <f>'Expenditures 15-22'!D280</f>
        <v>6714</v>
      </c>
      <c r="D1447" s="2" t="str">
        <f t="shared" si="21"/>
        <v>Error?</v>
      </c>
    </row>
    <row r="1448" spans="1:4" x14ac:dyDescent="0.2">
      <c r="A1448" s="5">
        <v>1387</v>
      </c>
      <c r="B1448" s="1832">
        <f>'Expenditures 15-22'!D295</f>
        <v>616128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32264</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2609</v>
      </c>
      <c r="C1472" s="2" t="s">
        <v>569</v>
      </c>
      <c r="D1472" s="2" t="str">
        <f t="shared" si="22"/>
        <v>Error?</v>
      </c>
    </row>
    <row r="1473" spans="1:4" x14ac:dyDescent="0.2">
      <c r="A1473" s="5">
        <v>1412</v>
      </c>
      <c r="B1473" s="1832">
        <f>'Expenditures 15-22'!K224</f>
        <v>346</v>
      </c>
      <c r="C1473" s="2" t="s">
        <v>569</v>
      </c>
      <c r="D1473" s="2" t="str">
        <f t="shared" si="22"/>
        <v>Error?</v>
      </c>
    </row>
    <row r="1474" spans="1:4" x14ac:dyDescent="0.2">
      <c r="A1474" s="5">
        <v>1413</v>
      </c>
      <c r="B1474" s="1832">
        <f>'Expenditures 15-22'!K229</f>
        <v>271571</v>
      </c>
      <c r="C1474" s="2" t="s">
        <v>569</v>
      </c>
      <c r="D1474" s="2" t="str">
        <f t="shared" si="22"/>
        <v>Error?</v>
      </c>
    </row>
    <row r="1475" spans="1:4" x14ac:dyDescent="0.2">
      <c r="A1475" s="5">
        <v>1414</v>
      </c>
      <c r="B1475" s="1832">
        <f>'Expenditures 15-22'!K232</f>
        <v>11742</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40554</v>
      </c>
      <c r="C1477" s="2" t="s">
        <v>569</v>
      </c>
      <c r="D1477" s="2" t="str">
        <f t="shared" si="22"/>
        <v>Error?</v>
      </c>
    </row>
    <row r="1478" spans="1:4" x14ac:dyDescent="0.2">
      <c r="A1478" s="5">
        <v>1417</v>
      </c>
      <c r="B1478" s="1832">
        <f>'Expenditures 15-22'!K235</f>
        <v>2612</v>
      </c>
      <c r="C1478" s="2" t="s">
        <v>569</v>
      </c>
      <c r="D1478" s="2" t="str">
        <f t="shared" si="22"/>
        <v>Error?</v>
      </c>
    </row>
    <row r="1479" spans="1:4" x14ac:dyDescent="0.2">
      <c r="A1479" s="5">
        <v>1418</v>
      </c>
      <c r="B1479" s="1832">
        <f>'Expenditures 15-22'!K236</f>
        <v>4209</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59117</v>
      </c>
      <c r="C1481" s="2" t="s">
        <v>569</v>
      </c>
      <c r="D1481" s="2" t="str">
        <f t="shared" si="22"/>
        <v>Error?</v>
      </c>
    </row>
    <row r="1482" spans="1:4" x14ac:dyDescent="0.2">
      <c r="A1482" s="5">
        <v>1421</v>
      </c>
      <c r="B1482" s="1832">
        <f>'Expenditures 15-22'!K240</f>
        <v>8176</v>
      </c>
      <c r="C1482" s="2" t="s">
        <v>569</v>
      </c>
      <c r="D1482" s="2" t="str">
        <f t="shared" si="22"/>
        <v>Error?</v>
      </c>
    </row>
    <row r="1483" spans="1:4" x14ac:dyDescent="0.2">
      <c r="A1483" s="5">
        <v>1422</v>
      </c>
      <c r="B1483" s="1832">
        <f>'Expenditures 15-22'!K241</f>
        <v>22054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30230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11900</v>
      </c>
      <c r="C1487" s="2" t="s">
        <v>569</v>
      </c>
      <c r="D1487" s="2" t="str">
        <f t="shared" si="22"/>
        <v>Error?</v>
      </c>
    </row>
    <row r="1488" spans="1:4" x14ac:dyDescent="0.2">
      <c r="A1488" s="5">
        <v>1427</v>
      </c>
      <c r="B1488" s="1832">
        <f>'Expenditures 15-22'!K257</f>
        <v>21837</v>
      </c>
      <c r="C1488" s="2" t="s">
        <v>569</v>
      </c>
      <c r="D1488" s="2" t="str">
        <f t="shared" si="22"/>
        <v>Error?</v>
      </c>
    </row>
    <row r="1489" spans="1:4" x14ac:dyDescent="0.2">
      <c r="A1489" s="5">
        <v>1428</v>
      </c>
      <c r="B1489" s="1832">
        <f>'Expenditures 15-22'!K259</f>
        <v>53513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53513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26474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80993</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47935</v>
      </c>
      <c r="C1497" s="2" t="s">
        <v>569</v>
      </c>
      <c r="D1497" s="2" t="str">
        <f t="shared" si="22"/>
        <v>Error?</v>
      </c>
    </row>
    <row r="1498" spans="1:4" x14ac:dyDescent="0.2">
      <c r="A1498" s="5">
        <v>1437</v>
      </c>
      <c r="B1498" s="1832">
        <f>'Expenditures 15-22'!K269</f>
        <v>6765</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162167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10597</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10597</v>
      </c>
      <c r="C1508" s="2" t="s">
        <v>569</v>
      </c>
      <c r="D1508" s="2" t="str">
        <f t="shared" si="22"/>
        <v>Error?</v>
      </c>
    </row>
    <row r="1509" spans="1:4" x14ac:dyDescent="0.2">
      <c r="A1509" s="5">
        <v>1448</v>
      </c>
      <c r="B1509" s="1832">
        <f>'Expenditures 15-22'!K278</f>
        <v>382</v>
      </c>
      <c r="C1509" s="2" t="s">
        <v>569</v>
      </c>
      <c r="D1509" s="2" t="str">
        <f t="shared" si="22"/>
        <v>Error?</v>
      </c>
    </row>
    <row r="1510" spans="1:4" x14ac:dyDescent="0.2">
      <c r="A1510" s="5">
        <v>1449</v>
      </c>
      <c r="B1510" s="1832">
        <f>'Expenditures 15-22'!K279</f>
        <v>337843</v>
      </c>
      <c r="C1510" s="2" t="s">
        <v>569</v>
      </c>
      <c r="D1510" s="2" t="str">
        <f t="shared" si="22"/>
        <v>Error?</v>
      </c>
    </row>
    <row r="1511" spans="1:4" x14ac:dyDescent="0.2">
      <c r="A1511" s="5">
        <v>1450</v>
      </c>
      <c r="B1511" s="1832">
        <f>'Expenditures 15-22'!K280</f>
        <v>6714</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616128</v>
      </c>
      <c r="C1517" s="2" t="s">
        <v>569</v>
      </c>
      <c r="D1517" s="2" t="str">
        <f t="shared" si="22"/>
        <v>Error?</v>
      </c>
    </row>
    <row r="1518" spans="1:4" x14ac:dyDescent="0.2">
      <c r="A1518" s="5">
        <v>1457</v>
      </c>
      <c r="B1518" s="1832">
        <f>'Expenditures 15-22'!K296</f>
        <v>44455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20596</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20596</v>
      </c>
      <c r="C1535" s="2" t="s">
        <v>569</v>
      </c>
      <c r="D1535" s="2" t="str">
        <f t="shared" ref="D1535:D1598" si="23">IF(ISBLANK(B1535),"OK",IF(A1535-B1535=0,"OK","Error?"))</f>
        <v>Error?</v>
      </c>
    </row>
    <row r="1536" spans="1:4" x14ac:dyDescent="0.2">
      <c r="A1536" s="5">
        <v>1475</v>
      </c>
      <c r="B1536" s="1832">
        <f>'Expenditures 15-22'!E312</f>
        <v>20596</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73377</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73377</v>
      </c>
      <c r="C1547" s="2" t="s">
        <v>569</v>
      </c>
      <c r="D1547" s="2" t="str">
        <f t="shared" si="23"/>
        <v>Error?</v>
      </c>
    </row>
    <row r="1548" spans="1:4" x14ac:dyDescent="0.2">
      <c r="A1548" s="5">
        <v>1487</v>
      </c>
      <c r="B1548" s="1832">
        <f>'Expenditures 15-22'!G312</f>
        <v>73377</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93973</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93973</v>
      </c>
      <c r="C1559" s="2" t="s">
        <v>569</v>
      </c>
      <c r="D1559" s="2" t="str">
        <f t="shared" si="23"/>
        <v>Error?</v>
      </c>
    </row>
    <row r="1560" spans="1:4" x14ac:dyDescent="0.2">
      <c r="A1560" s="5">
        <v>1499</v>
      </c>
      <c r="B1560" s="1832">
        <f>'Expenditures 15-22'!K312</f>
        <v>93973</v>
      </c>
      <c r="C1560" s="2" t="s">
        <v>569</v>
      </c>
      <c r="D1560" s="2" t="str">
        <f t="shared" si="23"/>
        <v>Error?</v>
      </c>
    </row>
    <row r="1561" spans="1:4" x14ac:dyDescent="0.2">
      <c r="A1561" s="5">
        <v>1500</v>
      </c>
      <c r="B1561" s="1832">
        <f>'Expenditures 15-22'!K313</f>
        <v>142898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8799321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8419994</v>
      </c>
      <c r="C1630" s="2" t="s">
        <v>569</v>
      </c>
      <c r="D1630" s="2" t="str">
        <f t="shared" si="24"/>
        <v>Error?</v>
      </c>
    </row>
    <row r="1631" spans="1:4" x14ac:dyDescent="0.2">
      <c r="A1631" s="5">
        <v>1570</v>
      </c>
      <c r="B1631" s="1832">
        <f>'Acct Summary 7-8'!D79</f>
        <v>703717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918934</v>
      </c>
      <c r="C1644" s="2" t="s">
        <v>569</v>
      </c>
      <c r="D1644" s="2" t="str">
        <f t="shared" si="24"/>
        <v>Error?</v>
      </c>
    </row>
    <row r="1645" spans="1:4" x14ac:dyDescent="0.2">
      <c r="A1645" s="5">
        <v>1584</v>
      </c>
      <c r="B1645" s="1832">
        <f>'Acct Summary 7-8'!E79</f>
        <v>216101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48400</v>
      </c>
      <c r="C1658" s="2" t="s">
        <v>569</v>
      </c>
      <c r="D1658" s="2" t="str">
        <f t="shared" si="24"/>
        <v>Error?</v>
      </c>
    </row>
    <row r="1659" spans="1:4" x14ac:dyDescent="0.2">
      <c r="A1659" s="5">
        <v>1598</v>
      </c>
      <c r="B1659" s="1832">
        <f>'Acct Summary 7-8'!F79</f>
        <v>382658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294792</v>
      </c>
      <c r="C1672" s="2" t="s">
        <v>569</v>
      </c>
      <c r="D1672" s="2" t="str">
        <f t="shared" si="25"/>
        <v>Error?</v>
      </c>
    </row>
    <row r="1673" spans="1:4" x14ac:dyDescent="0.2">
      <c r="A1673" s="5">
        <v>1612</v>
      </c>
      <c r="B1673" s="1832">
        <f>'Acct Summary 7-8'!G79</f>
        <v>130968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175423</v>
      </c>
      <c r="C1686" s="2" t="s">
        <v>569</v>
      </c>
      <c r="D1686" s="2" t="str">
        <f t="shared" si="25"/>
        <v>Error?</v>
      </c>
    </row>
    <row r="1687" spans="1:4" x14ac:dyDescent="0.2">
      <c r="A1687" s="5">
        <v>1626</v>
      </c>
      <c r="B1687" s="1832">
        <f>'Acct Summary 7-8'!H79</f>
        <v>1170558</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1313456</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2780334</v>
      </c>
      <c r="C1744" s="2" t="s">
        <v>569</v>
      </c>
      <c r="D1744" s="2" t="str">
        <f t="shared" si="26"/>
        <v>Error?</v>
      </c>
    </row>
    <row r="1745" spans="1:5" x14ac:dyDescent="0.2">
      <c r="A1745" s="5">
        <v>1684</v>
      </c>
      <c r="B1745" s="1832">
        <f>'Tax Sched 23'!B5</f>
        <v>322666</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218212</v>
      </c>
      <c r="C1747" s="2" t="s">
        <v>569</v>
      </c>
      <c r="D1747" s="2" t="str">
        <f t="shared" si="26"/>
        <v>Error?</v>
      </c>
    </row>
    <row r="1748" spans="1:5" x14ac:dyDescent="0.2">
      <c r="A1748" s="5">
        <v>1687</v>
      </c>
      <c r="B1748" s="1832">
        <f>'Tax Sched 23'!B8</f>
        <v>285080</v>
      </c>
      <c r="C1748" s="2" t="s">
        <v>569</v>
      </c>
      <c r="D1748" s="2" t="str">
        <f t="shared" si="26"/>
        <v>Error?</v>
      </c>
    </row>
    <row r="1749" spans="1:5" x14ac:dyDescent="0.2">
      <c r="A1749" s="5">
        <v>1688</v>
      </c>
      <c r="B1749" s="1832">
        <f>'Tax Sched 23'!B10</f>
        <v>9529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255749</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280652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4511647</v>
      </c>
      <c r="C1759" s="2" t="s">
        <v>569</v>
      </c>
      <c r="D1759" s="2" t="str">
        <f t="shared" si="26"/>
        <v>Error?</v>
      </c>
    </row>
    <row r="1760" spans="1:5" x14ac:dyDescent="0.2">
      <c r="A1760" s="5">
        <v>1699</v>
      </c>
      <c r="B1760" s="1832">
        <f>'Tax Sched 23'!D4</f>
        <v>2487298</v>
      </c>
      <c r="C1760" s="2" t="s">
        <v>569</v>
      </c>
      <c r="D1760" s="2" t="str">
        <f t="shared" si="26"/>
        <v>Error?</v>
      </c>
    </row>
    <row r="1761" spans="1:7" x14ac:dyDescent="0.2">
      <c r="A1761" s="5">
        <v>1700</v>
      </c>
      <c r="B1761" s="1832">
        <f>'Tax Sched 23'!D5</f>
        <v>277165</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197986</v>
      </c>
      <c r="C1763" s="2" t="s">
        <v>569</v>
      </c>
      <c r="D1763" s="2" t="str">
        <f t="shared" si="26"/>
        <v>Error?</v>
      </c>
    </row>
    <row r="1764" spans="1:7" x14ac:dyDescent="0.2">
      <c r="A1764" s="5">
        <v>1703</v>
      </c>
      <c r="B1764" s="1832">
        <f>'Tax Sched 23'!D8</f>
        <v>257390</v>
      </c>
      <c r="C1764" s="2" t="s">
        <v>569</v>
      </c>
      <c r="D1764" s="2" t="str">
        <f t="shared" si="26"/>
        <v>Error?</v>
      </c>
    </row>
    <row r="1765" spans="1:7" x14ac:dyDescent="0.2">
      <c r="A1765" s="5">
        <v>1704</v>
      </c>
      <c r="B1765" s="1832">
        <f>'Tax Sched 23'!D10</f>
        <v>8487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228059</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253352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4030403</v>
      </c>
      <c r="C1775" s="2" t="s">
        <v>569</v>
      </c>
      <c r="D1775" s="2" t="str">
        <f t="shared" si="26"/>
        <v>Error?</v>
      </c>
    </row>
    <row r="1776" spans="1:7" x14ac:dyDescent="0.2">
      <c r="A1776" s="5">
        <v>1715</v>
      </c>
      <c r="B1776" s="1832">
        <f>'Tax Sched 23'!C4</f>
        <v>293036</v>
      </c>
      <c r="D1776" s="2" t="str">
        <f t="shared" si="26"/>
        <v>Error?</v>
      </c>
    </row>
    <row r="1777" spans="1:4" x14ac:dyDescent="0.2">
      <c r="A1777" s="5">
        <v>1716</v>
      </c>
      <c r="B1777" s="1832">
        <f>'Tax Sched 23'!C5</f>
        <v>45501</v>
      </c>
      <c r="D1777" s="2" t="str">
        <f t="shared" si="26"/>
        <v>Error?</v>
      </c>
    </row>
    <row r="1778" spans="1:4" x14ac:dyDescent="0.2">
      <c r="A1778" s="5">
        <v>1717</v>
      </c>
      <c r="B1778" s="1832">
        <f>'Tax Sched 23'!C6</f>
        <v>0</v>
      </c>
      <c r="D1778" s="2" t="str">
        <f t="shared" si="26"/>
        <v>Error?</v>
      </c>
    </row>
    <row r="1779" spans="1:4" x14ac:dyDescent="0.2">
      <c r="A1779" s="5">
        <v>1718</v>
      </c>
      <c r="B1779" s="1832">
        <f>'Tax Sched 23'!C7</f>
        <v>20226</v>
      </c>
      <c r="D1779" s="2" t="str">
        <f t="shared" si="26"/>
        <v>Error?</v>
      </c>
    </row>
    <row r="1780" spans="1:4" x14ac:dyDescent="0.2">
      <c r="A1780" s="5">
        <v>1719</v>
      </c>
      <c r="B1780" s="1832">
        <f>'Tax Sched 23'!C8</f>
        <v>27690</v>
      </c>
      <c r="D1780" s="2" t="str">
        <f t="shared" si="26"/>
        <v>Error?</v>
      </c>
    </row>
    <row r="1781" spans="1:4" x14ac:dyDescent="0.2">
      <c r="A1781" s="5">
        <v>1720</v>
      </c>
      <c r="B1781" s="1832">
        <f>'Tax Sched 23'!C10</f>
        <v>1042</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27690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27300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481244</v>
      </c>
      <c r="C1791" s="2" t="s">
        <v>569</v>
      </c>
      <c r="D1791" s="2" t="str">
        <f t="shared" ref="D1791:D1854" si="27">IF(ISBLANK(B1791),"OK",IF(A1791-B1791=0,"OK","Error?"))</f>
        <v>Error?</v>
      </c>
    </row>
    <row r="1792" spans="1:4" x14ac:dyDescent="0.2">
      <c r="A1792" s="5">
        <v>1731</v>
      </c>
      <c r="B1792" s="1832">
        <f>'Tax Sched 23'!F4</f>
        <v>2882998</v>
      </c>
      <c r="C1792" s="2" t="s">
        <v>569</v>
      </c>
      <c r="D1792" s="2" t="str">
        <f t="shared" si="27"/>
        <v>Error?</v>
      </c>
    </row>
    <row r="1793" spans="1:4" x14ac:dyDescent="0.2">
      <c r="A1793" s="5">
        <v>1732</v>
      </c>
      <c r="B1793" s="1832">
        <f>'Tax Sched 23'!F5</f>
        <v>447653</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198995</v>
      </c>
      <c r="C1795" s="2" t="s">
        <v>569</v>
      </c>
      <c r="D1795" s="2" t="str">
        <f t="shared" si="27"/>
        <v>Error?</v>
      </c>
    </row>
    <row r="1796" spans="1:4" x14ac:dyDescent="0.2">
      <c r="A1796" s="5">
        <v>1735</v>
      </c>
      <c r="B1796" s="1832">
        <f>'Tax Sched 23'!F8</f>
        <v>272420</v>
      </c>
      <c r="C1796" s="2" t="s">
        <v>569</v>
      </c>
      <c r="D1796" s="2" t="str">
        <f t="shared" si="27"/>
        <v>Error?</v>
      </c>
    </row>
    <row r="1797" spans="1:4" x14ac:dyDescent="0.2">
      <c r="A1797" s="5">
        <v>1736</v>
      </c>
      <c r="B1797" s="1832">
        <f>'Tax Sched 23'!F10</f>
        <v>10248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272420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268592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4734647</v>
      </c>
      <c r="C1807" s="2" t="s">
        <v>569</v>
      </c>
      <c r="D1807" s="2" t="str">
        <f t="shared" si="27"/>
        <v>Error?</v>
      </c>
    </row>
    <row r="1808" spans="1:4" x14ac:dyDescent="0.2">
      <c r="A1808" s="5">
        <v>1747</v>
      </c>
      <c r="B1808" s="1832">
        <f>'Tax Sched 23'!E4</f>
        <v>3176034</v>
      </c>
      <c r="D1808" s="2" t="str">
        <f t="shared" si="27"/>
        <v>Error?</v>
      </c>
    </row>
    <row r="1809" spans="1:4" x14ac:dyDescent="0.2">
      <c r="A1809" s="5">
        <v>1748</v>
      </c>
      <c r="B1809" s="1832">
        <f>'Tax Sched 23'!E5</f>
        <v>493154</v>
      </c>
      <c r="D1809" s="2" t="str">
        <f t="shared" si="27"/>
        <v>Error?</v>
      </c>
    </row>
    <row r="1810" spans="1:4" x14ac:dyDescent="0.2">
      <c r="A1810" s="5">
        <v>1749</v>
      </c>
      <c r="B1810" s="1832">
        <f>'Tax Sched 23'!E6</f>
        <v>0</v>
      </c>
      <c r="D1810" s="2" t="str">
        <f t="shared" si="27"/>
        <v>Error?</v>
      </c>
    </row>
    <row r="1811" spans="1:4" x14ac:dyDescent="0.2">
      <c r="A1811" s="5">
        <v>1750</v>
      </c>
      <c r="B1811" s="1832">
        <f>'Tax Sched 23'!E7</f>
        <v>219221</v>
      </c>
      <c r="D1811" s="2" t="str">
        <f t="shared" si="27"/>
        <v>Error?</v>
      </c>
    </row>
    <row r="1812" spans="1:4" x14ac:dyDescent="0.2">
      <c r="A1812" s="5">
        <v>1751</v>
      </c>
      <c r="B1812" s="1832">
        <f>'Tax Sched 23'!E8</f>
        <v>300110</v>
      </c>
      <c r="D1812" s="2" t="str">
        <f t="shared" si="27"/>
        <v>Error?</v>
      </c>
    </row>
    <row r="1813" spans="1:4" x14ac:dyDescent="0.2">
      <c r="A1813" s="5">
        <v>1752</v>
      </c>
      <c r="B1813" s="1832">
        <f>'Tax Sched 23'!E10</f>
        <v>11290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300110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295892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5215891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19420425</v>
      </c>
      <c r="C1939" s="2" t="s">
        <v>569</v>
      </c>
      <c r="D1939" s="2" t="str">
        <f t="shared" si="29"/>
        <v>Error?</v>
      </c>
    </row>
    <row r="1940" spans="1:5" x14ac:dyDescent="0.2">
      <c r="A1940" s="5">
        <v>1879</v>
      </c>
      <c r="B1940" s="1832">
        <f>'Short-Term Long-Term Debt 24'!F49</f>
        <v>4450000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280652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280652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280652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100231</v>
      </c>
      <c r="D2008" s="2" t="str">
        <f t="shared" si="30"/>
        <v>Error?</v>
      </c>
    </row>
    <row r="2009" spans="1:4" x14ac:dyDescent="0.2">
      <c r="A2009" s="5">
        <v>1948</v>
      </c>
      <c r="B2009" s="1832">
        <f>'Cap Outlay Deprec 26'!C8</f>
        <v>34246857</v>
      </c>
      <c r="D2009" s="2" t="str">
        <f t="shared" si="30"/>
        <v>Error?</v>
      </c>
    </row>
    <row r="2010" spans="1:4" x14ac:dyDescent="0.2">
      <c r="A2010" s="5">
        <v>1949</v>
      </c>
      <c r="B2010" s="1832">
        <f>'Cap Outlay Deprec 26'!C10</f>
        <v>720198</v>
      </c>
      <c r="D2010" s="2" t="str">
        <f t="shared" si="30"/>
        <v>Error?</v>
      </c>
    </row>
    <row r="2011" spans="1:4" x14ac:dyDescent="0.2">
      <c r="A2011" s="5">
        <v>1950</v>
      </c>
      <c r="B2011" s="1832">
        <f>'Cap Outlay Deprec 26'!C12</f>
        <v>4345744</v>
      </c>
      <c r="D2011" s="2" t="str">
        <f t="shared" si="30"/>
        <v>Error?</v>
      </c>
    </row>
    <row r="2012" spans="1:4" x14ac:dyDescent="0.2">
      <c r="A2012" s="5">
        <v>1951</v>
      </c>
      <c r="B2012" s="1832">
        <f>'Cap Outlay Deprec 26'!C13</f>
        <v>1799</v>
      </c>
      <c r="D2012" s="2" t="str">
        <f t="shared" si="30"/>
        <v>Error?</v>
      </c>
    </row>
    <row r="2013" spans="1:4" x14ac:dyDescent="0.2">
      <c r="A2013" s="5">
        <v>1952</v>
      </c>
      <c r="B2013" s="1832">
        <f>'Cap Outlay Deprec 26'!C16</f>
        <v>39414829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418027</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263698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681725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100231</v>
      </c>
      <c r="C2026" s="2" t="s">
        <v>569</v>
      </c>
      <c r="D2026" s="2" t="str">
        <f t="shared" si="30"/>
        <v>Error?</v>
      </c>
    </row>
    <row r="2027" spans="1:4" x14ac:dyDescent="0.2">
      <c r="A2027" s="5">
        <v>1966</v>
      </c>
      <c r="B2027" s="1832">
        <f>'Cap Outlay Deprec 26'!F8</f>
        <v>34664884</v>
      </c>
      <c r="C2027" s="2" t="s">
        <v>569</v>
      </c>
      <c r="D2027" s="2" t="str">
        <f t="shared" si="30"/>
        <v>Error?</v>
      </c>
    </row>
    <row r="2028" spans="1:4" x14ac:dyDescent="0.2">
      <c r="A2028" s="5">
        <v>1967</v>
      </c>
      <c r="B2028" s="1832">
        <f>'Cap Outlay Deprec 26'!F10</f>
        <v>720198</v>
      </c>
      <c r="C2028" s="2" t="s">
        <v>569</v>
      </c>
      <c r="D2028" s="2" t="str">
        <f t="shared" si="30"/>
        <v>Error?</v>
      </c>
    </row>
    <row r="2029" spans="1:4" x14ac:dyDescent="0.2">
      <c r="A2029" s="5">
        <v>1968</v>
      </c>
      <c r="B2029" s="1832">
        <f>'Cap Outlay Deprec 26'!F12</f>
        <v>4609442</v>
      </c>
      <c r="C2029" s="2" t="s">
        <v>569</v>
      </c>
      <c r="D2029" s="2" t="str">
        <f t="shared" si="30"/>
        <v>Error?</v>
      </c>
    </row>
    <row r="2030" spans="1:4" x14ac:dyDescent="0.2">
      <c r="A2030" s="5">
        <v>1969</v>
      </c>
      <c r="B2030" s="1832">
        <f>'Cap Outlay Deprec 26'!F13</f>
        <v>1799</v>
      </c>
      <c r="C2030" s="2" t="s">
        <v>569</v>
      </c>
      <c r="D2030" s="2" t="str">
        <f t="shared" si="30"/>
        <v>Error?</v>
      </c>
    </row>
    <row r="2031" spans="1:4" x14ac:dyDescent="0.2">
      <c r="A2031" s="5">
        <v>1970</v>
      </c>
      <c r="B2031" s="1832">
        <f>'Cap Outlay Deprec 26'!F16</f>
        <v>40096554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13475748</v>
      </c>
      <c r="D2033" s="2" t="str">
        <f t="shared" si="30"/>
        <v>Error?</v>
      </c>
    </row>
    <row r="2034" spans="1:4" x14ac:dyDescent="0.2">
      <c r="A2034" s="5">
        <v>1973</v>
      </c>
      <c r="B2034" s="1832">
        <f>'Cap Outlay Deprec 26'!H10</f>
        <v>410611</v>
      </c>
      <c r="D2034" s="2" t="str">
        <f t="shared" si="30"/>
        <v>Error?</v>
      </c>
    </row>
    <row r="2035" spans="1:4" x14ac:dyDescent="0.2">
      <c r="A2035" s="5">
        <v>1974</v>
      </c>
      <c r="B2035" s="1832">
        <f>'Cap Outlay Deprec 26'!H12</f>
        <v>3593772</v>
      </c>
      <c r="D2035" s="2" t="str">
        <f t="shared" si="30"/>
        <v>Error?</v>
      </c>
    </row>
    <row r="2036" spans="1:4" x14ac:dyDescent="0.2">
      <c r="A2036" s="5">
        <v>1975</v>
      </c>
      <c r="B2036" s="1832">
        <f>'Cap Outlay Deprec 26'!H13</f>
        <v>1799</v>
      </c>
      <c r="D2036" s="2" t="str">
        <f t="shared" si="30"/>
        <v>Error?</v>
      </c>
    </row>
    <row r="2037" spans="1:4" x14ac:dyDescent="0.2">
      <c r="A2037" s="5">
        <v>1976</v>
      </c>
      <c r="B2037" s="1832">
        <f>'Cap Outlay Deprec 26'!H16</f>
        <v>17481930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1539618</v>
      </c>
      <c r="D2039" s="2" t="str">
        <f t="shared" si="30"/>
        <v>Error?</v>
      </c>
    </row>
    <row r="2040" spans="1:4" x14ac:dyDescent="0.2">
      <c r="A2040" s="5">
        <v>1979</v>
      </c>
      <c r="B2040" s="1832">
        <f>'Cap Outlay Deprec 26'!I10</f>
        <v>33056</v>
      </c>
      <c r="D2040" s="2" t="str">
        <f t="shared" si="30"/>
        <v>Error?</v>
      </c>
    </row>
    <row r="2041" spans="1:4" x14ac:dyDescent="0.2">
      <c r="A2041" s="5">
        <v>1980</v>
      </c>
      <c r="B2041" s="1832">
        <f>'Cap Outlay Deprec 26'!I12</f>
        <v>204891</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1777565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15015366</v>
      </c>
      <c r="C2051" s="2" t="s">
        <v>569</v>
      </c>
      <c r="D2051" s="2" t="str">
        <f t="shared" si="31"/>
        <v>Error?</v>
      </c>
    </row>
    <row r="2052" spans="1:4" x14ac:dyDescent="0.2">
      <c r="A2052" s="5">
        <v>1991</v>
      </c>
      <c r="B2052" s="1832">
        <f>'Cap Outlay Deprec 26'!K10</f>
        <v>443667</v>
      </c>
      <c r="C2052" s="2" t="s">
        <v>569</v>
      </c>
      <c r="D2052" s="2" t="str">
        <f t="shared" si="31"/>
        <v>Error?</v>
      </c>
    </row>
    <row r="2053" spans="1:4" x14ac:dyDescent="0.2">
      <c r="A2053" s="5">
        <v>1992</v>
      </c>
      <c r="B2053" s="1832">
        <f>'Cap Outlay Deprec 26'!K12</f>
        <v>3798663</v>
      </c>
      <c r="C2053" s="2" t="s">
        <v>569</v>
      </c>
      <c r="D2053" s="2" t="str">
        <f t="shared" si="31"/>
        <v>Error?</v>
      </c>
    </row>
    <row r="2054" spans="1:4" x14ac:dyDescent="0.2">
      <c r="A2054" s="5">
        <v>1993</v>
      </c>
      <c r="B2054" s="1832">
        <f>'Cap Outlay Deprec 26'!K13</f>
        <v>1799</v>
      </c>
      <c r="C2054" s="2" t="s">
        <v>569</v>
      </c>
      <c r="D2054" s="2" t="str">
        <f t="shared" si="31"/>
        <v>Error?</v>
      </c>
    </row>
    <row r="2055" spans="1:4" x14ac:dyDescent="0.2">
      <c r="A2055" s="5">
        <v>1994</v>
      </c>
      <c r="B2055" s="1832">
        <f>'Cap Outlay Deprec 26'!K16</f>
        <v>19259495</v>
      </c>
      <c r="C2055" s="2" t="s">
        <v>569</v>
      </c>
      <c r="D2055" s="2" t="str">
        <f t="shared" si="31"/>
        <v>Error?</v>
      </c>
    </row>
    <row r="2056" spans="1:4" x14ac:dyDescent="0.2">
      <c r="A2056" s="5">
        <v>1995</v>
      </c>
      <c r="B2056" s="1832">
        <f>'Cap Outlay Deprec 26'!L5</f>
        <v>100231</v>
      </c>
      <c r="C2056" s="2" t="s">
        <v>569</v>
      </c>
      <c r="D2056" s="2" t="str">
        <f t="shared" si="31"/>
        <v>Error?</v>
      </c>
    </row>
    <row r="2057" spans="1:4" x14ac:dyDescent="0.2">
      <c r="A2057" s="5">
        <v>1996</v>
      </c>
      <c r="B2057" s="1832">
        <f>'Cap Outlay Deprec 26'!L8</f>
        <v>19649518</v>
      </c>
      <c r="C2057" s="2" t="s">
        <v>569</v>
      </c>
      <c r="D2057" s="2" t="str">
        <f t="shared" si="31"/>
        <v>Error?</v>
      </c>
    </row>
    <row r="2058" spans="1:4" x14ac:dyDescent="0.2">
      <c r="A2058" s="5">
        <v>1997</v>
      </c>
      <c r="B2058" s="1832">
        <f>'Cap Outlay Deprec 26'!L10</f>
        <v>276531</v>
      </c>
      <c r="C2058" s="2" t="s">
        <v>569</v>
      </c>
      <c r="D2058" s="2" t="str">
        <f t="shared" si="31"/>
        <v>Error?</v>
      </c>
    </row>
    <row r="2059" spans="1:4" x14ac:dyDescent="0.2">
      <c r="A2059" s="5">
        <v>1998</v>
      </c>
      <c r="B2059" s="1832">
        <f>'Cap Outlay Deprec 26'!L12</f>
        <v>810779</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20837059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152568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262614</v>
      </c>
      <c r="C2088" s="2" t="s">
        <v>569</v>
      </c>
      <c r="D2088" s="2" t="str">
        <f t="shared" si="31"/>
        <v>Error?</v>
      </c>
    </row>
    <row r="2089" spans="1:4" x14ac:dyDescent="0.2">
      <c r="A2089" s="5">
        <v>2028</v>
      </c>
      <c r="B2089" s="1832">
        <f>'Expenditures 15-22'!K92</f>
        <v>688364</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175423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141122</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3502934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12386604</v>
      </c>
      <c r="C2553" s="2" t="s">
        <v>569</v>
      </c>
      <c r="D2553" s="2" t="str">
        <f t="shared" si="38"/>
        <v>Error?</v>
      </c>
    </row>
    <row r="2554" spans="1:4" x14ac:dyDescent="0.2">
      <c r="A2554" s="5">
        <v>2493</v>
      </c>
      <c r="B2554" s="1832">
        <f>'Acct Summary 7-8'!C7</f>
        <v>3773581</v>
      </c>
      <c r="C2554" s="2" t="s">
        <v>569</v>
      </c>
      <c r="D2554" s="2" t="str">
        <f t="shared" si="38"/>
        <v>Error?</v>
      </c>
    </row>
    <row r="2555" spans="1:4" x14ac:dyDescent="0.2">
      <c r="A2555" s="5">
        <v>2494</v>
      </c>
      <c r="B2555" s="1832">
        <f>'Acct Summary 7-8'!C8</f>
        <v>19663119</v>
      </c>
      <c r="C2555" s="2" t="s">
        <v>569</v>
      </c>
      <c r="D2555" s="2" t="str">
        <f t="shared" si="38"/>
        <v>Error?</v>
      </c>
    </row>
    <row r="2556" spans="1:4" x14ac:dyDescent="0.2">
      <c r="A2556" s="5">
        <v>2495</v>
      </c>
      <c r="B2556" s="1832">
        <f>'Acct Summary 7-8'!C12</f>
        <v>11948180</v>
      </c>
      <c r="C2556" s="2" t="s">
        <v>569</v>
      </c>
      <c r="D2556" s="2" t="str">
        <f t="shared" si="38"/>
        <v>Error?</v>
      </c>
    </row>
    <row r="2557" spans="1:4" x14ac:dyDescent="0.2">
      <c r="A2557" s="5">
        <v>2496</v>
      </c>
      <c r="B2557" s="1832">
        <f>'Acct Summary 7-8'!C13</f>
        <v>6921959</v>
      </c>
      <c r="C2557" s="2" t="s">
        <v>569</v>
      </c>
      <c r="D2557" s="2" t="str">
        <f t="shared" si="38"/>
        <v>Error?</v>
      </c>
    </row>
    <row r="2558" spans="1:4" x14ac:dyDescent="0.2">
      <c r="A2558" s="5">
        <v>2497</v>
      </c>
      <c r="B2558" s="1832">
        <f>'Acct Summary 7-8'!C14</f>
        <v>221329</v>
      </c>
      <c r="C2558" s="2" t="s">
        <v>569</v>
      </c>
      <c r="D2558" s="2" t="str">
        <f t="shared" si="38"/>
        <v>Error?</v>
      </c>
    </row>
    <row r="2559" spans="1:4" x14ac:dyDescent="0.2">
      <c r="A2559" s="5">
        <v>2498</v>
      </c>
      <c r="B2559" s="1832">
        <f>'Acct Summary 7-8'!C15</f>
        <v>950978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20042446</v>
      </c>
      <c r="C2561" s="2" t="s">
        <v>569</v>
      </c>
      <c r="D2561" s="2" t="str">
        <f t="shared" si="39"/>
        <v>Error?</v>
      </c>
    </row>
    <row r="2562" spans="1:4" x14ac:dyDescent="0.2">
      <c r="A2562" s="5">
        <v>2501</v>
      </c>
      <c r="B2562" s="1832">
        <f>'Acct Summary 7-8'!C20</f>
        <v>-379327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661070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1180000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1841070</v>
      </c>
      <c r="C2568" s="2" t="s">
        <v>569</v>
      </c>
      <c r="D2568" s="2" t="str">
        <f t="shared" si="39"/>
        <v>Error?</v>
      </c>
    </row>
    <row r="2569" spans="1:4" x14ac:dyDescent="0.2">
      <c r="A2569" s="5">
        <v>2508</v>
      </c>
      <c r="B2569" s="1832">
        <f>'Acct Summary 7-8'!D13</f>
        <v>1625853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1625853</v>
      </c>
      <c r="C2573" s="2" t="s">
        <v>569</v>
      </c>
      <c r="D2573" s="2" t="str">
        <f t="shared" si="39"/>
        <v>Error?</v>
      </c>
    </row>
    <row r="2574" spans="1:4" x14ac:dyDescent="0.2">
      <c r="A2574" s="5">
        <v>2513</v>
      </c>
      <c r="B2574" s="1832">
        <f>'Acct Summary 7-8'!D20</f>
        <v>215217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221963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697812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919775</v>
      </c>
      <c r="C2595" s="2" t="s">
        <v>569</v>
      </c>
      <c r="D2595" s="2" t="str">
        <f t="shared" si="39"/>
        <v>Error?</v>
      </c>
    </row>
    <row r="2596" spans="1:4" x14ac:dyDescent="0.2">
      <c r="A2596" s="5">
        <v>2535</v>
      </c>
      <c r="B2596" s="1832">
        <f>'Acct Summary 7-8'!F13</f>
        <v>1007641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1007641</v>
      </c>
      <c r="C2600" s="2" t="s">
        <v>569</v>
      </c>
      <c r="D2600" s="2" t="str">
        <f t="shared" si="39"/>
        <v>Error?</v>
      </c>
    </row>
    <row r="2601" spans="1:4" x14ac:dyDescent="0.2">
      <c r="A2601" s="5">
        <v>2540</v>
      </c>
      <c r="B2601" s="1832">
        <f>'Acct Summary 7-8'!F20</f>
        <v>-87866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660583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660583</v>
      </c>
      <c r="C2606" s="2" t="s">
        <v>569</v>
      </c>
      <c r="D2606" s="2" t="str">
        <f t="shared" si="39"/>
        <v>Error?</v>
      </c>
    </row>
    <row r="2607" spans="1:4" x14ac:dyDescent="0.2">
      <c r="A2607" s="5">
        <v>2546</v>
      </c>
      <c r="B2607" s="1832">
        <f>'Acct Summary 7-8'!G12</f>
        <v>271571</v>
      </c>
      <c r="C2607" s="2" t="s">
        <v>569</v>
      </c>
      <c r="D2607" s="2" t="str">
        <f t="shared" si="39"/>
        <v>Error?</v>
      </c>
    </row>
    <row r="2608" spans="1:4" x14ac:dyDescent="0.2">
      <c r="A2608" s="5">
        <v>2547</v>
      </c>
      <c r="B2608" s="1832">
        <f>'Acct Summary 7-8'!G13</f>
        <v>337843</v>
      </c>
      <c r="C2608" s="2" t="s">
        <v>569</v>
      </c>
      <c r="D2608" s="2" t="str">
        <f t="shared" si="39"/>
        <v>Error?</v>
      </c>
    </row>
    <row r="2609" spans="1:4" x14ac:dyDescent="0.2">
      <c r="A2609" s="5">
        <v>2548</v>
      </c>
      <c r="B2609" s="1832">
        <f>'Acct Summary 7-8'!G14</f>
        <v>6714</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616128</v>
      </c>
      <c r="C2612" s="2" t="s">
        <v>569</v>
      </c>
      <c r="D2612" s="2" t="str">
        <f t="shared" si="39"/>
        <v>Error?</v>
      </c>
    </row>
    <row r="2613" spans="1:4" x14ac:dyDescent="0.2">
      <c r="A2613" s="5">
        <v>2552</v>
      </c>
      <c r="B2613" s="1832">
        <f>'Acct Summary 7-8'!G20</f>
        <v>44455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1166819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1720594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1888295</v>
      </c>
      <c r="C2634" s="2" t="s">
        <v>569</v>
      </c>
      <c r="D2634" s="2" t="str">
        <f t="shared" si="40"/>
        <v>Error?</v>
      </c>
    </row>
    <row r="2635" spans="1:4" x14ac:dyDescent="0.2">
      <c r="A2635" s="5">
        <v>2574</v>
      </c>
      <c r="B2635" s="1832">
        <f>'Acct Summary 7-8'!E17</f>
        <v>1888295</v>
      </c>
      <c r="C2635" s="2" t="s">
        <v>569</v>
      </c>
      <c r="D2635" s="2" t="str">
        <f t="shared" si="40"/>
        <v>Error?</v>
      </c>
    </row>
    <row r="2636" spans="1:4" x14ac:dyDescent="0.2">
      <c r="A2636" s="5">
        <v>2575</v>
      </c>
      <c r="B2636" s="1832">
        <f>'Acct Summary 7-8'!E20</f>
        <v>-167701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193830</v>
      </c>
      <c r="C2655" s="2" t="s">
        <v>569</v>
      </c>
      <c r="D2655" s="2" t="str">
        <f t="shared" si="40"/>
        <v>Error?</v>
      </c>
    </row>
    <row r="2656" spans="1:4" x14ac:dyDescent="0.2">
      <c r="A2656" s="5">
        <v>2595</v>
      </c>
      <c r="B2656" s="1832">
        <f>'Acct Summary 7-8'!H6</f>
        <v>43041</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236871</v>
      </c>
      <c r="C2658" s="2" t="s">
        <v>569</v>
      </c>
      <c r="D2658" s="2" t="str">
        <f t="shared" si="40"/>
        <v>Error?</v>
      </c>
    </row>
    <row r="2659" spans="1:4" x14ac:dyDescent="0.2">
      <c r="A2659" s="5">
        <v>2598</v>
      </c>
      <c r="B2659" s="1832">
        <f>'Acct Summary 7-8'!H13</f>
        <v>93973</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93973</v>
      </c>
      <c r="C2661" s="2" t="s">
        <v>569</v>
      </c>
      <c r="D2661" s="2" t="str">
        <f t="shared" si="40"/>
        <v>Error?</v>
      </c>
    </row>
    <row r="2662" spans="1:4" x14ac:dyDescent="0.2">
      <c r="A2662" s="5">
        <v>2601</v>
      </c>
      <c r="B2662" s="1832">
        <f>'Acct Summary 7-8'!H20</f>
        <v>142898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249664</v>
      </c>
      <c r="D2718" s="2" t="str">
        <f t="shared" si="41"/>
        <v>Error?</v>
      </c>
    </row>
    <row r="2719" spans="1:4" x14ac:dyDescent="0.2">
      <c r="A2719" s="5">
        <v>2658</v>
      </c>
      <c r="B2719" s="1832">
        <f>'Expenditures 15-22'!D51</f>
        <v>46308</v>
      </c>
      <c r="D2719" s="2" t="str">
        <f t="shared" si="41"/>
        <v>Error?</v>
      </c>
    </row>
    <row r="2720" spans="1:4" x14ac:dyDescent="0.2">
      <c r="A2720" s="5">
        <v>2659</v>
      </c>
      <c r="B2720" s="1832">
        <f>'Expenditures 15-22'!E51</f>
        <v>8625</v>
      </c>
      <c r="D2720" s="2" t="str">
        <f t="shared" si="41"/>
        <v>Error?</v>
      </c>
    </row>
    <row r="2721" spans="1:4" x14ac:dyDescent="0.2">
      <c r="A2721" s="5">
        <v>2660</v>
      </c>
      <c r="B2721" s="1832">
        <f>'Expenditures 15-22'!F51</f>
        <v>6265</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1441</v>
      </c>
      <c r="D2723" s="2" t="str">
        <f t="shared" si="41"/>
        <v>Error?</v>
      </c>
    </row>
    <row r="2724" spans="1:4" x14ac:dyDescent="0.2">
      <c r="A2724" s="5">
        <v>2663</v>
      </c>
      <c r="B2724" s="1832">
        <f>'Expenditures 15-22'!K51</f>
        <v>312303</v>
      </c>
      <c r="C2724" s="2" t="s">
        <v>569</v>
      </c>
      <c r="D2724" s="2" t="str">
        <f t="shared" si="41"/>
        <v>Error?</v>
      </c>
    </row>
    <row r="2725" spans="1:4" x14ac:dyDescent="0.2">
      <c r="A2725" s="5">
        <v>2664</v>
      </c>
      <c r="B2725" s="1832">
        <f>'Expenditures 15-22'!D247</f>
        <v>9937</v>
      </c>
      <c r="D2725" s="2" t="str">
        <f t="shared" si="41"/>
        <v>Error?</v>
      </c>
    </row>
    <row r="2726" spans="1:4" x14ac:dyDescent="0.2">
      <c r="A2726" s="5">
        <v>2665</v>
      </c>
      <c r="B2726" s="1832">
        <f>'Expenditures 15-22'!K247</f>
        <v>9937</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110046</v>
      </c>
      <c r="C2789" s="2" t="s">
        <v>569</v>
      </c>
      <c r="D2789" s="2" t="str">
        <f t="shared" si="42"/>
        <v>Error?</v>
      </c>
    </row>
    <row r="2790" spans="1:4" x14ac:dyDescent="0.2">
      <c r="A2790" s="5">
        <v>2729</v>
      </c>
      <c r="B2790" s="1832">
        <f>'Expenditures 15-22'!E102</f>
        <v>110046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564004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39746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564004</v>
      </c>
      <c r="D2912" s="2" t="str">
        <f t="shared" si="44"/>
        <v>Error?</v>
      </c>
    </row>
    <row r="2913" spans="1:4" x14ac:dyDescent="0.2">
      <c r="A2913" s="5">
        <v>2852</v>
      </c>
      <c r="B2913" s="1832">
        <f>'Assets-Liab 5-6'!I41</f>
        <v>564004</v>
      </c>
      <c r="C2913" s="2" t="s">
        <v>569</v>
      </c>
      <c r="D2913" s="2" t="str">
        <f t="shared" si="44"/>
        <v>Error?</v>
      </c>
    </row>
    <row r="2914" spans="1:4" x14ac:dyDescent="0.2">
      <c r="A2914" s="5">
        <v>2853</v>
      </c>
      <c r="B2914" s="1832">
        <f>'Assets-Liab 5-6'!L33</f>
        <v>39746</v>
      </c>
      <c r="D2914" s="2" t="str">
        <f t="shared" si="44"/>
        <v>Error?</v>
      </c>
    </row>
    <row r="2915" spans="1:4" x14ac:dyDescent="0.2">
      <c r="A2915" s="10">
        <v>2854</v>
      </c>
      <c r="B2915" s="1832"/>
      <c r="D2915" s="2" t="str">
        <f t="shared" si="44"/>
        <v>OK</v>
      </c>
    </row>
    <row r="2916" spans="1:4" x14ac:dyDescent="0.2">
      <c r="A2916" s="5">
        <v>2855</v>
      </c>
      <c r="B2916" s="1832">
        <f>'Assets-Liab 5-6'!L34</f>
        <v>39746</v>
      </c>
      <c r="C2916" s="2" t="s">
        <v>569</v>
      </c>
      <c r="D2916" s="2" t="str">
        <f t="shared" si="44"/>
        <v>Error?</v>
      </c>
    </row>
    <row r="2917" spans="1:4" x14ac:dyDescent="0.2">
      <c r="A2917" s="5">
        <v>2856</v>
      </c>
      <c r="B2917" s="1832">
        <f>'Assets-Liab 5-6'!L41</f>
        <v>39746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110046</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143368</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9200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143368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119246</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4450000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10214</v>
      </c>
      <c r="C3225" s="2" t="s">
        <v>569</v>
      </c>
      <c r="D3225" s="2" t="str">
        <f t="shared" si="49"/>
        <v>Error?</v>
      </c>
    </row>
    <row r="3226" spans="1:4" x14ac:dyDescent="0.2">
      <c r="A3226" s="5">
        <v>3165</v>
      </c>
      <c r="B3226" s="1832">
        <f>'Acct Summary 7-8'!I8</f>
        <v>10214</v>
      </c>
      <c r="C3226" s="2" t="s">
        <v>569</v>
      </c>
      <c r="D3226" s="2" t="str">
        <f t="shared" si="49"/>
        <v>Error?</v>
      </c>
    </row>
    <row r="3227" spans="1:4" x14ac:dyDescent="0.2">
      <c r="A3227" s="5">
        <v>3166</v>
      </c>
      <c r="B3227" s="1832">
        <f>'Acct Summary 7-8'!I20</f>
        <v>10214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-379327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215217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-87866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44455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5125760</v>
      </c>
      <c r="C3274" s="2" t="s">
        <v>569</v>
      </c>
      <c r="D3274" s="2" t="str">
        <f t="shared" si="50"/>
        <v>Error?</v>
      </c>
    </row>
    <row r="3275" spans="1:4" x14ac:dyDescent="0.2">
      <c r="A3275" s="5">
        <v>3214</v>
      </c>
      <c r="B3275" s="1832">
        <f>'Acct Summary 7-8'!E75</f>
        <v>5125760</v>
      </c>
      <c r="D3275" s="2" t="str">
        <f t="shared" si="50"/>
        <v>Error?</v>
      </c>
    </row>
    <row r="3276" spans="1:4" x14ac:dyDescent="0.2">
      <c r="A3276" s="5">
        <v>3215</v>
      </c>
      <c r="B3276" s="1832">
        <f>'Acct Summary 7-8'!E76</f>
        <v>5125760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-167701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142898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10214</v>
      </c>
      <c r="C3320" s="2" t="s">
        <v>569</v>
      </c>
      <c r="D3320" s="2" t="str">
        <f t="shared" si="50"/>
        <v>Error?</v>
      </c>
    </row>
    <row r="3321" spans="1:4" x14ac:dyDescent="0.2">
      <c r="A3321" s="5">
        <v>3260</v>
      </c>
      <c r="B3321" s="1832">
        <f>'Acct Summary 7-8'!I79</f>
        <v>553790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564004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1923886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323989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100332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46922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3591</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2398720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89987</v>
      </c>
      <c r="D3387" s="2" t="str">
        <f t="shared" si="51"/>
        <v>Error?</v>
      </c>
    </row>
    <row r="3388" spans="1:4" x14ac:dyDescent="0.2">
      <c r="A3388" s="5">
        <v>3327</v>
      </c>
      <c r="B3388" s="1832">
        <f>'Expenditures 15-22'!D217</f>
        <v>115263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89987</v>
      </c>
      <c r="C3390" s="2" t="s">
        <v>569</v>
      </c>
      <c r="D3390" s="2" t="str">
        <f t="shared" si="51"/>
        <v>Error?</v>
      </c>
    </row>
    <row r="3391" spans="1:4" x14ac:dyDescent="0.2">
      <c r="A3391" s="5">
        <v>3330</v>
      </c>
      <c r="B3391" s="1832">
        <f>'Expenditures 15-22'!K217</f>
        <v>115263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10084737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917452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48400</v>
      </c>
      <c r="D3417" s="2" t="str">
        <f t="shared" si="52"/>
        <v>Error?</v>
      </c>
    </row>
    <row r="3418" spans="1:4" x14ac:dyDescent="0.2">
      <c r="A3418" s="10">
        <v>3357</v>
      </c>
      <c r="B3418" s="1832"/>
      <c r="D3418" s="2" t="str">
        <f t="shared" si="52"/>
        <v>OK</v>
      </c>
    </row>
    <row r="3419" spans="1:4" x14ac:dyDescent="0.2">
      <c r="A3419" s="5">
        <v>3358</v>
      </c>
      <c r="B3419" s="1832">
        <f>'Assets-Liab 5-6'!F4</f>
        <v>294792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195306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1313456</v>
      </c>
      <c r="D3425" s="2" t="str">
        <f t="shared" si="52"/>
        <v>Error?</v>
      </c>
    </row>
    <row r="3426" spans="1:4" x14ac:dyDescent="0.2">
      <c r="A3426" s="10">
        <v>3365</v>
      </c>
      <c r="B3426" s="1832"/>
      <c r="D3426" s="2" t="str">
        <f t="shared" si="52"/>
        <v>OK</v>
      </c>
    </row>
    <row r="3427" spans="1:4" x14ac:dyDescent="0.2">
      <c r="A3427" s="5">
        <v>3366</v>
      </c>
      <c r="B3427" s="1832">
        <f>'Assets-Liab 5-6'!I4</f>
        <v>564004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39746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359425</v>
      </c>
      <c r="C3446" s="2" t="s">
        <v>569</v>
      </c>
      <c r="D3446" s="2" t="str">
        <f t="shared" si="52"/>
        <v>Error?</v>
      </c>
    </row>
    <row r="3447" spans="1:4" x14ac:dyDescent="0.2">
      <c r="A3447" s="5">
        <v>3386</v>
      </c>
      <c r="B3447" s="1832">
        <f>'Tax Sched 23'!D16</f>
        <v>320666</v>
      </c>
      <c r="C3447" s="2" t="s">
        <v>569</v>
      </c>
      <c r="D3447" s="2" t="str">
        <f t="shared" si="52"/>
        <v>Error?</v>
      </c>
    </row>
    <row r="3448" spans="1:4" x14ac:dyDescent="0.2">
      <c r="A3448" s="5">
        <v>3387</v>
      </c>
      <c r="B3448" s="1832">
        <f>'Tax Sched 23'!C16</f>
        <v>38759</v>
      </c>
      <c r="D3448" s="2" t="str">
        <f t="shared" si="52"/>
        <v>Error?</v>
      </c>
    </row>
    <row r="3449" spans="1:4" x14ac:dyDescent="0.2">
      <c r="A3449" s="5">
        <v>3388</v>
      </c>
      <c r="B3449" s="1832">
        <f>'Tax Sched 23'!F16</f>
        <v>381321</v>
      </c>
      <c r="C3449" s="2" t="s">
        <v>569</v>
      </c>
      <c r="D3449" s="2" t="str">
        <f t="shared" si="52"/>
        <v>Error?</v>
      </c>
    </row>
    <row r="3450" spans="1:4" x14ac:dyDescent="0.2">
      <c r="A3450" s="5">
        <v>3389</v>
      </c>
      <c r="B3450" s="1832">
        <f>'Tax Sched 23'!E16</f>
        <v>420080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18149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18149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18149</v>
      </c>
      <c r="D3567" s="2" t="str">
        <f t="shared" si="54"/>
        <v>Error?</v>
      </c>
    </row>
    <row r="3568" spans="1:4" x14ac:dyDescent="0.2">
      <c r="A3568" s="5">
        <v>3507</v>
      </c>
      <c r="B3568" s="1832">
        <f>'Assets-Liab 5-6'!K41</f>
        <v>18149</v>
      </c>
      <c r="C3568" s="2" t="s">
        <v>569</v>
      </c>
      <c r="D3568" s="2" t="str">
        <f t="shared" si="54"/>
        <v>Error?</v>
      </c>
    </row>
    <row r="3569" spans="1:4" x14ac:dyDescent="0.2">
      <c r="A3569" s="5">
        <v>3508</v>
      </c>
      <c r="B3569" s="1832">
        <f>'Acct Summary 7-8'!K4</f>
        <v>192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192</v>
      </c>
      <c r="C3571" s="2" t="s">
        <v>569</v>
      </c>
      <c r="D3571" s="2" t="str">
        <f t="shared" si="54"/>
        <v>Error?</v>
      </c>
    </row>
    <row r="3572" spans="1:4" x14ac:dyDescent="0.2">
      <c r="A3572" s="5">
        <v>3511</v>
      </c>
      <c r="B3572" s="1832">
        <f>'Acct Summary 7-8'!K13</f>
        <v>159501</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159501</v>
      </c>
      <c r="C3575" s="2" t="s">
        <v>569</v>
      </c>
      <c r="D3575" s="2" t="str">
        <f t="shared" si="54"/>
        <v>Error?</v>
      </c>
    </row>
    <row r="3576" spans="1:4" x14ac:dyDescent="0.2">
      <c r="A3576" s="5">
        <v>3515</v>
      </c>
      <c r="B3576" s="1832">
        <f>'Acct Summary 7-8'!K20</f>
        <v>-159309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-159309</v>
      </c>
      <c r="C3588" s="2" t="s">
        <v>569</v>
      </c>
      <c r="D3588" s="2" t="str">
        <f t="shared" si="55"/>
        <v>Error?</v>
      </c>
    </row>
    <row r="3589" spans="1:4" x14ac:dyDescent="0.2">
      <c r="A3589" s="5">
        <v>3528</v>
      </c>
      <c r="B3589" s="1832">
        <f>'Acct Summary 7-8'!K79</f>
        <v>177458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18149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10321</v>
      </c>
      <c r="D3632" s="2" t="str">
        <f t="shared" si="55"/>
        <v>Error?</v>
      </c>
    </row>
    <row r="3633" spans="1:4" x14ac:dyDescent="0.2">
      <c r="A3633" s="5">
        <v>3572</v>
      </c>
      <c r="B3633" s="1832">
        <f>'Expenditures 15-22'!E350</f>
        <v>10321</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10321</v>
      </c>
      <c r="C3635" s="2" t="s">
        <v>569</v>
      </c>
      <c r="D3635" s="2" t="str">
        <f t="shared" si="55"/>
        <v>Error?</v>
      </c>
    </row>
    <row r="3636" spans="1:4" x14ac:dyDescent="0.2">
      <c r="A3636" s="5">
        <v>3575</v>
      </c>
      <c r="B3636" s="1832">
        <f>'Expenditures 15-22'!E367</f>
        <v>10321</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149180</v>
      </c>
      <c r="D3646" s="2" t="str">
        <f t="shared" si="55"/>
        <v>Error?</v>
      </c>
    </row>
    <row r="3647" spans="1:4" x14ac:dyDescent="0.2">
      <c r="A3647" s="5">
        <v>3586</v>
      </c>
      <c r="B3647" s="1832">
        <f>'Expenditures 15-22'!G350</f>
        <v>149180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149180</v>
      </c>
      <c r="C3649" s="2" t="s">
        <v>569</v>
      </c>
      <c r="D3649" s="2" t="str">
        <f t="shared" si="56"/>
        <v>Error?</v>
      </c>
    </row>
    <row r="3650" spans="1:4" x14ac:dyDescent="0.2">
      <c r="A3650" s="5">
        <v>3589</v>
      </c>
      <c r="B3650" s="1832">
        <f>'Expenditures 15-22'!G367</f>
        <v>149180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159501</v>
      </c>
      <c r="C3669" s="2" t="s">
        <v>569</v>
      </c>
      <c r="D3669" s="2" t="str">
        <f t="shared" si="56"/>
        <v>Error?</v>
      </c>
    </row>
    <row r="3670" spans="1:4" x14ac:dyDescent="0.2">
      <c r="A3670" s="5">
        <v>3609</v>
      </c>
      <c r="B3670" s="1832">
        <f>'Expenditures 15-22'!K350</f>
        <v>159501</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159501</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159501</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-159309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470742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7910103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27573222</v>
      </c>
      <c r="C4122" s="2" t="s">
        <v>569</v>
      </c>
      <c r="D4122" s="2" t="str">
        <f t="shared" si="63"/>
        <v>Error?</v>
      </c>
    </row>
    <row r="4123" spans="1:4" x14ac:dyDescent="0.2">
      <c r="A4123" s="5">
        <v>4062</v>
      </c>
      <c r="B4123" s="1832">
        <f>'Acct Summary 7-8'!D10</f>
        <v>1841070</v>
      </c>
      <c r="C4123" s="2" t="s">
        <v>569</v>
      </c>
      <c r="D4123" s="2" t="str">
        <f t="shared" si="63"/>
        <v>Error?</v>
      </c>
    </row>
    <row r="4124" spans="1:4" x14ac:dyDescent="0.2">
      <c r="A4124" s="5">
        <v>4063</v>
      </c>
      <c r="B4124" s="1832">
        <f>'Acct Summary 7-8'!E10</f>
        <v>1720594</v>
      </c>
      <c r="C4124" s="2" t="s">
        <v>569</v>
      </c>
      <c r="D4124" s="2" t="str">
        <f t="shared" si="63"/>
        <v>Error?</v>
      </c>
    </row>
    <row r="4125" spans="1:4" x14ac:dyDescent="0.2">
      <c r="A4125" s="5">
        <v>4064</v>
      </c>
      <c r="B4125" s="1832">
        <f>'Acct Summary 7-8'!F10</f>
        <v>919775</v>
      </c>
      <c r="C4125" s="2" t="s">
        <v>569</v>
      </c>
      <c r="D4125" s="2" t="str">
        <f t="shared" si="63"/>
        <v>Error?</v>
      </c>
    </row>
    <row r="4126" spans="1:4" x14ac:dyDescent="0.2">
      <c r="A4126" s="5">
        <v>4065</v>
      </c>
      <c r="B4126" s="1832">
        <f>'Acct Summary 7-8'!G10</f>
        <v>660583</v>
      </c>
      <c r="C4126" s="2" t="s">
        <v>569</v>
      </c>
      <c r="D4126" s="2" t="str">
        <f t="shared" si="63"/>
        <v>Error?</v>
      </c>
    </row>
    <row r="4127" spans="1:4" x14ac:dyDescent="0.2">
      <c r="A4127" s="5">
        <v>4066</v>
      </c>
      <c r="B4127" s="1832">
        <f>'Acct Summary 7-8'!H10</f>
        <v>236871</v>
      </c>
      <c r="C4127" s="2" t="s">
        <v>569</v>
      </c>
      <c r="D4127" s="2" t="str">
        <f t="shared" si="63"/>
        <v>Error?</v>
      </c>
    </row>
    <row r="4128" spans="1:4" x14ac:dyDescent="0.2">
      <c r="A4128" s="5">
        <v>4067</v>
      </c>
      <c r="B4128" s="1832">
        <f>'Acct Summary 7-8'!I10</f>
        <v>10214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192</v>
      </c>
      <c r="C4130" s="2" t="s">
        <v>569</v>
      </c>
      <c r="D4130" s="2" t="str">
        <f t="shared" si="63"/>
        <v>Error?</v>
      </c>
    </row>
    <row r="4131" spans="1:4" x14ac:dyDescent="0.2">
      <c r="A4131" s="5">
        <v>4070</v>
      </c>
      <c r="B4131" s="1832">
        <f>'Acct Summary 7-8'!C18</f>
        <v>7910103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27952549</v>
      </c>
      <c r="C4136" s="2" t="s">
        <v>569</v>
      </c>
      <c r="D4136" s="2" t="str">
        <f t="shared" si="63"/>
        <v>Error?</v>
      </c>
    </row>
    <row r="4137" spans="1:4" x14ac:dyDescent="0.2">
      <c r="A4137" s="5">
        <v>4076</v>
      </c>
      <c r="B4137" s="1832">
        <f>'Acct Summary 7-8'!D19</f>
        <v>1625853</v>
      </c>
      <c r="C4137" s="2" t="s">
        <v>569</v>
      </c>
      <c r="D4137" s="2" t="str">
        <f t="shared" si="63"/>
        <v>Error?</v>
      </c>
    </row>
    <row r="4138" spans="1:4" x14ac:dyDescent="0.2">
      <c r="A4138" s="5">
        <v>4077</v>
      </c>
      <c r="B4138" s="1832">
        <f>'Acct Summary 7-8'!E19</f>
        <v>1888295</v>
      </c>
      <c r="C4138" s="2" t="s">
        <v>569</v>
      </c>
      <c r="D4138" s="2" t="str">
        <f t="shared" si="63"/>
        <v>Error?</v>
      </c>
    </row>
    <row r="4139" spans="1:4" x14ac:dyDescent="0.2">
      <c r="A4139" s="5">
        <v>4078</v>
      </c>
      <c r="B4139" s="1832">
        <f>'Acct Summary 7-8'!F19</f>
        <v>1007641</v>
      </c>
      <c r="C4139" s="2" t="s">
        <v>569</v>
      </c>
      <c r="D4139" s="2" t="str">
        <f t="shared" si="63"/>
        <v>Error?</v>
      </c>
    </row>
    <row r="4140" spans="1:4" x14ac:dyDescent="0.2">
      <c r="A4140" s="5">
        <v>4079</v>
      </c>
      <c r="B4140" s="1832">
        <f>'Acct Summary 7-8'!G19</f>
        <v>616128</v>
      </c>
      <c r="C4140" s="2" t="s">
        <v>569</v>
      </c>
      <c r="D4140" s="2" t="str">
        <f t="shared" si="63"/>
        <v>Error?</v>
      </c>
    </row>
    <row r="4141" spans="1:4" x14ac:dyDescent="0.2">
      <c r="A4141" s="5">
        <v>4080</v>
      </c>
      <c r="B4141" s="1832">
        <f>'Acct Summary 7-8'!H19</f>
        <v>93973</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159501</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17965000</v>
      </c>
      <c r="C4171" s="2" t="s">
        <v>569</v>
      </c>
      <c r="D4171" s="2" t="str">
        <f t="shared" si="64"/>
        <v>Error?</v>
      </c>
    </row>
    <row r="4172" spans="1:4" x14ac:dyDescent="0.2">
      <c r="A4172" s="5">
        <v>4111</v>
      </c>
      <c r="B4172" s="1832">
        <f>'Short-Term Long-Term Debt 24'!J49</f>
        <v>17916600</v>
      </c>
      <c r="C4172" s="2" t="s">
        <v>569</v>
      </c>
      <c r="D4172" s="2" t="str">
        <f t="shared" si="64"/>
        <v>Error?</v>
      </c>
    </row>
    <row r="4173" spans="1:4" x14ac:dyDescent="0.2">
      <c r="A4173" s="5">
        <v>4112</v>
      </c>
      <c r="B4173" s="1832">
        <f>'Short-Term Long-Term Debt 24'!H49</f>
        <v>905425</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-5000000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2560</v>
      </c>
      <c r="C4265" s="2" t="s">
        <v>569</v>
      </c>
      <c r="D4265" s="2" t="str">
        <f t="shared" si="65"/>
        <v>Error?</v>
      </c>
      <c r="E4265" s="125"/>
    </row>
    <row r="4266" spans="1:5" x14ac:dyDescent="0.2">
      <c r="A4266" s="12">
        <v>4205</v>
      </c>
      <c r="B4266" s="1832">
        <f>('FP Info 3'!F10)*100000</f>
        <v>397.5</v>
      </c>
      <c r="C4266" s="2" t="s">
        <v>569</v>
      </c>
      <c r="D4266" s="2" t="str">
        <f t="shared" si="65"/>
        <v>Error?</v>
      </c>
      <c r="E4266" s="125"/>
    </row>
    <row r="4267" spans="1:5" x14ac:dyDescent="0.2">
      <c r="A4267" s="12">
        <v>4206</v>
      </c>
      <c r="B4267" s="1832">
        <f>('FP Info 3'!H10)*100000</f>
        <v>176.7</v>
      </c>
      <c r="C4267" s="2" t="s">
        <v>569</v>
      </c>
      <c r="D4267" s="2" t="str">
        <f t="shared" si="65"/>
        <v>Error?</v>
      </c>
      <c r="E4267" s="125"/>
    </row>
    <row r="4268" spans="1:5" x14ac:dyDescent="0.2">
      <c r="A4268" s="12">
        <v>4207</v>
      </c>
      <c r="B4268" s="1832">
        <f>('FP Info 3'!J10)*100000</f>
        <v>3134</v>
      </c>
      <c r="C4268" s="2" t="s">
        <v>569</v>
      </c>
      <c r="D4268" s="2" t="str">
        <f t="shared" si="65"/>
        <v>Error?</v>
      </c>
    </row>
    <row r="4269" spans="1:5" x14ac:dyDescent="0.2">
      <c r="A4269" s="12">
        <v>4208</v>
      </c>
      <c r="B4269" s="1832">
        <f>'FP Info 3'!J16</f>
        <v>10197724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418123</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52927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84548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55349</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69597</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61117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553775</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9.1</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553775</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97766</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124063838</v>
      </c>
      <c r="D4995" s="2" t="str">
        <f t="shared" si="77"/>
        <v>Error?</v>
      </c>
    </row>
    <row r="4996" spans="1:4" x14ac:dyDescent="0.2">
      <c r="A4996" s="12">
        <v>4935</v>
      </c>
      <c r="B4996" s="1832">
        <f>'FP Info 3'!H31</f>
        <v>8560404.8220000006</v>
      </c>
      <c r="D4996" s="2" t="str">
        <f t="shared" si="77"/>
        <v>Error?</v>
      </c>
    </row>
    <row r="4997" spans="1:4" x14ac:dyDescent="0.2">
      <c r="A4997" s="12">
        <v>4936</v>
      </c>
      <c r="B4997" s="1832">
        <f>'FP Info 3'!H37</f>
        <v>17965000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2780334</v>
      </c>
      <c r="D5061" s="2" t="str">
        <f t="shared" si="78"/>
        <v>Error?</v>
      </c>
    </row>
    <row r="5062" spans="1:4" x14ac:dyDescent="0.2">
      <c r="A5062" s="10">
        <v>5001</v>
      </c>
      <c r="B5062" s="1832"/>
      <c r="D5062" s="2" t="str">
        <f t="shared" si="78"/>
        <v>OK</v>
      </c>
    </row>
    <row r="5063" spans="1:4" x14ac:dyDescent="0.2">
      <c r="A5063" s="5">
        <v>5002</v>
      </c>
      <c r="B5063" s="1832">
        <f>'Revenues 9-14'!C7</f>
        <v>280652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3060986</v>
      </c>
      <c r="C5066" s="2" t="s">
        <v>569</v>
      </c>
      <c r="D5066" s="2" t="str">
        <f t="shared" si="78"/>
        <v>Error?</v>
      </c>
    </row>
    <row r="5067" spans="1:4" x14ac:dyDescent="0.2">
      <c r="A5067" s="5">
        <v>5006</v>
      </c>
      <c r="B5067" s="1832">
        <f>'Revenues 9-14'!C14</f>
        <v>7193</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221986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229179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11746</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11746</v>
      </c>
      <c r="C5087" s="2" t="s">
        <v>569</v>
      </c>
      <c r="D5087" s="2" t="str">
        <f t="shared" si="78"/>
        <v>Error?</v>
      </c>
    </row>
    <row r="5088" spans="1:4" x14ac:dyDescent="0.2">
      <c r="A5088" s="5">
        <v>5027</v>
      </c>
      <c r="B5088" s="1832">
        <f>'Revenues 9-14'!C65</f>
        <v>49227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49227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48</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1085</v>
      </c>
      <c r="D5094" s="2" t="str">
        <f t="shared" si="78"/>
        <v>Error?</v>
      </c>
    </row>
    <row r="5095" spans="1:4" x14ac:dyDescent="0.2">
      <c r="A5095" s="5">
        <v>5034</v>
      </c>
      <c r="B5095" s="1832">
        <f>'Revenues 9-14'!C74</f>
        <v>2035</v>
      </c>
      <c r="D5095" s="2" t="str">
        <f t="shared" si="78"/>
        <v>Error?</v>
      </c>
    </row>
    <row r="5096" spans="1:4" x14ac:dyDescent="0.2">
      <c r="A5096" s="5">
        <v>5035</v>
      </c>
      <c r="B5096" s="1832">
        <f>'Revenues 9-14'!C75</f>
        <v>3168</v>
      </c>
      <c r="C5096" s="2" t="s">
        <v>569</v>
      </c>
      <c r="D5096" s="2" t="str">
        <f t="shared" si="78"/>
        <v>Error?</v>
      </c>
    </row>
    <row r="5097" spans="1:4" x14ac:dyDescent="0.2">
      <c r="A5097" s="5">
        <v>5036</v>
      </c>
      <c r="B5097" s="1832">
        <f>'Revenues 9-14'!C77</f>
        <v>10108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952</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11060</v>
      </c>
      <c r="C5102" s="2" t="s">
        <v>569</v>
      </c>
      <c r="D5102" s="2" t="str">
        <f t="shared" si="78"/>
        <v>Error?</v>
      </c>
    </row>
    <row r="5103" spans="1:4" x14ac:dyDescent="0.2">
      <c r="A5103" s="5">
        <v>5042</v>
      </c>
      <c r="B5103" s="1832">
        <f>'Revenues 9-14'!C84</f>
        <v>14214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14214</v>
      </c>
      <c r="C5112" s="2" t="s">
        <v>569</v>
      </c>
      <c r="D5112" s="2" t="str">
        <f t="shared" si="78"/>
        <v>Error?</v>
      </c>
    </row>
    <row r="5113" spans="1:4" x14ac:dyDescent="0.2">
      <c r="A5113" s="5">
        <v>5052</v>
      </c>
      <c r="B5113" s="1832">
        <f>'Revenues 9-14'!C95</f>
        <v>1090</v>
      </c>
      <c r="D5113" s="2" t="str">
        <f t="shared" si="78"/>
        <v>Error?</v>
      </c>
    </row>
    <row r="5114" spans="1:4" x14ac:dyDescent="0.2">
      <c r="A5114" s="5">
        <v>5053</v>
      </c>
      <c r="B5114" s="1832">
        <f>'Revenues 9-14'!C96</f>
        <v>88135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10818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23311</v>
      </c>
      <c r="D5119" s="2" t="str">
        <f t="shared" ref="D5119:D5182" si="79">IF(ISBLANK(B5119),"OK",IF(A5119-B5119=0,"OK","Error?"))</f>
        <v>Error?</v>
      </c>
    </row>
    <row r="5120" spans="1:4" x14ac:dyDescent="0.2">
      <c r="A5120" s="5">
        <v>5059</v>
      </c>
      <c r="B5120" s="1832">
        <f>'Revenues 9-14'!C108</f>
        <v>123354</v>
      </c>
      <c r="C5120" s="2" t="s">
        <v>569</v>
      </c>
      <c r="D5120" s="2" t="str">
        <f t="shared" si="79"/>
        <v>Error?</v>
      </c>
    </row>
    <row r="5121" spans="1:4" x14ac:dyDescent="0.2">
      <c r="A5121" s="5">
        <v>5060</v>
      </c>
      <c r="B5121" s="1832">
        <f>'Revenues 9-14'!C109</f>
        <v>3502934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11566118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11566118</v>
      </c>
      <c r="C5132" s="2" t="s">
        <v>569</v>
      </c>
      <c r="D5132" s="2" t="str">
        <f t="shared" si="79"/>
        <v>Error?</v>
      </c>
    </row>
    <row r="5133" spans="1:4" x14ac:dyDescent="0.2">
      <c r="A5133" s="5">
        <v>5072</v>
      </c>
      <c r="B5133" s="1832">
        <f>'Revenues 9-14'!C125</f>
        <v>271233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54740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325973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17573</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379174</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820486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12386604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630132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362067</v>
      </c>
      <c r="D5241" s="2" t="str">
        <f t="shared" si="80"/>
        <v>Error?</v>
      </c>
    </row>
    <row r="5242" spans="1:4" x14ac:dyDescent="0.2">
      <c r="A5242" s="5">
        <v>5181</v>
      </c>
      <c r="B5242" s="1832">
        <f>'Revenues 9-14'!C194</f>
        <v>197068</v>
      </c>
      <c r="D5242" s="2" t="str">
        <f t="shared" si="80"/>
        <v>Error?</v>
      </c>
    </row>
    <row r="5243" spans="1:4" x14ac:dyDescent="0.2">
      <c r="A5243" s="5">
        <v>5182</v>
      </c>
      <c r="B5243" s="1832">
        <f>'Revenues 9-14'!C195</f>
        <v>13752</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1203019</v>
      </c>
      <c r="C5246" s="2" t="s">
        <v>569</v>
      </c>
      <c r="D5246" s="2" t="str">
        <f t="shared" si="80"/>
        <v>Error?</v>
      </c>
    </row>
    <row r="5247" spans="1:4" x14ac:dyDescent="0.2">
      <c r="A5247" s="5">
        <v>5186</v>
      </c>
      <c r="B5247" s="1832">
        <f>'Revenues 9-14'!C200</f>
        <v>1067279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55349</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1485402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28611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588434</v>
      </c>
      <c r="D5278" s="2" t="str">
        <f t="shared" si="81"/>
        <v>Error?</v>
      </c>
    </row>
    <row r="5279" spans="1:4" x14ac:dyDescent="0.2">
      <c r="A5279" s="5">
        <v>5218</v>
      </c>
      <c r="B5279" s="1832">
        <f>'Revenues 9-14'!C214</f>
        <v>144577</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761622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3773581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3773581</v>
      </c>
      <c r="C5326" s="2" t="s">
        <v>569</v>
      </c>
      <c r="D5326" s="2" t="str">
        <f t="shared" si="82"/>
        <v>Error?</v>
      </c>
    </row>
    <row r="5327" spans="1:5" x14ac:dyDescent="0.2">
      <c r="A5327" s="5">
        <v>5266</v>
      </c>
      <c r="B5327" s="1832">
        <f>'Revenues 9-14'!C268</f>
        <v>19663119</v>
      </c>
      <c r="C5327" s="2" t="s">
        <v>569</v>
      </c>
      <c r="D5327" s="2" t="str">
        <f t="shared" si="82"/>
        <v>Error?</v>
      </c>
    </row>
    <row r="5328" spans="1:5" x14ac:dyDescent="0.2">
      <c r="A5328" s="5">
        <v>5267</v>
      </c>
      <c r="B5328" s="1832">
        <f>'Revenues 9-14'!D5</f>
        <v>322666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322666</v>
      </c>
      <c r="C5334" s="2" t="s">
        <v>569</v>
      </c>
      <c r="D5334" s="2" t="str">
        <f t="shared" si="82"/>
        <v>Error?</v>
      </c>
    </row>
    <row r="5335" spans="1:4" x14ac:dyDescent="0.2">
      <c r="A5335" s="5">
        <v>5274</v>
      </c>
      <c r="B5335" s="1832">
        <f>'Revenues 9-14'!D14</f>
        <v>728</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728</v>
      </c>
      <c r="C5339" s="2" t="s">
        <v>569</v>
      </c>
      <c r="D5339" s="2" t="str">
        <f t="shared" si="82"/>
        <v>Error?</v>
      </c>
    </row>
    <row r="5340" spans="1:4" x14ac:dyDescent="0.2">
      <c r="A5340" s="5">
        <v>5279</v>
      </c>
      <c r="B5340" s="1832">
        <f>'Revenues 9-14'!D65</f>
        <v>741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741</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3000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4683</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2388</v>
      </c>
      <c r="D5354" s="2" t="str">
        <f t="shared" si="82"/>
        <v>Error?</v>
      </c>
    </row>
    <row r="5355" spans="1:4" x14ac:dyDescent="0.2">
      <c r="A5355" s="5">
        <v>5294</v>
      </c>
      <c r="B5355" s="1832">
        <f>'Revenues 9-14'!D108</f>
        <v>336935</v>
      </c>
      <c r="C5355" s="2" t="s">
        <v>569</v>
      </c>
      <c r="D5355" s="2" t="str">
        <f t="shared" si="82"/>
        <v>Error?</v>
      </c>
    </row>
    <row r="5356" spans="1:4" x14ac:dyDescent="0.2">
      <c r="A5356" s="5">
        <v>5295</v>
      </c>
      <c r="B5356" s="1832">
        <f>'Revenues 9-14'!D109</f>
        <v>661070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1180000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1180000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1180000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1841070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759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759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4174</v>
      </c>
      <c r="D5525" s="2" t="str">
        <f t="shared" si="85"/>
        <v>Error?</v>
      </c>
    </row>
    <row r="5526" spans="1:4" x14ac:dyDescent="0.2">
      <c r="A5526" s="5">
        <v>5465</v>
      </c>
      <c r="B5526" s="1832">
        <f>'Revenues 9-14'!E108</f>
        <v>1166060</v>
      </c>
      <c r="C5526" s="2" t="s">
        <v>569</v>
      </c>
      <c r="D5526" s="2" t="str">
        <f t="shared" si="85"/>
        <v>Error?</v>
      </c>
    </row>
    <row r="5527" spans="1:4" x14ac:dyDescent="0.2">
      <c r="A5527" s="5">
        <v>5466</v>
      </c>
      <c r="B5527" s="1832">
        <f>'Revenues 9-14'!E109</f>
        <v>1166819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1720594</v>
      </c>
      <c r="C5552" s="2" t="s">
        <v>569</v>
      </c>
      <c r="D5552" s="2" t="str">
        <f t="shared" si="85"/>
        <v>Error?</v>
      </c>
    </row>
    <row r="5553" spans="1:4" x14ac:dyDescent="0.2">
      <c r="A5553" s="5">
        <v>5492</v>
      </c>
      <c r="B5553" s="1832">
        <f>'Revenues 9-14'!F5</f>
        <v>218212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218212</v>
      </c>
      <c r="C5557" s="2" t="s">
        <v>569</v>
      </c>
      <c r="D5557" s="2" t="str">
        <f t="shared" si="85"/>
        <v>Error?</v>
      </c>
    </row>
    <row r="5558" spans="1:4" x14ac:dyDescent="0.2">
      <c r="A5558" s="5">
        <v>5497</v>
      </c>
      <c r="B5558" s="1832">
        <f>'Revenues 9-14'!F14</f>
        <v>520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520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502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502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2729</v>
      </c>
      <c r="D5586" s="2" t="str">
        <f t="shared" si="86"/>
        <v>Error?</v>
      </c>
    </row>
    <row r="5587" spans="1:4" x14ac:dyDescent="0.2">
      <c r="A5587" s="5">
        <v>5526</v>
      </c>
      <c r="B5587" s="1832">
        <f>'Revenues 9-14'!F108</f>
        <v>2729</v>
      </c>
      <c r="C5587" s="2" t="s">
        <v>569</v>
      </c>
      <c r="D5587" s="2" t="str">
        <f t="shared" si="86"/>
        <v>Error?</v>
      </c>
    </row>
    <row r="5588" spans="1:4" x14ac:dyDescent="0.2">
      <c r="A5588" s="5">
        <v>5527</v>
      </c>
      <c r="B5588" s="1832">
        <f>'Revenues 9-14'!F109</f>
        <v>221963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161881</v>
      </c>
      <c r="D5615" s="2" t="str">
        <f t="shared" si="86"/>
        <v>Error?</v>
      </c>
    </row>
    <row r="5616" spans="1:4" x14ac:dyDescent="0.2">
      <c r="A5616" s="10">
        <v>5555</v>
      </c>
      <c r="B5616" s="1832"/>
      <c r="D5616" s="2" t="str">
        <f t="shared" si="86"/>
        <v>OK</v>
      </c>
    </row>
    <row r="5617" spans="1:5" x14ac:dyDescent="0.2">
      <c r="A5617" s="5">
        <v>5556</v>
      </c>
      <c r="B5617" s="1832">
        <f>'Revenues 9-14'!F153</f>
        <v>296516</v>
      </c>
      <c r="D5617" s="2" t="str">
        <f t="shared" si="86"/>
        <v>Error?</v>
      </c>
    </row>
    <row r="5618" spans="1:5" x14ac:dyDescent="0.2">
      <c r="A5618" s="5">
        <v>5557</v>
      </c>
      <c r="B5618" s="1832">
        <f>'Revenues 9-14'!F155</f>
        <v>458397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239415</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697812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697812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919775</v>
      </c>
      <c r="C5720" s="2" t="s">
        <v>569</v>
      </c>
      <c r="D5720" s="2" t="str">
        <f t="shared" si="88"/>
        <v>Error?</v>
      </c>
    </row>
    <row r="5721" spans="1:4" x14ac:dyDescent="0.2">
      <c r="A5721" s="5">
        <v>5660</v>
      </c>
      <c r="B5721" s="1832">
        <f>'Revenues 9-14'!G5</f>
        <v>285080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359425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644505</v>
      </c>
      <c r="C5725" s="2" t="s">
        <v>569</v>
      </c>
      <c r="D5725" s="2" t="str">
        <f t="shared" si="88"/>
        <v>Error?</v>
      </c>
    </row>
    <row r="5726" spans="1:4" x14ac:dyDescent="0.2">
      <c r="A5726" s="5">
        <v>5665</v>
      </c>
      <c r="B5726" s="1832">
        <f>'Revenues 9-14'!G14</f>
        <v>1517</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14169</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15686</v>
      </c>
      <c r="C5730" s="2" t="s">
        <v>569</v>
      </c>
      <c r="D5730" s="2" t="str">
        <f t="shared" si="88"/>
        <v>Error?</v>
      </c>
    </row>
    <row r="5731" spans="1:4" x14ac:dyDescent="0.2">
      <c r="A5731" s="5">
        <v>5670</v>
      </c>
      <c r="B5731" s="1832">
        <f>'Revenues 9-14'!G65</f>
        <v>392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392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660583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1776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1776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192054</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43041</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43041</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236871</v>
      </c>
      <c r="C5915" s="2" t="s">
        <v>569</v>
      </c>
      <c r="D5915" s="2" t="str">
        <f t="shared" si="91"/>
        <v>Error?</v>
      </c>
    </row>
    <row r="5916" spans="1:4" x14ac:dyDescent="0.2">
      <c r="A5916" s="5">
        <v>5855</v>
      </c>
      <c r="B5916" s="1832">
        <f>'Revenues 9-14'!I5</f>
        <v>9529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9529</v>
      </c>
      <c r="C5918" s="2" t="s">
        <v>569</v>
      </c>
      <c r="D5918" s="2" t="str">
        <f t="shared" si="91"/>
        <v>Error?</v>
      </c>
    </row>
    <row r="5919" spans="1:4" x14ac:dyDescent="0.2">
      <c r="A5919" s="5">
        <v>5858</v>
      </c>
      <c r="B5919" s="1832">
        <f>'Revenues 9-14'!I14</f>
        <v>22</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22</v>
      </c>
      <c r="C5923" s="2" t="s">
        <v>569</v>
      </c>
      <c r="D5923" s="2" t="str">
        <f t="shared" si="91"/>
        <v>Error?</v>
      </c>
    </row>
    <row r="5924" spans="1:4" x14ac:dyDescent="0.2">
      <c r="A5924" s="5">
        <v>5863</v>
      </c>
      <c r="B5924" s="1832">
        <f>'Revenues 9-14'!I65</f>
        <v>663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663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10214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192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192</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192</v>
      </c>
      <c r="C6023" s="2" t="s">
        <v>569</v>
      </c>
      <c r="D6023" s="2" t="str">
        <f t="shared" si="93"/>
        <v>Error?</v>
      </c>
    </row>
    <row r="6024" spans="1:5" x14ac:dyDescent="0.2">
      <c r="A6024" s="5">
        <v>5963</v>
      </c>
      <c r="B6024" s="1832">
        <f>'Revenues 9-14'!G109</f>
        <v>660583</v>
      </c>
      <c r="C6024" s="2" t="s">
        <v>569</v>
      </c>
      <c r="D6024" s="2" t="str">
        <f t="shared" si="93"/>
        <v>Error?</v>
      </c>
    </row>
    <row r="6025" spans="1:5" x14ac:dyDescent="0.2">
      <c r="A6025" s="5">
        <v>5964</v>
      </c>
      <c r="B6025" s="1832">
        <f>'Revenues 9-14'!H109</f>
        <v>193830</v>
      </c>
      <c r="C6025" s="2" t="s">
        <v>569</v>
      </c>
      <c r="D6025" s="2" t="str">
        <f t="shared" si="93"/>
        <v>Error?</v>
      </c>
    </row>
    <row r="6026" spans="1:5" x14ac:dyDescent="0.2">
      <c r="A6026" s="5">
        <v>5965</v>
      </c>
      <c r="B6026" s="1832">
        <f>'Revenues 9-14'!I109</f>
        <v>10214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192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77172</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1616.2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1482</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247846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1626681</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247846</v>
      </c>
      <c r="D6215" s="2" t="str">
        <f t="shared" si="96"/>
        <v>Error?</v>
      </c>
      <c r="E6215" s="2" t="s">
        <v>189</v>
      </c>
    </row>
    <row r="6216" spans="1:5" x14ac:dyDescent="0.2">
      <c r="A6216">
        <v>6155</v>
      </c>
      <c r="B6216" s="1832">
        <f>'Assets-Liab 5-6'!J41</f>
        <v>247846</v>
      </c>
      <c r="D6216" s="2" t="str">
        <f t="shared" si="96"/>
        <v>Error?</v>
      </c>
      <c r="E6216" s="2" t="s">
        <v>189</v>
      </c>
    </row>
    <row r="6217" spans="1:5" x14ac:dyDescent="0.2">
      <c r="A6217">
        <v>6156</v>
      </c>
      <c r="B6217" s="1832">
        <f>'Assets-Liab 5-6'!J4</f>
        <v>247846</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263172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263172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263172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237881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237881</v>
      </c>
      <c r="D6229" s="2" t="str">
        <f t="shared" si="96"/>
        <v>Error?</v>
      </c>
      <c r="E6229" s="2" t="s">
        <v>189</v>
      </c>
    </row>
    <row r="6230" spans="1:5" x14ac:dyDescent="0.2">
      <c r="A6230">
        <v>6169</v>
      </c>
      <c r="B6230" s="1832">
        <f>'Acct Summary 7-8'!J20</f>
        <v>25291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25291</v>
      </c>
      <c r="D6263" s="2" t="str">
        <f t="shared" si="96"/>
        <v>Error?</v>
      </c>
      <c r="E6263" s="2" t="s">
        <v>189</v>
      </c>
    </row>
    <row r="6264" spans="1:5" x14ac:dyDescent="0.2">
      <c r="A6264">
        <v>6203</v>
      </c>
      <c r="B6264" s="1832">
        <f>'Acct Summary 7-8'!J79</f>
        <v>222555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247846</v>
      </c>
      <c r="D6266" s="2" t="str">
        <f t="shared" si="96"/>
        <v>Error?</v>
      </c>
      <c r="E6266" s="2" t="s">
        <v>189</v>
      </c>
    </row>
    <row r="6267" spans="1:5" x14ac:dyDescent="0.2">
      <c r="A6267">
        <v>6206</v>
      </c>
      <c r="B6267" s="1832">
        <f>'Acct Summary 7-8'!C82</f>
        <v>-379327</v>
      </c>
      <c r="D6267" s="2" t="str">
        <f t="shared" si="96"/>
        <v>Error?</v>
      </c>
      <c r="E6267" s="2" t="s">
        <v>189</v>
      </c>
    </row>
    <row r="6268" spans="1:5" x14ac:dyDescent="0.2">
      <c r="A6268">
        <v>6207</v>
      </c>
      <c r="B6268" s="1832">
        <f>'Acct Summary 7-8'!D82</f>
        <v>215217</v>
      </c>
      <c r="D6268" s="2" t="str">
        <f t="shared" si="96"/>
        <v>Error?</v>
      </c>
      <c r="E6268" s="2" t="s">
        <v>189</v>
      </c>
    </row>
    <row r="6269" spans="1:5" x14ac:dyDescent="0.2">
      <c r="A6269">
        <v>6208</v>
      </c>
      <c r="B6269" s="1832">
        <f>'Acct Summary 7-8'!E82</f>
        <v>-167701</v>
      </c>
      <c r="D6269" s="2" t="str">
        <f t="shared" si="96"/>
        <v>Error?</v>
      </c>
      <c r="E6269" s="2" t="s">
        <v>189</v>
      </c>
    </row>
    <row r="6270" spans="1:5" x14ac:dyDescent="0.2">
      <c r="A6270">
        <v>6209</v>
      </c>
      <c r="B6270" s="1832">
        <f>'Acct Summary 7-8'!F82</f>
        <v>-87866</v>
      </c>
      <c r="D6270" s="2" t="str">
        <f t="shared" si="96"/>
        <v>Error?</v>
      </c>
      <c r="E6270" s="2" t="s">
        <v>189</v>
      </c>
    </row>
    <row r="6271" spans="1:5" x14ac:dyDescent="0.2">
      <c r="A6271">
        <v>6210</v>
      </c>
      <c r="B6271" s="1832">
        <f>'Acct Summary 7-8'!G82</f>
        <v>44455</v>
      </c>
      <c r="D6271" s="2" t="str">
        <f t="shared" ref="D6271:D6334" si="97">IF(ISBLANK(B6271),"OK",IF(A6271-B6271=0,"OK","Error?"))</f>
        <v>Error?</v>
      </c>
      <c r="E6271" s="2" t="s">
        <v>189</v>
      </c>
    </row>
    <row r="6272" spans="1:5" x14ac:dyDescent="0.2">
      <c r="A6272">
        <v>6211</v>
      </c>
      <c r="B6272" s="1832">
        <f>'Acct Summary 7-8'!H82</f>
        <v>142898</v>
      </c>
      <c r="D6272" s="2" t="str">
        <f t="shared" si="97"/>
        <v>Error?</v>
      </c>
      <c r="E6272" s="2" t="s">
        <v>189</v>
      </c>
    </row>
    <row r="6273" spans="1:5" x14ac:dyDescent="0.2">
      <c r="A6273">
        <v>6212</v>
      </c>
      <c r="B6273" s="1832">
        <f>'Acct Summary 7-8'!I82</f>
        <v>10214</v>
      </c>
      <c r="D6273" s="2" t="str">
        <f t="shared" si="97"/>
        <v>Error?</v>
      </c>
      <c r="E6273" s="2" t="s">
        <v>189</v>
      </c>
    </row>
    <row r="6274" spans="1:5" x14ac:dyDescent="0.2">
      <c r="A6274">
        <v>6213</v>
      </c>
      <c r="B6274" s="1832">
        <f>'Acct Summary 7-8'!J82</f>
        <v>25291</v>
      </c>
      <c r="D6274" s="2" t="str">
        <f t="shared" si="97"/>
        <v>Error?</v>
      </c>
      <c r="E6274" s="2" t="s">
        <v>189</v>
      </c>
    </row>
    <row r="6275" spans="1:5" x14ac:dyDescent="0.2">
      <c r="A6275">
        <v>6214</v>
      </c>
      <c r="B6275" s="1832">
        <f>'Acct Summary 7-8'!K82</f>
        <v>-159309</v>
      </c>
      <c r="D6275" s="2" t="str">
        <f t="shared" si="97"/>
        <v>Error?</v>
      </c>
      <c r="E6275" s="2" t="s">
        <v>189</v>
      </c>
    </row>
    <row r="6276" spans="1:5" x14ac:dyDescent="0.2">
      <c r="A6276">
        <v>6215</v>
      </c>
      <c r="B6276" s="1832">
        <f>'Acct Summary 7-8'!C83</f>
        <v>-4.5050744691742063E-2</v>
      </c>
      <c r="D6276" s="2" t="str">
        <f t="shared" si="97"/>
        <v>Error?</v>
      </c>
      <c r="E6276" s="2" t="s">
        <v>189</v>
      </c>
    </row>
    <row r="6277" spans="1:5" x14ac:dyDescent="0.2">
      <c r="A6277">
        <v>6216</v>
      </c>
      <c r="B6277" s="1832">
        <f>'Acct Summary 7-8'!D83</f>
        <v>0.23420289161136709</v>
      </c>
      <c r="D6277" s="2" t="str">
        <f t="shared" si="97"/>
        <v>Error?</v>
      </c>
      <c r="E6277" s="2" t="s">
        <v>189</v>
      </c>
    </row>
    <row r="6278" spans="1:5" x14ac:dyDescent="0.2">
      <c r="A6278">
        <v>6217</v>
      </c>
      <c r="B6278" s="1832">
        <f>'Acct Summary 7-8'!E83</f>
        <v>-3.4648966942148762</v>
      </c>
      <c r="D6278" s="2" t="str">
        <f t="shared" si="97"/>
        <v>Error?</v>
      </c>
      <c r="E6278" s="2" t="s">
        <v>189</v>
      </c>
    </row>
    <row r="6279" spans="1:5" x14ac:dyDescent="0.2">
      <c r="A6279">
        <v>6218</v>
      </c>
      <c r="B6279" s="1832">
        <f>'Acct Summary 7-8'!F83</f>
        <v>-0.29806100572607125</v>
      </c>
      <c r="D6279" s="2" t="str">
        <f t="shared" si="97"/>
        <v>Error?</v>
      </c>
      <c r="E6279" s="2" t="s">
        <v>189</v>
      </c>
    </row>
    <row r="6280" spans="1:5" x14ac:dyDescent="0.2">
      <c r="A6280">
        <v>6219</v>
      </c>
      <c r="B6280" s="1832">
        <f>'Acct Summary 7-8'!G83</f>
        <v>0.25341602868495011</v>
      </c>
      <c r="D6280" s="2" t="str">
        <f t="shared" si="97"/>
        <v>Error?</v>
      </c>
      <c r="E6280" s="2" t="s">
        <v>189</v>
      </c>
    </row>
    <row r="6281" spans="1:5" x14ac:dyDescent="0.2">
      <c r="A6281">
        <v>6220</v>
      </c>
      <c r="B6281" s="1832">
        <f>'Acct Summary 7-8'!H83</f>
        <v>0.10879542215346384</v>
      </c>
      <c r="D6281" s="2" t="str">
        <f t="shared" si="97"/>
        <v>Error?</v>
      </c>
      <c r="E6281" s="2" t="s">
        <v>189</v>
      </c>
    </row>
    <row r="6282" spans="1:5" x14ac:dyDescent="0.2">
      <c r="A6282">
        <v>6221</v>
      </c>
      <c r="B6282" s="1832">
        <f>'Acct Summary 7-8'!I83</f>
        <v>1.8109800639711775E-2</v>
      </c>
      <c r="D6282" s="2" t="str">
        <f t="shared" si="97"/>
        <v>Error?</v>
      </c>
      <c r="E6282" s="2" t="s">
        <v>189</v>
      </c>
    </row>
    <row r="6283" spans="1:5" x14ac:dyDescent="0.2">
      <c r="A6283">
        <v>6222</v>
      </c>
      <c r="B6283" s="1832">
        <f>'Acct Summary 7-8'!J83</f>
        <v>0.10204320424779903</v>
      </c>
      <c r="D6283" s="2" t="str">
        <f t="shared" si="97"/>
        <v>Error?</v>
      </c>
      <c r="E6283" s="2" t="s">
        <v>189</v>
      </c>
    </row>
    <row r="6284" spans="1:5" x14ac:dyDescent="0.2">
      <c r="A6284">
        <v>6223</v>
      </c>
      <c r="B6284" s="1832">
        <f>'Acct Summary 7-8'!K83</f>
        <v>-8.7778389993939054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255749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255749</v>
      </c>
      <c r="D6301" s="2" t="str">
        <f t="shared" si="97"/>
        <v>Error?</v>
      </c>
      <c r="E6301" s="2" t="s">
        <v>189</v>
      </c>
    </row>
    <row r="6302" spans="1:5" x14ac:dyDescent="0.2">
      <c r="A6302">
        <v>6241</v>
      </c>
      <c r="B6302" s="1832">
        <f>'Revenues 9-14'!J14</f>
        <v>599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599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256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256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326864</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6568</v>
      </c>
      <c r="D6350" s="2" t="str">
        <f t="shared" si="98"/>
        <v>Error?</v>
      </c>
      <c r="E6350" s="2" t="s">
        <v>189</v>
      </c>
    </row>
    <row r="6351" spans="1:5" x14ac:dyDescent="0.2">
      <c r="A6351">
        <v>6290</v>
      </c>
      <c r="B6351" s="1832">
        <f>'Revenues 9-14'!J108</f>
        <v>6568</v>
      </c>
      <c r="D6351" s="2" t="str">
        <f t="shared" si="98"/>
        <v>Error?</v>
      </c>
      <c r="E6351" s="2" t="s">
        <v>189</v>
      </c>
    </row>
    <row r="6352" spans="1:5" x14ac:dyDescent="0.2">
      <c r="A6352">
        <v>6291</v>
      </c>
      <c r="B6352" s="1832">
        <f>'Revenues 9-14'!J109</f>
        <v>263172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390253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553775</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553775</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480836</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54843</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16200</v>
      </c>
      <c r="D6981" s="2" t="str">
        <f t="shared" si="108"/>
        <v>Error?</v>
      </c>
    </row>
    <row r="6982" spans="1:4" x14ac:dyDescent="0.2">
      <c r="A6982">
        <v>6921</v>
      </c>
      <c r="B6982" s="1832">
        <f>'Expenditures 15-22'!K85</f>
        <v>16200</v>
      </c>
      <c r="D6982" s="2" t="str">
        <f t="shared" si="108"/>
        <v>Error?</v>
      </c>
    </row>
    <row r="6983" spans="1:4" x14ac:dyDescent="0.2">
      <c r="A6983">
        <v>6922</v>
      </c>
      <c r="B6983" s="1832">
        <f>'Expenditures 15-22'!H86</f>
        <v>672164</v>
      </c>
      <c r="D6983" s="2" t="str">
        <f t="shared" si="108"/>
        <v>Error?</v>
      </c>
    </row>
    <row r="6984" spans="1:4" x14ac:dyDescent="0.2">
      <c r="A6984">
        <v>6923</v>
      </c>
      <c r="B6984" s="1832">
        <f>'Expenditures 15-22'!K86</f>
        <v>672164</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688364</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237881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263172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25048</v>
      </c>
      <c r="D7073" s="2" t="str">
        <f t="shared" si="109"/>
        <v>Error?</v>
      </c>
    </row>
    <row r="7074" spans="1:4" x14ac:dyDescent="0.2">
      <c r="A7074">
        <v>7013</v>
      </c>
      <c r="B7074" s="1832">
        <f>'Expenditures 15-22'!K216</f>
        <v>25048</v>
      </c>
      <c r="D7074" s="2" t="str">
        <f t="shared" si="109"/>
        <v>Error?</v>
      </c>
    </row>
    <row r="7075" spans="1:4" x14ac:dyDescent="0.2">
      <c r="A7075">
        <v>7014</v>
      </c>
      <c r="B7075" s="1832">
        <f>'Expenditures 15-22'!D218</f>
        <v>6054</v>
      </c>
      <c r="D7075" s="2" t="str">
        <f t="shared" si="109"/>
        <v>Error?</v>
      </c>
    </row>
    <row r="7076" spans="1:4" x14ac:dyDescent="0.2">
      <c r="A7076">
        <v>7015</v>
      </c>
      <c r="B7076" s="1832">
        <f>'Expenditures 15-22'!K218</f>
        <v>6054</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74144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74144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15917</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15917</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3650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3650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7340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7340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113698</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113698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237881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237881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237881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237881</v>
      </c>
      <c r="D7224" s="2" t="str">
        <f t="shared" si="111"/>
        <v>Error?</v>
      </c>
    </row>
    <row r="7225" spans="1:4" x14ac:dyDescent="0.2">
      <c r="A7225">
        <v>7164</v>
      </c>
      <c r="B7225" s="1832">
        <f>'Expenditures 15-22'!K343</f>
        <v>25291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63922</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26661</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51398</v>
      </c>
      <c r="D7251" s="2" t="str">
        <f t="shared" si="112"/>
        <v>Error?</v>
      </c>
    </row>
    <row r="7252" spans="1:4" x14ac:dyDescent="0.2">
      <c r="A7252">
        <f t="shared" si="113"/>
        <v>7191</v>
      </c>
      <c r="B7252" s="1832">
        <f>'Expenditures 15-22'!D9</f>
        <v>3006</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439</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1777565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20507</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20507</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2625</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2625</v>
      </c>
      <c r="D7705" s="2" t="str">
        <f t="shared" si="126"/>
        <v>Error?</v>
      </c>
      <c r="E7705" s="2" t="s">
        <v>822</v>
      </c>
    </row>
    <row r="7706" spans="1:5" x14ac:dyDescent="0.2">
      <c r="A7706">
        <v>7645</v>
      </c>
      <c r="B7706" s="1832">
        <f>'Revenues 9-14'!H167</f>
        <v>43041</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1353940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1353940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280652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93974</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256886</v>
      </c>
      <c r="D7724" s="2" t="str">
        <f t="shared" si="126"/>
        <v>Error?</v>
      </c>
      <c r="E7724" s="2" t="s">
        <v>822</v>
      </c>
      <c r="F7724" s="2"/>
    </row>
    <row r="7725" spans="1:6" x14ac:dyDescent="0.2">
      <c r="A7725">
        <v>7664</v>
      </c>
      <c r="B7725" s="1832">
        <f>'Rest Tax Levies-Tort Im 25'!J19</f>
        <v>905000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1161886</v>
      </c>
      <c r="D7727" s="2" t="str">
        <f t="shared" si="126"/>
        <v>Error?</v>
      </c>
      <c r="E7727" s="2" t="s">
        <v>822</v>
      </c>
    </row>
    <row r="7728" spans="1:6" x14ac:dyDescent="0.2">
      <c r="A7728">
        <v>7667</v>
      </c>
      <c r="B7728" s="1832">
        <f>'Revenues 9-14'!E103</f>
        <v>1161886</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1255860</v>
      </c>
      <c r="D7730" s="2" t="str">
        <f t="shared" si="126"/>
        <v>Error?</v>
      </c>
      <c r="E7730" s="2" t="s">
        <v>822</v>
      </c>
    </row>
    <row r="7731" spans="1:6" x14ac:dyDescent="0.2">
      <c r="A7731">
        <v>7670</v>
      </c>
      <c r="B7731" s="1832">
        <f>'Revenues 9-14'!H103</f>
        <v>192054</v>
      </c>
      <c r="D7731" s="2" t="str">
        <f t="shared" si="126"/>
        <v>Error?</v>
      </c>
      <c r="E7731" s="2" t="s">
        <v>822</v>
      </c>
    </row>
    <row r="7732" spans="1:6" x14ac:dyDescent="0.2">
      <c r="A7732">
        <v>7671</v>
      </c>
      <c r="B7732" s="1832">
        <f>'Rest Tax Levies-Tort Im 25'!J24</f>
        <v>98080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98080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553775</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29565906</v>
      </c>
      <c r="D7817" s="2" t="str">
        <f t="shared" si="128"/>
        <v>Error?</v>
      </c>
      <c r="E7817" s="4" t="s">
        <v>1963</v>
      </c>
    </row>
    <row r="7818" spans="1:5" x14ac:dyDescent="0.2">
      <c r="A7818">
        <v>7757</v>
      </c>
      <c r="B7818" s="1832">
        <f>'PCTC-OEPP 27-28'!F172</f>
        <v>821878</v>
      </c>
      <c r="D7818" s="2" t="str">
        <f t="shared" si="128"/>
        <v>Error?</v>
      </c>
      <c r="E7818" s="4" t="s">
        <v>1977</v>
      </c>
    </row>
    <row r="7819" spans="1:5" x14ac:dyDescent="0.2">
      <c r="A7819">
        <v>7758</v>
      </c>
      <c r="B7819" s="1832">
        <f>'PCTC-OEPP 27-28'!F173</f>
        <v>182412</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25418244</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480836</v>
      </c>
      <c r="D7826" s="2" t="str">
        <f t="shared" si="129"/>
        <v>Error?</v>
      </c>
      <c r="E7826" s="4" t="s">
        <v>1995</v>
      </c>
    </row>
    <row r="7827" spans="1:5" x14ac:dyDescent="0.2">
      <c r="A7827">
        <v>7766</v>
      </c>
      <c r="B7827" s="1832">
        <f>'PCTC-OEPP 27-28'!F35</f>
        <v>54843</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8837</v>
      </c>
      <c r="D7830" s="2" t="str">
        <f t="shared" si="129"/>
        <v>Error?</v>
      </c>
      <c r="E7830" s="4" t="s">
        <v>1995</v>
      </c>
    </row>
    <row r="7831" spans="1:5" x14ac:dyDescent="0.2">
      <c r="A7831">
        <v>7770</v>
      </c>
      <c r="B7831" s="1832">
        <f>'PCTC-OEPP 27-28'!F52</f>
        <v>221329</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3119153</v>
      </c>
      <c r="D7834" s="2" t="str">
        <f t="shared" si="129"/>
        <v>Error?</v>
      </c>
      <c r="E7834" s="4" t="s">
        <v>1995</v>
      </c>
    </row>
    <row r="7835" spans="1:5" x14ac:dyDescent="0.2">
      <c r="A7835">
        <v>7774</v>
      </c>
      <c r="B7835" s="1832">
        <f>'PCTC-OEPP 27-28'!F78</f>
        <v>22299091</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13797.234871921792</v>
      </c>
      <c r="D7837" s="2" t="str">
        <f t="shared" si="129"/>
        <v>Error?</v>
      </c>
      <c r="E7837" s="4" t="s">
        <v>1995</v>
      </c>
    </row>
    <row r="7838" spans="1:5" x14ac:dyDescent="0.2">
      <c r="A7838">
        <v>7777</v>
      </c>
      <c r="B7838" s="1832">
        <f>'PCTC-OEPP 27-28'!F96</f>
        <v>11060</v>
      </c>
      <c r="D7838" s="2" t="str">
        <f t="shared" si="129"/>
        <v>Error?</v>
      </c>
      <c r="E7838" s="4" t="s">
        <v>1995</v>
      </c>
    </row>
    <row r="7839" spans="1:5" x14ac:dyDescent="0.2">
      <c r="A7839">
        <v>7778</v>
      </c>
      <c r="B7839" s="1832">
        <f>'PCTC-OEPP 27-28'!F102</f>
        <v>4090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325973</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458397</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97766</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1203019</v>
      </c>
      <c r="D7858" s="2" t="str">
        <f t="shared" si="129"/>
        <v>Error?</v>
      </c>
      <c r="E7858" s="4" t="s">
        <v>1995</v>
      </c>
    </row>
    <row r="7859" spans="1:5" x14ac:dyDescent="0.2">
      <c r="A7859">
        <v>7798</v>
      </c>
      <c r="B7859" s="1832">
        <f>'PCTC-OEPP 27-28'!F127</f>
        <v>1485402</v>
      </c>
      <c r="D7859" s="2" t="str">
        <f t="shared" si="129"/>
        <v>Error?</v>
      </c>
      <c r="E7859" s="4" t="s">
        <v>1995</v>
      </c>
    </row>
    <row r="7860" spans="1:5" x14ac:dyDescent="0.2">
      <c r="A7860">
        <v>7799</v>
      </c>
      <c r="B7860" s="1832">
        <f>'PCTC-OEPP 27-28'!F128</f>
        <v>55349</v>
      </c>
      <c r="D7860" s="2" t="str">
        <f t="shared" si="129"/>
        <v>Error?</v>
      </c>
      <c r="E7860" s="4" t="s">
        <v>1995</v>
      </c>
    </row>
    <row r="7861" spans="1:5" x14ac:dyDescent="0.2">
      <c r="A7861">
        <v>7800</v>
      </c>
      <c r="B7861" s="1832">
        <f>'PCTC-OEPP 27-28'!F129</f>
        <v>588434</v>
      </c>
      <c r="D7861" s="2" t="str">
        <f t="shared" si="129"/>
        <v>Error?</v>
      </c>
      <c r="E7861" s="4" t="s">
        <v>1995</v>
      </c>
    </row>
    <row r="7862" spans="1:5" x14ac:dyDescent="0.2">
      <c r="A7862">
        <v>7801</v>
      </c>
      <c r="B7862" s="1832">
        <f>'PCTC-OEPP 27-28'!F130</f>
        <v>144577</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553775</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69597</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61117</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52927</v>
      </c>
      <c r="D7874" s="2" t="str">
        <f t="shared" si="129"/>
        <v>Error?</v>
      </c>
      <c r="E7874" s="4" t="s">
        <v>1995</v>
      </c>
    </row>
    <row r="7875" spans="1:5" x14ac:dyDescent="0.2">
      <c r="A7875">
        <v>7814</v>
      </c>
      <c r="B7875" s="1832">
        <f>'PCTC-OEPP 27-28'!F170</f>
        <v>84548</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6235276</v>
      </c>
      <c r="D7877" s="2" t="str">
        <f t="shared" si="129"/>
        <v>Error?</v>
      </c>
      <c r="E7877" s="4" t="s">
        <v>1995</v>
      </c>
    </row>
    <row r="7878" spans="1:5" x14ac:dyDescent="0.2">
      <c r="A7878">
        <v>7817</v>
      </c>
      <c r="B7878" s="1832">
        <f>'PCTC-OEPP 27-28'!F176</f>
        <v>16063815</v>
      </c>
      <c r="D7878" s="2" t="str">
        <f t="shared" si="129"/>
        <v>Error?</v>
      </c>
      <c r="E7878" s="4" t="s">
        <v>1995</v>
      </c>
    </row>
    <row r="7879" spans="1:5" x14ac:dyDescent="0.2">
      <c r="A7879">
        <v>7818</v>
      </c>
      <c r="B7879" s="1832">
        <f>'PCTC-OEPP 27-28'!F178</f>
        <v>17841380</v>
      </c>
      <c r="D7879" s="2" t="str">
        <f t="shared" si="129"/>
        <v>Error?</v>
      </c>
      <c r="E7879" s="4" t="s">
        <v>1995</v>
      </c>
    </row>
    <row r="7880" spans="1:5" x14ac:dyDescent="0.2">
      <c r="A7880">
        <v>7819</v>
      </c>
      <c r="B7880" s="1832">
        <f>'PCTC-OEPP 27-28'!F180</f>
        <v>11039.091696572206</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5" t="s">
        <v>1181</v>
      </c>
      <c r="B2" s="2515"/>
      <c r="C2" s="2515"/>
      <c r="D2" s="2515"/>
      <c r="E2" s="2515"/>
      <c r="F2" s="2515"/>
      <c r="G2" s="2515"/>
      <c r="H2" s="2515"/>
      <c r="I2" s="2515"/>
      <c r="J2" s="2515"/>
      <c r="K2" s="2515"/>
      <c r="L2" s="2515"/>
    </row>
    <row r="3" spans="1:29" ht="13.5" customHeight="1" x14ac:dyDescent="0.2">
      <c r="A3" s="2547" t="s">
        <v>1180</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8" t="str">
        <f>COVER!A17</f>
        <v xml:space="preserve">  Rantoul City SD 137</v>
      </c>
      <c r="B7" s="2539"/>
      <c r="C7" s="2539"/>
      <c r="D7" s="2540"/>
      <c r="E7" s="2541">
        <f>COVER!A13</f>
        <v>9010137002</v>
      </c>
      <c r="F7" s="2542"/>
      <c r="G7" s="2548" t="str">
        <f>COVER!T23</f>
        <v>065.018319</v>
      </c>
      <c r="H7" s="2549"/>
      <c r="I7" s="2549"/>
      <c r="J7" s="2549"/>
      <c r="K7" s="2549"/>
      <c r="L7" s="255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1"/>
      <c r="B9" s="2552"/>
      <c r="C9" s="2552"/>
      <c r="D9" s="2552"/>
      <c r="E9" s="2552"/>
      <c r="F9" s="2553"/>
      <c r="G9" s="2521" t="str">
        <f>COVER!T13</f>
        <v>RUSSELL LEIGH &amp; ASSOCIATES LLC</v>
      </c>
      <c r="H9" s="2554"/>
      <c r="I9" s="2554"/>
      <c r="J9" s="2554"/>
      <c r="K9" s="2554"/>
      <c r="L9" s="2555"/>
    </row>
    <row r="10" spans="1:29" ht="13.5" customHeight="1" x14ac:dyDescent="0.2">
      <c r="A10" s="2527" t="str">
        <f>COVER!A38</f>
        <v>Michelle Ramage</v>
      </c>
      <c r="B10" s="2528"/>
      <c r="C10" s="2528"/>
      <c r="D10" s="2528"/>
      <c r="E10" s="2528"/>
      <c r="F10" s="2529"/>
      <c r="G10" s="2521" t="str">
        <f>COVER!T17</f>
        <v>228 E MAIN ST</v>
      </c>
      <c r="H10" s="2522"/>
      <c r="I10" s="2522"/>
      <c r="J10" s="2522"/>
      <c r="K10" s="2522"/>
      <c r="L10" s="2523"/>
    </row>
    <row r="11" spans="1:29" ht="13.5" customHeight="1" x14ac:dyDescent="0.2">
      <c r="A11" s="963" t="s">
        <v>1502</v>
      </c>
      <c r="B11" s="964"/>
      <c r="C11" s="965"/>
      <c r="D11" s="970"/>
      <c r="E11" s="965"/>
      <c r="F11" s="969"/>
      <c r="G11" s="2521" t="str">
        <f>COVER!T19</f>
        <v>HOOPESTON</v>
      </c>
      <c r="H11" s="2522"/>
      <c r="I11" s="2522"/>
      <c r="J11" s="2522"/>
      <c r="K11" s="2522"/>
      <c r="L11" s="2523"/>
    </row>
    <row r="12" spans="1:29" ht="13.5" customHeight="1" x14ac:dyDescent="0.2">
      <c r="A12" s="2530" t="s">
        <v>1501</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1503</v>
      </c>
      <c r="H13" s="2517"/>
      <c r="I13" s="2533" t="str">
        <f>COVER!T25</f>
        <v>admin@russleigh.com</v>
      </c>
      <c r="J13" s="2534"/>
      <c r="K13" s="2534"/>
      <c r="L13" s="2535"/>
    </row>
    <row r="14" spans="1:29" ht="13.5" customHeight="1" x14ac:dyDescent="0.2">
      <c r="A14" s="2521" t="str">
        <f>COVER!A19</f>
        <v>400 EAST WABASH</v>
      </c>
      <c r="B14" s="2522"/>
      <c r="C14" s="2522"/>
      <c r="D14" s="2522"/>
      <c r="E14" s="2522"/>
      <c r="F14" s="2523"/>
      <c r="G14" s="974" t="s">
        <v>1175</v>
      </c>
      <c r="H14" s="972"/>
      <c r="I14" s="972"/>
      <c r="J14" s="972"/>
      <c r="K14" s="972"/>
      <c r="L14" s="973"/>
    </row>
    <row r="15" spans="1:29" ht="13.5" customHeight="1" x14ac:dyDescent="0.2">
      <c r="A15" s="2521" t="str">
        <f>COVER!A21</f>
        <v>RANTOUL</v>
      </c>
      <c r="B15" s="2522"/>
      <c r="C15" s="2522"/>
      <c r="D15" s="2522"/>
      <c r="E15" s="2522"/>
      <c r="F15" s="2523"/>
      <c r="G15" s="2518" t="str">
        <f>COVER!T15</f>
        <v>RUSS LEIGH</v>
      </c>
      <c r="H15" s="2519"/>
      <c r="I15" s="2519"/>
      <c r="J15" s="2519"/>
      <c r="K15" s="2519"/>
      <c r="L15" s="2520"/>
    </row>
    <row r="16" spans="1:29" ht="12.2" customHeight="1" x14ac:dyDescent="0.2">
      <c r="A16" s="2544">
        <f>COVER!A25</f>
        <v>61866</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4" t="s">
        <v>1174</v>
      </c>
      <c r="H17" s="972"/>
      <c r="I17" s="972"/>
      <c r="J17" s="972"/>
      <c r="K17" s="976" t="s">
        <v>1173</v>
      </c>
      <c r="L17" s="969"/>
      <c r="M17" s="962"/>
    </row>
    <row r="18" spans="1:13" ht="12.2" customHeight="1" x14ac:dyDescent="0.2">
      <c r="A18" s="2527"/>
      <c r="B18" s="2528"/>
      <c r="C18" s="2528"/>
      <c r="D18" s="2528"/>
      <c r="E18" s="2528"/>
      <c r="F18" s="2529"/>
      <c r="G18" s="2538" t="str">
        <f>COVER!T21</f>
        <v>217-283-9336</v>
      </c>
      <c r="H18" s="2539"/>
      <c r="I18" s="2539"/>
      <c r="J18" s="2539"/>
      <c r="K18" s="2538" t="str">
        <f>COVER!X21</f>
        <v>217-283-9736</v>
      </c>
      <c r="L18" s="254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Rantoul City SD 137</v>
      </c>
      <c r="B1" s="2561"/>
      <c r="C1" s="2561"/>
      <c r="D1" s="2561"/>
    </row>
    <row r="2" spans="1:11" s="991" customFormat="1" ht="12.75" x14ac:dyDescent="0.2">
      <c r="A2" s="2562">
        <f>'Single Audit Cover'!E7</f>
        <v>9010137002</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Rantoul City SD 137</v>
      </c>
      <c r="B1" s="2565"/>
      <c r="C1" s="2565"/>
      <c r="D1" s="2565"/>
      <c r="E1" s="2565"/>
    </row>
    <row r="2" spans="1:5" x14ac:dyDescent="0.2">
      <c r="A2" s="2566">
        <f>'Single Audit Cover'!E7</f>
        <v>9010137002</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4327356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77172</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-84548</v>
      </c>
    </row>
    <row r="19" spans="1:4" ht="13.5" thickBot="1" x14ac:dyDescent="0.25">
      <c r="A19" s="1041" t="s">
        <v>1224</v>
      </c>
      <c r="D19" s="1042">
        <f>SUM(D10:D17)</f>
        <v>4319980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4319980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4319980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B1D92-348A-4C3F-94BE-78845D27F27F}">
  <dimension ref="B1:N152"/>
  <sheetViews>
    <sheetView showGridLines="0" topLeftCell="A4" zoomScaleNormal="100" workbookViewId="0">
      <selection activeCell="I27" sqref="I2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Rantoul City SD 137</v>
      </c>
      <c r="C1" s="2569"/>
      <c r="D1" s="2569"/>
      <c r="E1" s="2569"/>
      <c r="F1" s="2569"/>
      <c r="G1" s="2569"/>
      <c r="H1" s="2569"/>
      <c r="I1" s="2569"/>
      <c r="J1" s="2569"/>
      <c r="K1" s="2569"/>
      <c r="L1" s="2569"/>
      <c r="M1" s="2569"/>
    </row>
    <row r="2" spans="2:14" ht="15" x14ac:dyDescent="0.2">
      <c r="B2" s="2570">
        <f>'Single Audit Cover'!E7</f>
        <v>9010137002</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2120</v>
      </c>
      <c r="C11" s="1821" t="s">
        <v>2117</v>
      </c>
      <c r="D11" s="1822">
        <v>4331</v>
      </c>
      <c r="E11" s="1823">
        <v>57353</v>
      </c>
      <c r="F11" s="1823">
        <v>212034</v>
      </c>
      <c r="G11" s="1823">
        <v>182765</v>
      </c>
      <c r="H11" s="1823"/>
      <c r="I11" s="1823">
        <v>86622</v>
      </c>
      <c r="J11" s="1823"/>
      <c r="K11" s="1823"/>
      <c r="L11" s="1823">
        <f>+G11+I11+K11</f>
        <v>269387</v>
      </c>
      <c r="M11" s="1823"/>
    </row>
    <row r="12" spans="2:14" ht="20.100000000000001" customHeight="1" x14ac:dyDescent="0.2">
      <c r="B12" s="1113" t="s">
        <v>2123</v>
      </c>
      <c r="C12" s="1824" t="s">
        <v>2122</v>
      </c>
      <c r="D12" s="1825">
        <v>4400</v>
      </c>
      <c r="E12" s="1826">
        <v>8809</v>
      </c>
      <c r="F12" s="1826">
        <v>8089</v>
      </c>
      <c r="G12" s="1826">
        <v>15849</v>
      </c>
      <c r="H12" s="1826"/>
      <c r="I12" s="1826"/>
      <c r="J12" s="1826"/>
      <c r="K12" s="1826"/>
      <c r="L12" s="1823">
        <f t="shared" ref="L12:L27" si="0">+G12+I12+K12</f>
        <v>15849</v>
      </c>
      <c r="M12" s="1826"/>
    </row>
    <row r="13" spans="2:14" ht="20.100000000000001" customHeight="1" x14ac:dyDescent="0.2">
      <c r="B13" s="1113" t="s">
        <v>2125</v>
      </c>
      <c r="C13" s="1824" t="s">
        <v>2122</v>
      </c>
      <c r="D13" s="1825">
        <v>4400</v>
      </c>
      <c r="E13" s="1826"/>
      <c r="F13" s="1826">
        <v>47260</v>
      </c>
      <c r="G13" s="1826" t="s">
        <v>2124</v>
      </c>
      <c r="H13" s="1826"/>
      <c r="I13" s="1826">
        <v>48309</v>
      </c>
      <c r="J13" s="1826"/>
      <c r="K13" s="1826"/>
      <c r="L13" s="1823">
        <v>48309</v>
      </c>
      <c r="M13" s="1826">
        <v>52000</v>
      </c>
    </row>
    <row r="14" spans="2:14" ht="20.100000000000001" customHeight="1" x14ac:dyDescent="0.2">
      <c r="B14" s="1113" t="s">
        <v>2127</v>
      </c>
      <c r="C14" s="1824" t="s">
        <v>2126</v>
      </c>
      <c r="D14" s="1825">
        <v>4600</v>
      </c>
      <c r="E14" s="1826">
        <v>14203</v>
      </c>
      <c r="F14" s="1826">
        <v>6656</v>
      </c>
      <c r="G14" s="1826">
        <v>20859</v>
      </c>
      <c r="H14" s="1826"/>
      <c r="I14" s="1826"/>
      <c r="J14" s="1826"/>
      <c r="K14" s="1826"/>
      <c r="L14" s="1823">
        <f t="shared" si="0"/>
        <v>20859</v>
      </c>
      <c r="M14" s="1826"/>
    </row>
    <row r="15" spans="2:14" ht="20.100000000000001" customHeight="1" x14ac:dyDescent="0.2">
      <c r="B15" s="1113" t="s">
        <v>2128</v>
      </c>
      <c r="C15" s="1824" t="s">
        <v>2126</v>
      </c>
      <c r="D15" s="1825">
        <v>4600</v>
      </c>
      <c r="E15" s="1826"/>
      <c r="F15" s="1826">
        <v>21955</v>
      </c>
      <c r="G15" s="1826"/>
      <c r="H15" s="1826"/>
      <c r="I15" s="1826">
        <v>18404</v>
      </c>
      <c r="J15" s="1826"/>
      <c r="K15" s="1826">
        <v>3551</v>
      </c>
      <c r="L15" s="1823">
        <f t="shared" si="0"/>
        <v>21955</v>
      </c>
      <c r="M15" s="1826"/>
    </row>
    <row r="16" spans="2:14" ht="20.100000000000001" customHeight="1" x14ac:dyDescent="0.2">
      <c r="B16" s="1113" t="s">
        <v>2130</v>
      </c>
      <c r="C16" s="1824" t="s">
        <v>2129</v>
      </c>
      <c r="D16" s="1825">
        <v>4620</v>
      </c>
      <c r="E16" s="1826">
        <v>473158</v>
      </c>
      <c r="F16" s="1826">
        <v>49835</v>
      </c>
      <c r="G16" s="1826">
        <v>519725</v>
      </c>
      <c r="H16" s="1826"/>
      <c r="I16" s="1826">
        <v>3268</v>
      </c>
      <c r="J16" s="1826"/>
      <c r="K16" s="1826"/>
      <c r="L16" s="1823">
        <f t="shared" si="0"/>
        <v>522993</v>
      </c>
      <c r="M16" s="1826"/>
    </row>
    <row r="17" spans="2:14" ht="20.100000000000001" customHeight="1" x14ac:dyDescent="0.2">
      <c r="B17" s="1113" t="s">
        <v>2131</v>
      </c>
      <c r="C17" s="1824" t="s">
        <v>2129</v>
      </c>
      <c r="D17" s="1825">
        <v>4620</v>
      </c>
      <c r="E17" s="1826"/>
      <c r="F17" s="1826">
        <v>538599</v>
      </c>
      <c r="G17" s="1826"/>
      <c r="H17" s="1826"/>
      <c r="I17" s="1826">
        <v>548148</v>
      </c>
      <c r="J17" s="1826"/>
      <c r="K17" s="1826">
        <v>9566</v>
      </c>
      <c r="L17" s="1823">
        <f t="shared" si="0"/>
        <v>557714</v>
      </c>
      <c r="M17" s="1826">
        <v>600000</v>
      </c>
    </row>
    <row r="18" spans="2:14" ht="20.100000000000001" customHeight="1" x14ac:dyDescent="0.2">
      <c r="B18" s="1113" t="s">
        <v>2132</v>
      </c>
      <c r="C18" s="1824" t="s">
        <v>2129</v>
      </c>
      <c r="D18" s="1825">
        <v>4625</v>
      </c>
      <c r="E18" s="1826"/>
      <c r="F18" s="1826">
        <v>114659</v>
      </c>
      <c r="G18" s="1826"/>
      <c r="H18" s="1826"/>
      <c r="I18" s="1826">
        <v>114659</v>
      </c>
      <c r="J18" s="1826"/>
      <c r="K18" s="1826"/>
      <c r="L18" s="1823">
        <f t="shared" si="0"/>
        <v>114659</v>
      </c>
      <c r="M18" s="1826">
        <v>125000</v>
      </c>
    </row>
    <row r="19" spans="2:14" ht="20.100000000000001" customHeight="1" x14ac:dyDescent="0.2">
      <c r="B19" s="1113" t="s">
        <v>2133</v>
      </c>
      <c r="C19" s="1824" t="s">
        <v>2129</v>
      </c>
      <c r="D19" s="1825">
        <v>4625</v>
      </c>
      <c r="E19" s="1826"/>
      <c r="F19" s="1826">
        <v>29918</v>
      </c>
      <c r="G19" s="1826"/>
      <c r="H19" s="1826"/>
      <c r="I19" s="1826">
        <v>29918</v>
      </c>
      <c r="J19" s="1826"/>
      <c r="K19" s="1826"/>
      <c r="L19" s="1823">
        <f t="shared" si="0"/>
        <v>29918</v>
      </c>
      <c r="M19" s="1826"/>
    </row>
    <row r="20" spans="2:14" ht="20.100000000000001" customHeight="1" x14ac:dyDescent="0.2">
      <c r="B20" s="1113" t="s">
        <v>2134</v>
      </c>
      <c r="C20" s="1824">
        <v>84.364999999999995</v>
      </c>
      <c r="D20" s="1825">
        <v>4909</v>
      </c>
      <c r="E20" s="1826">
        <v>27869</v>
      </c>
      <c r="F20" s="1826">
        <v>6177</v>
      </c>
      <c r="G20" s="1826">
        <v>28945</v>
      </c>
      <c r="H20" s="1826"/>
      <c r="I20" s="1826">
        <v>4101</v>
      </c>
      <c r="J20" s="1826"/>
      <c r="K20" s="1826"/>
      <c r="L20" s="1823">
        <f t="shared" si="0"/>
        <v>33046</v>
      </c>
      <c r="M20" s="1826"/>
    </row>
    <row r="21" spans="2:14" ht="20.100000000000001" customHeight="1" x14ac:dyDescent="0.2">
      <c r="B21" s="1113" t="s">
        <v>2134</v>
      </c>
      <c r="C21" s="1824">
        <v>84.364999999999995</v>
      </c>
      <c r="D21" s="1825">
        <v>4909</v>
      </c>
      <c r="E21" s="1826"/>
      <c r="F21" s="1826">
        <v>63420</v>
      </c>
      <c r="G21" s="1826"/>
      <c r="H21" s="1826"/>
      <c r="I21" s="1826">
        <v>57830</v>
      </c>
      <c r="J21" s="1826"/>
      <c r="K21" s="1826"/>
      <c r="L21" s="1823">
        <f t="shared" si="0"/>
        <v>57830</v>
      </c>
      <c r="M21" s="1826"/>
    </row>
    <row r="22" spans="2:14" ht="20.100000000000001" customHeight="1" x14ac:dyDescent="0.2">
      <c r="B22" s="1113" t="s">
        <v>2135</v>
      </c>
      <c r="C22" s="1824" t="s">
        <v>2136</v>
      </c>
      <c r="D22" s="1825">
        <v>4932</v>
      </c>
      <c r="E22" s="1826"/>
      <c r="F22" s="1826">
        <v>61117</v>
      </c>
      <c r="G22" s="1826"/>
      <c r="H22" s="1826"/>
      <c r="I22" s="1826">
        <v>61117</v>
      </c>
      <c r="J22" s="1826"/>
      <c r="K22" s="1826"/>
      <c r="L22" s="1823">
        <f t="shared" si="0"/>
        <v>61117</v>
      </c>
      <c r="M22" s="1826">
        <v>62500</v>
      </c>
    </row>
    <row r="23" spans="2:14" ht="20.100000000000001" customHeight="1" x14ac:dyDescent="0.2">
      <c r="B23" s="1113" t="s">
        <v>2161</v>
      </c>
      <c r="C23" s="1824" t="s">
        <v>2162</v>
      </c>
      <c r="D23" s="1825">
        <v>4998</v>
      </c>
      <c r="E23" s="1826"/>
      <c r="F23" s="1826">
        <v>0</v>
      </c>
      <c r="G23" s="1826"/>
      <c r="H23" s="1826"/>
      <c r="I23" s="1826">
        <v>84880</v>
      </c>
      <c r="J23" s="1826"/>
      <c r="K23" s="1826">
        <v>28813</v>
      </c>
      <c r="L23" s="1823">
        <f t="shared" si="0"/>
        <v>113693</v>
      </c>
      <c r="M23" s="1826"/>
    </row>
    <row r="24" spans="2:14" ht="20.100000000000001" customHeight="1" x14ac:dyDescent="0.2">
      <c r="B24" s="1113"/>
      <c r="C24" s="1824"/>
      <c r="D24" s="1825"/>
      <c r="E24" s="1826"/>
      <c r="F24" s="1826"/>
      <c r="G24" s="1826"/>
      <c r="H24" s="1826"/>
      <c r="I24" s="1826"/>
      <c r="J24" s="1826"/>
      <c r="K24" s="1826"/>
      <c r="L24" s="1823"/>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t="s">
        <v>2160</v>
      </c>
      <c r="C26" s="1824"/>
      <c r="D26" s="1825"/>
      <c r="E26" s="1826">
        <v>1442499</v>
      </c>
      <c r="F26" s="1826">
        <v>2433087</v>
      </c>
      <c r="G26" s="1826">
        <v>1739805</v>
      </c>
      <c r="H26" s="1826"/>
      <c r="I26" s="1826">
        <v>2160232</v>
      </c>
      <c r="J26" s="1826"/>
      <c r="K26" s="1826">
        <v>57110</v>
      </c>
      <c r="L26" s="1823">
        <f t="shared" si="0"/>
        <v>3957147</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5FC49-0CAD-4084-8973-88D0D845D8B7}">
  <dimension ref="B1:N152"/>
  <sheetViews>
    <sheetView showGridLines="0" topLeftCell="A9" zoomScaleNormal="100" workbookViewId="0">
      <selection activeCell="B27" sqref="B2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Rantoul City SD 137</v>
      </c>
      <c r="C1" s="2569"/>
      <c r="D1" s="2569"/>
      <c r="E1" s="2569"/>
      <c r="F1" s="2569"/>
      <c r="G1" s="2569"/>
      <c r="H1" s="2569"/>
      <c r="I1" s="2569"/>
      <c r="J1" s="2569"/>
      <c r="K1" s="2569"/>
      <c r="L1" s="2569"/>
      <c r="M1" s="2569"/>
    </row>
    <row r="2" spans="2:14" ht="15" x14ac:dyDescent="0.2">
      <c r="B2" s="2570">
        <f>'Single Audit Cover'!E7</f>
        <v>9010137002</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2107</v>
      </c>
      <c r="C11" s="1821"/>
      <c r="D11" s="1822"/>
      <c r="E11" s="1823"/>
      <c r="F11" s="1823"/>
      <c r="G11" s="1823"/>
      <c r="H11" s="1823"/>
      <c r="I11" s="1823"/>
      <c r="J11" s="1823"/>
      <c r="K11" s="1823"/>
      <c r="L11" s="1823">
        <f>+G11+I11+K11</f>
        <v>0</v>
      </c>
      <c r="M11" s="1823"/>
    </row>
    <row r="12" spans="2:14" ht="20.100000000000001" customHeight="1" x14ac:dyDescent="0.2">
      <c r="B12" s="1113" t="s">
        <v>2108</v>
      </c>
      <c r="C12" s="1824"/>
      <c r="D12" s="1825"/>
      <c r="E12" s="1826"/>
      <c r="F12" s="1826"/>
      <c r="G12" s="1826"/>
      <c r="H12" s="1826"/>
      <c r="I12" s="1826"/>
      <c r="J12" s="1826"/>
      <c r="K12" s="1826"/>
      <c r="L12" s="1823">
        <f t="shared" ref="L12:L27" si="0">+G12+I12+K12</f>
        <v>0</v>
      </c>
      <c r="M12" s="1826"/>
    </row>
    <row r="13" spans="2:14" ht="20.100000000000001" customHeight="1" x14ac:dyDescent="0.2">
      <c r="B13" s="1113" t="s">
        <v>2109</v>
      </c>
      <c r="C13" s="1824">
        <v>10.555</v>
      </c>
      <c r="D13" s="1825">
        <v>4210</v>
      </c>
      <c r="E13" s="1826">
        <v>647085</v>
      </c>
      <c r="F13" s="1826">
        <v>151374</v>
      </c>
      <c r="G13" s="1826">
        <v>647085</v>
      </c>
      <c r="H13" s="1826"/>
      <c r="I13" s="1826">
        <v>151374</v>
      </c>
      <c r="J13" s="1826"/>
      <c r="K13" s="1826"/>
      <c r="L13" s="1823">
        <f t="shared" si="0"/>
        <v>798459</v>
      </c>
      <c r="M13" s="1826"/>
    </row>
    <row r="14" spans="2:14" ht="20.100000000000001" customHeight="1" x14ac:dyDescent="0.2">
      <c r="B14" s="1113" t="s">
        <v>2110</v>
      </c>
      <c r="C14" s="1824">
        <v>10.555</v>
      </c>
      <c r="D14" s="1825">
        <v>4210</v>
      </c>
      <c r="E14" s="1826"/>
      <c r="F14" s="1826">
        <v>478758</v>
      </c>
      <c r="G14" s="1826"/>
      <c r="H14" s="1826"/>
      <c r="I14" s="1826">
        <v>478758</v>
      </c>
      <c r="J14" s="1826"/>
      <c r="K14" s="1826"/>
      <c r="L14" s="1823">
        <f t="shared" si="0"/>
        <v>478758</v>
      </c>
      <c r="M14" s="1826">
        <v>650000</v>
      </c>
    </row>
    <row r="15" spans="2:14" ht="20.100000000000001" customHeight="1" x14ac:dyDescent="0.2">
      <c r="B15" s="1113" t="s">
        <v>2111</v>
      </c>
      <c r="C15" s="1824">
        <v>10.553000000000001</v>
      </c>
      <c r="D15" s="1825">
        <v>4215</v>
      </c>
      <c r="E15" s="1826"/>
      <c r="F15" s="1826">
        <v>90802</v>
      </c>
      <c r="G15" s="1826"/>
      <c r="H15" s="1826"/>
      <c r="I15" s="1826">
        <v>90802</v>
      </c>
      <c r="J15" s="1826"/>
      <c r="K15" s="1826"/>
      <c r="L15" s="1823">
        <f t="shared" si="0"/>
        <v>90802</v>
      </c>
      <c r="M15" s="1826"/>
    </row>
    <row r="16" spans="2:14" ht="20.100000000000001" customHeight="1" x14ac:dyDescent="0.2">
      <c r="B16" s="1113" t="s">
        <v>2112</v>
      </c>
      <c r="C16" s="1824">
        <v>10.553000000000001</v>
      </c>
      <c r="D16" s="1825">
        <v>4215</v>
      </c>
      <c r="E16" s="1826"/>
      <c r="F16" s="1826">
        <v>271264</v>
      </c>
      <c r="G16" s="1826"/>
      <c r="H16" s="1826"/>
      <c r="I16" s="1826">
        <v>271264</v>
      </c>
      <c r="J16" s="1826"/>
      <c r="K16" s="1826"/>
      <c r="L16" s="1823">
        <f t="shared" si="0"/>
        <v>271264</v>
      </c>
      <c r="M16" s="1826">
        <v>250000</v>
      </c>
    </row>
    <row r="17" spans="2:14" ht="20.100000000000001" customHeight="1" x14ac:dyDescent="0.2">
      <c r="B17" s="1113" t="s">
        <v>2113</v>
      </c>
      <c r="C17" s="1824">
        <v>10.555</v>
      </c>
      <c r="D17" s="1825">
        <v>4225</v>
      </c>
      <c r="E17" s="1826"/>
      <c r="F17" s="1826">
        <v>197068</v>
      </c>
      <c r="G17" s="1826"/>
      <c r="H17" s="1826"/>
      <c r="I17" s="1826">
        <v>197068</v>
      </c>
      <c r="J17" s="1826"/>
      <c r="K17" s="1826"/>
      <c r="L17" s="1823">
        <f t="shared" si="0"/>
        <v>197068</v>
      </c>
      <c r="M17" s="1826"/>
    </row>
    <row r="18" spans="2:14" ht="20.100000000000001" customHeight="1" x14ac:dyDescent="0.2">
      <c r="B18" s="1113" t="s">
        <v>2114</v>
      </c>
      <c r="C18" s="1824">
        <v>10.55</v>
      </c>
      <c r="D18" s="1825">
        <v>4226</v>
      </c>
      <c r="E18" s="1826"/>
      <c r="F18" s="1826">
        <v>13752</v>
      </c>
      <c r="G18" s="1826"/>
      <c r="H18" s="1826"/>
      <c r="I18" s="1826">
        <v>13752</v>
      </c>
      <c r="J18" s="1826"/>
      <c r="K18" s="1826"/>
      <c r="L18" s="1823">
        <f t="shared" si="0"/>
        <v>13752</v>
      </c>
      <c r="M18" s="1826"/>
    </row>
    <row r="19" spans="2:14" ht="20.100000000000001" customHeight="1" x14ac:dyDescent="0.2">
      <c r="B19" s="1113" t="s">
        <v>2115</v>
      </c>
      <c r="C19" s="1824">
        <v>10.555</v>
      </c>
      <c r="D19" s="1825">
        <v>4250</v>
      </c>
      <c r="E19" s="1826"/>
      <c r="F19" s="1826">
        <v>77172</v>
      </c>
      <c r="G19" s="1826"/>
      <c r="H19" s="1826"/>
      <c r="I19" s="1826">
        <v>77172</v>
      </c>
      <c r="J19" s="1826"/>
      <c r="K19" s="1826"/>
      <c r="L19" s="1823">
        <f t="shared" si="0"/>
        <v>77172</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2116</v>
      </c>
      <c r="C21" s="1824"/>
      <c r="D21" s="1825"/>
      <c r="E21" s="1826">
        <v>647085</v>
      </c>
      <c r="F21" s="1826">
        <v>1280190</v>
      </c>
      <c r="G21" s="1826">
        <v>647085</v>
      </c>
      <c r="H21" s="1826"/>
      <c r="I21" s="1826">
        <v>1280190</v>
      </c>
      <c r="J21" s="1826"/>
      <c r="K21" s="1826"/>
      <c r="L21" s="1823">
        <f t="shared" si="0"/>
        <v>1927275</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2107</v>
      </c>
      <c r="C23" s="1824"/>
      <c r="D23" s="1825"/>
      <c r="E23" s="1826"/>
      <c r="F23" s="1826"/>
      <c r="G23" s="1826"/>
      <c r="H23" s="1826"/>
      <c r="I23" s="1826"/>
      <c r="J23" s="1826"/>
      <c r="K23" s="1826"/>
      <c r="L23" s="1823">
        <f t="shared" si="0"/>
        <v>0</v>
      </c>
      <c r="M23" s="1826"/>
    </row>
    <row r="24" spans="2:14" ht="20.100000000000001" customHeight="1" x14ac:dyDescent="0.2">
      <c r="B24" s="1113" t="s">
        <v>2108</v>
      </c>
      <c r="C24" s="1824"/>
      <c r="D24" s="1825"/>
      <c r="E24" s="1826"/>
      <c r="F24" s="1826"/>
      <c r="G24" s="1826"/>
      <c r="H24" s="1826"/>
      <c r="I24" s="1826"/>
      <c r="J24" s="1826"/>
      <c r="K24" s="1826"/>
      <c r="L24" s="1823">
        <f t="shared" si="0"/>
        <v>0</v>
      </c>
      <c r="M24" s="1826"/>
    </row>
    <row r="25" spans="2:14" ht="20.100000000000001" customHeight="1" x14ac:dyDescent="0.2">
      <c r="B25" s="1113" t="s">
        <v>2118</v>
      </c>
      <c r="C25" s="1824" t="s">
        <v>2117</v>
      </c>
      <c r="D25" s="1825">
        <v>4300</v>
      </c>
      <c r="E25" s="1826">
        <v>861107</v>
      </c>
      <c r="F25" s="1826">
        <v>215480</v>
      </c>
      <c r="G25" s="1826">
        <v>971662</v>
      </c>
      <c r="H25" s="1826"/>
      <c r="I25" s="1826">
        <v>83357</v>
      </c>
      <c r="J25" s="1826"/>
      <c r="K25" s="1826"/>
      <c r="L25" s="1823">
        <f t="shared" si="0"/>
        <v>1055019</v>
      </c>
      <c r="M25" s="1826"/>
    </row>
    <row r="26" spans="2:14" ht="20.100000000000001" customHeight="1" x14ac:dyDescent="0.2">
      <c r="B26" s="1113" t="s">
        <v>2119</v>
      </c>
      <c r="C26" s="1824" t="s">
        <v>2117</v>
      </c>
      <c r="D26" s="1825">
        <v>4300</v>
      </c>
      <c r="E26" s="1826"/>
      <c r="F26" s="1826">
        <v>851799</v>
      </c>
      <c r="G26" s="1826"/>
      <c r="H26" s="1826"/>
      <c r="I26" s="1826">
        <v>824794</v>
      </c>
      <c r="J26" s="1826"/>
      <c r="K26" s="1826"/>
      <c r="L26" s="1823">
        <f t="shared" si="0"/>
        <v>824794</v>
      </c>
      <c r="M26" s="1826">
        <v>985000</v>
      </c>
    </row>
    <row r="27" spans="2:14" ht="20.100000000000001" customHeight="1" x14ac:dyDescent="0.2">
      <c r="B27" s="1113" t="s">
        <v>2121</v>
      </c>
      <c r="C27" s="1824" t="s">
        <v>2117</v>
      </c>
      <c r="D27" s="1825">
        <v>4331</v>
      </c>
      <c r="E27" s="1826"/>
      <c r="F27" s="1826">
        <v>206089</v>
      </c>
      <c r="G27" s="1826"/>
      <c r="H27" s="1826"/>
      <c r="I27" s="1826">
        <v>194825</v>
      </c>
      <c r="J27" s="1826"/>
      <c r="K27" s="1826">
        <v>15180</v>
      </c>
      <c r="L27" s="1823">
        <f t="shared" si="0"/>
        <v>210005</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3" sqref="D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1986</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1986</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2065</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19" sqref="I1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Rantoul City SD 137</v>
      </c>
      <c r="C1" s="2569"/>
      <c r="D1" s="2569"/>
      <c r="E1" s="2569"/>
      <c r="F1" s="2569"/>
      <c r="G1" s="2569"/>
      <c r="H1" s="2569"/>
      <c r="I1" s="2569"/>
      <c r="J1" s="2569"/>
      <c r="K1" s="2569"/>
      <c r="L1" s="2569"/>
      <c r="M1" s="2569"/>
    </row>
    <row r="2" spans="2:14" ht="15" x14ac:dyDescent="0.2">
      <c r="B2" s="2570">
        <f>'Single Audit Cover'!E7</f>
        <v>9010137002</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2137</v>
      </c>
      <c r="C11" s="1821"/>
      <c r="D11" s="1822"/>
      <c r="E11" s="1823"/>
      <c r="F11" s="1823"/>
      <c r="G11" s="1823"/>
      <c r="H11" s="1823"/>
      <c r="I11" s="1823"/>
      <c r="J11" s="1823"/>
      <c r="K11" s="1823"/>
      <c r="L11" s="1823">
        <f>+G11+I11+K11</f>
        <v>0</v>
      </c>
      <c r="M11" s="1823"/>
    </row>
    <row r="12" spans="2:14" ht="20.100000000000001" customHeight="1" x14ac:dyDescent="0.2">
      <c r="B12" s="1113" t="s">
        <v>2159</v>
      </c>
      <c r="C12" s="1824"/>
      <c r="D12" s="1825"/>
      <c r="E12" s="1826"/>
      <c r="F12" s="1826"/>
      <c r="G12" s="1826"/>
      <c r="H12" s="1826"/>
      <c r="I12" s="1826"/>
      <c r="J12" s="1826"/>
      <c r="K12" s="1826"/>
      <c r="L12" s="1823">
        <f t="shared" ref="L12:L27" si="0">+G12+I12+K12</f>
        <v>0</v>
      </c>
      <c r="M12" s="1826"/>
    </row>
    <row r="13" spans="2:14" ht="20.100000000000001" customHeight="1" x14ac:dyDescent="0.2">
      <c r="B13" s="1113" t="s">
        <v>2138</v>
      </c>
      <c r="C13" s="1824">
        <v>93.778000000000006</v>
      </c>
      <c r="D13" s="1825">
        <v>4999</v>
      </c>
      <c r="E13" s="1826"/>
      <c r="F13" s="1826">
        <v>52927</v>
      </c>
      <c r="G13" s="1826"/>
      <c r="H13" s="1826"/>
      <c r="I13" s="1826">
        <v>52927</v>
      </c>
      <c r="J13" s="1826"/>
      <c r="K13" s="1826"/>
      <c r="L13" s="1823">
        <f t="shared" si="0"/>
        <v>52927</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2139</v>
      </c>
      <c r="C15" s="1824"/>
      <c r="D15" s="1825"/>
      <c r="E15" s="1826"/>
      <c r="F15" s="1826">
        <v>52927</v>
      </c>
      <c r="G15" s="1826"/>
      <c r="H15" s="1826"/>
      <c r="I15" s="1826">
        <v>52927</v>
      </c>
      <c r="J15" s="1826"/>
      <c r="K15" s="1826"/>
      <c r="L15" s="1823">
        <f t="shared" si="0"/>
        <v>52927</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t="s">
        <v>2140</v>
      </c>
      <c r="C18" s="1824"/>
      <c r="D18" s="1825"/>
      <c r="E18" s="1826">
        <v>2089584</v>
      </c>
      <c r="F18" s="1826">
        <v>3766204</v>
      </c>
      <c r="G18" s="1826">
        <v>2386890</v>
      </c>
      <c r="H18" s="1826"/>
      <c r="I18" s="1826">
        <v>3493349</v>
      </c>
      <c r="J18" s="1826"/>
      <c r="K18" s="1826">
        <v>57110</v>
      </c>
      <c r="L18" s="1823">
        <f t="shared" si="0"/>
        <v>5937349</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46" zoomScale="120" zoomScaleNormal="120" workbookViewId="0">
      <selection activeCell="C43" sqref="C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Rantoul City SD 137</v>
      </c>
      <c r="B1" s="2582"/>
      <c r="C1" s="2582"/>
      <c r="D1" s="2582"/>
      <c r="E1" s="2582"/>
      <c r="F1" s="2582"/>
    </row>
    <row r="2" spans="1:7" ht="13.5" customHeight="1" x14ac:dyDescent="0.2">
      <c r="A2" s="2570">
        <f>'Single Audit Cover'!E7</f>
        <v>9010137002</v>
      </c>
      <c r="B2" s="2570"/>
      <c r="C2" s="2570"/>
      <c r="D2" s="2570"/>
      <c r="E2" s="2570"/>
      <c r="F2" s="2570"/>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2141</v>
      </c>
      <c r="B7" s="2581"/>
      <c r="C7" s="2581"/>
      <c r="D7" s="2581"/>
      <c r="E7" s="2581"/>
      <c r="F7" s="258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2142</v>
      </c>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2143</v>
      </c>
      <c r="B13" s="2581"/>
      <c r="C13" s="2581"/>
      <c r="D13" s="2581"/>
      <c r="E13" s="2581"/>
      <c r="F13" s="2581"/>
    </row>
    <row r="14" spans="1:7" ht="9.75" customHeight="1" x14ac:dyDescent="0.2">
      <c r="C14" s="1036"/>
      <c r="D14" s="1036"/>
    </row>
    <row r="15" spans="1:7" ht="13.5" customHeight="1" x14ac:dyDescent="0.2">
      <c r="C15" s="1476" t="s">
        <v>1259</v>
      </c>
      <c r="D15" s="2579" t="s">
        <v>1258</v>
      </c>
      <c r="E15" s="2579"/>
      <c r="F15" s="2579"/>
    </row>
    <row r="16" spans="1:7" ht="13.5" customHeight="1" x14ac:dyDescent="0.2">
      <c r="A16" s="1058"/>
      <c r="B16" s="1052" t="s">
        <v>1257</v>
      </c>
      <c r="C16" s="1476" t="s">
        <v>1256</v>
      </c>
      <c r="D16" s="2580" t="s">
        <v>1571</v>
      </c>
      <c r="E16" s="2580"/>
      <c r="F16" s="2580"/>
    </row>
    <row r="17" spans="1:6" ht="20.45" customHeight="1" x14ac:dyDescent="0.2">
      <c r="A17" s="1059"/>
      <c r="B17" s="1060" t="s">
        <v>2144</v>
      </c>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5" t="s">
        <v>2145</v>
      </c>
      <c r="B32" s="2575"/>
      <c r="C32" s="2575"/>
      <c r="D32" s="2575"/>
      <c r="E32" s="2575"/>
      <c r="F32" s="2575"/>
    </row>
    <row r="33" spans="1:6" ht="13.5" customHeight="1" x14ac:dyDescent="0.2">
      <c r="A33" s="306" t="s">
        <v>1417</v>
      </c>
      <c r="B33" s="306"/>
      <c r="C33" s="1064">
        <v>77172</v>
      </c>
      <c r="D33" s="1526"/>
      <c r="E33" s="1062"/>
    </row>
    <row r="34" spans="1:6" ht="13.5" customHeight="1" x14ac:dyDescent="0.2">
      <c r="A34" s="306" t="s">
        <v>1808</v>
      </c>
      <c r="B34" s="306"/>
      <c r="C34" s="1065">
        <v>0</v>
      </c>
      <c r="D34" s="1526" t="s">
        <v>1572</v>
      </c>
      <c r="E34" s="2576">
        <f>+C33+C34</f>
        <v>77172</v>
      </c>
      <c r="F34" s="257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2146</v>
      </c>
      <c r="D38" s="1526"/>
      <c r="E38" s="1062"/>
    </row>
    <row r="39" spans="1:6" ht="14.25" customHeight="1" x14ac:dyDescent="0.2">
      <c r="A39" s="306"/>
      <c r="B39" s="306" t="s">
        <v>1419</v>
      </c>
      <c r="C39" s="1068" t="s">
        <v>2146</v>
      </c>
      <c r="D39" s="1526"/>
      <c r="E39" s="1062"/>
    </row>
    <row r="40" spans="1:6" ht="14.25" customHeight="1" x14ac:dyDescent="0.2">
      <c r="A40" s="306"/>
      <c r="B40" s="306" t="s">
        <v>1420</v>
      </c>
      <c r="C40" s="1068" t="s">
        <v>2146</v>
      </c>
      <c r="D40" s="1526"/>
      <c r="E40" s="1062"/>
    </row>
    <row r="41" spans="1:6" ht="14.25" customHeight="1" x14ac:dyDescent="0.2">
      <c r="A41" s="306"/>
      <c r="B41" s="306" t="s">
        <v>1421</v>
      </c>
      <c r="C41" s="1068" t="s">
        <v>2146</v>
      </c>
      <c r="D41" s="1526"/>
      <c r="E41" s="1062"/>
    </row>
    <row r="42" spans="1:6" ht="14.25" customHeight="1" x14ac:dyDescent="0.2">
      <c r="A42" s="306" t="s">
        <v>1422</v>
      </c>
      <c r="B42" s="306"/>
      <c r="C42" s="1524" t="s">
        <v>2146</v>
      </c>
      <c r="D42" s="1526"/>
      <c r="E42" s="1062"/>
    </row>
    <row r="43" spans="1:6" ht="14.25" customHeight="1" x14ac:dyDescent="0.2">
      <c r="A43" s="306" t="s">
        <v>1423</v>
      </c>
      <c r="B43" s="306"/>
      <c r="C43" s="1069" t="s">
        <v>2146</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8" t="s">
        <v>1573</v>
      </c>
      <c r="C49" s="2578"/>
      <c r="D49" s="2578"/>
      <c r="E49" s="1168"/>
    </row>
    <row r="50" spans="1:5" s="1076" customFormat="1" ht="3.75" customHeight="1" x14ac:dyDescent="0.2">
      <c r="A50" s="1075"/>
      <c r="B50" s="1475"/>
      <c r="C50" s="1475"/>
      <c r="D50" s="1475"/>
      <c r="E50" s="1168"/>
    </row>
    <row r="51" spans="1:5" s="1076" customFormat="1" ht="20.25" customHeight="1" x14ac:dyDescent="0.2">
      <c r="A51" s="1077">
        <v>6</v>
      </c>
      <c r="B51" s="2573" t="s">
        <v>1534</v>
      </c>
      <c r="C51" s="2573"/>
      <c r="D51" s="2573"/>
    </row>
    <row r="52" spans="1:5" ht="14.25" customHeight="1" x14ac:dyDescent="0.2">
      <c r="A52" s="1077"/>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7" zoomScale="110" zoomScaleNormal="110" workbookViewId="0">
      <selection activeCell="G51" sqref="G5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Rantoul City SD 137</v>
      </c>
      <c r="C1" s="2597"/>
      <c r="D1" s="2597"/>
      <c r="E1" s="2597"/>
      <c r="F1" s="2597"/>
      <c r="G1" s="2597"/>
      <c r="H1" s="2597"/>
      <c r="I1" s="2597"/>
      <c r="J1" s="1178"/>
    </row>
    <row r="2" spans="2:10" s="295" customFormat="1" ht="12.75" customHeight="1" x14ac:dyDescent="0.2">
      <c r="B2" s="2598">
        <f>'Single Audit Cover'!E7</f>
        <v>9010137002</v>
      </c>
      <c r="C2" s="2599"/>
      <c r="D2" s="2599"/>
      <c r="E2" s="2599"/>
      <c r="F2" s="2599"/>
      <c r="G2" s="2599"/>
      <c r="H2" s="2599"/>
      <c r="I2" s="2599"/>
      <c r="J2" s="1178"/>
    </row>
    <row r="3" spans="2:10" s="295" customFormat="1" ht="12.75" customHeight="1" x14ac:dyDescent="0.2">
      <c r="B3" s="2600" t="s">
        <v>1274</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1273</v>
      </c>
      <c r="C7" s="2601"/>
      <c r="D7" s="2601"/>
      <c r="E7" s="2601"/>
      <c r="F7" s="2601"/>
      <c r="G7" s="2601"/>
      <c r="H7" s="2601"/>
      <c r="I7" s="260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2" t="s">
        <v>2147</v>
      </c>
      <c r="D11" s="260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2142</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2142</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2142</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2142</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2142</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3" t="s">
        <v>2148</v>
      </c>
      <c r="E29" s="2603"/>
      <c r="F29" s="2603"/>
      <c r="G29" s="2603"/>
      <c r="H29" s="2603"/>
      <c r="I29" s="2603"/>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2142</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4" t="s">
        <v>1725</v>
      </c>
      <c r="D37" s="2605"/>
      <c r="E37" s="2605"/>
      <c r="F37" s="2606"/>
      <c r="G37" s="2604" t="s">
        <v>1575</v>
      </c>
      <c r="H37" s="2605"/>
      <c r="I37" s="2606"/>
    </row>
    <row r="38" spans="2:9" ht="16.5" customHeight="1" x14ac:dyDescent="0.2">
      <c r="B38" s="1200" t="s">
        <v>2117</v>
      </c>
      <c r="C38" s="2592" t="s">
        <v>2149</v>
      </c>
      <c r="D38" s="2593"/>
      <c r="E38" s="2593"/>
      <c r="F38" s="2594"/>
      <c r="G38" s="2607">
        <v>908151</v>
      </c>
      <c r="H38" s="2608"/>
      <c r="I38" s="2609"/>
    </row>
    <row r="39" spans="2:9" ht="16.5" customHeight="1" x14ac:dyDescent="0.2">
      <c r="B39" s="1200">
        <v>10.555</v>
      </c>
      <c r="C39" s="2592" t="s">
        <v>2150</v>
      </c>
      <c r="D39" s="2593"/>
      <c r="E39" s="2593"/>
      <c r="F39" s="2594"/>
      <c r="G39" s="2595">
        <v>630132</v>
      </c>
      <c r="H39" s="2595"/>
      <c r="I39" s="2595"/>
    </row>
    <row r="40" spans="2:9" ht="16.5" customHeight="1" x14ac:dyDescent="0.2">
      <c r="B40" s="1200">
        <v>84.027000000000001</v>
      </c>
      <c r="C40" s="2592" t="s">
        <v>2151</v>
      </c>
      <c r="D40" s="2593"/>
      <c r="E40" s="2593"/>
      <c r="F40" s="2594"/>
      <c r="G40" s="2595">
        <v>551416</v>
      </c>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585" t="s">
        <v>1576</v>
      </c>
      <c r="D43" s="2586"/>
      <c r="E43" s="2586"/>
      <c r="F43" s="2587"/>
      <c r="G43" s="2588">
        <f>SUM(G38:I42)</f>
        <v>2089699</v>
      </c>
      <c r="H43" s="2588"/>
      <c r="I43" s="2588"/>
    </row>
    <row r="44" spans="2:9" ht="12.75" customHeight="1" x14ac:dyDescent="0.2"/>
    <row r="45" spans="2:9" ht="12.75" customHeight="1" x14ac:dyDescent="0.2">
      <c r="B45" s="1918" t="str">
        <f>"Total Federal Expenditures for 7/1/"&amp;MID('AFR20'!E2,3,2)-1&amp;"-6/30/"&amp;MID('AFR20'!E2,3,2)</f>
        <v>Total Federal Expenditures for 7/1/19-6/30/20</v>
      </c>
      <c r="C45" s="1919"/>
      <c r="D45" s="2589">
        <v>3828504</v>
      </c>
      <c r="E45" s="2590"/>
    </row>
    <row r="46" spans="2:9" ht="5.25" customHeight="1" x14ac:dyDescent="0.2">
      <c r="B46" s="1201"/>
      <c r="D46" s="1202"/>
      <c r="E46" s="1203"/>
    </row>
    <row r="47" spans="2:9" ht="12.75" customHeight="1" x14ac:dyDescent="0.2">
      <c r="B47" s="1076" t="s">
        <v>1577</v>
      </c>
      <c r="C47" s="1076"/>
      <c r="D47" s="1204">
        <f>+G43/D45</f>
        <v>0.54582651604908861</v>
      </c>
      <c r="E47" s="1205"/>
      <c r="F47" s="1206"/>
      <c r="I47" s="1207"/>
    </row>
    <row r="48" spans="2:9" ht="9.9499999999999993" customHeight="1" x14ac:dyDescent="0.2"/>
    <row r="49" spans="1:9" x14ac:dyDescent="0.2">
      <c r="B49" s="1138" t="s">
        <v>1262</v>
      </c>
      <c r="C49" s="1058"/>
      <c r="D49" s="1058"/>
      <c r="E49" s="2591">
        <v>750000</v>
      </c>
      <c r="F49" s="2591"/>
      <c r="G49" s="2591"/>
      <c r="H49" s="300"/>
    </row>
    <row r="51" spans="1:9" ht="13.5" customHeight="1" x14ac:dyDescent="0.2">
      <c r="B51" s="1138" t="s">
        <v>1261</v>
      </c>
      <c r="C51" s="1058"/>
      <c r="E51" s="1194"/>
      <c r="F51" s="1076" t="s">
        <v>879</v>
      </c>
      <c r="G51" s="1194" t="s">
        <v>2142</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2"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Rantoul City SD 137</v>
      </c>
      <c r="C1" s="2596"/>
      <c r="D1" s="2596"/>
      <c r="E1" s="2596"/>
      <c r="F1" s="2596"/>
      <c r="G1" s="2596"/>
      <c r="H1" s="2596"/>
      <c r="I1" s="2596"/>
      <c r="J1" s="2596"/>
      <c r="K1" s="2596"/>
      <c r="L1" s="1144"/>
      <c r="M1" s="1144"/>
    </row>
    <row r="2" spans="1:13" ht="12" customHeight="1" x14ac:dyDescent="0.2">
      <c r="B2" s="2598">
        <f>'Single Audit Cover'!E7</f>
        <v>9010137002</v>
      </c>
      <c r="C2" s="2598"/>
      <c r="D2" s="2598"/>
      <c r="E2" s="2598"/>
      <c r="F2" s="2598"/>
      <c r="G2" s="2598"/>
      <c r="H2" s="2598"/>
      <c r="I2" s="2598"/>
      <c r="J2" s="2598"/>
      <c r="K2" s="2598"/>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20" t="str">
        <f>'AFR20'!$E$2&amp;"-"</f>
        <v>2020-</v>
      </c>
      <c r="D10" s="1155">
        <v>1</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t="s">
        <v>2152</v>
      </c>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t="s">
        <v>2153</v>
      </c>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5" t="s">
        <v>2154</v>
      </c>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t="s">
        <v>2155</v>
      </c>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t="s">
        <v>2156</v>
      </c>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t="s">
        <v>2157</v>
      </c>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0" t="s">
        <v>2158</v>
      </c>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R26" sqref="R2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Rantoul City SD 137</v>
      </c>
      <c r="C1" s="2619"/>
      <c r="D1" s="2619"/>
      <c r="E1" s="2619"/>
      <c r="F1" s="2619"/>
      <c r="G1" s="2619"/>
      <c r="H1" s="2619"/>
      <c r="I1" s="2619"/>
      <c r="J1" s="2619"/>
      <c r="K1" s="2619"/>
      <c r="L1" s="1221"/>
    </row>
    <row r="2" spans="1:12" ht="12.75" customHeight="1" x14ac:dyDescent="0.2">
      <c r="B2" s="2620">
        <f>'Single Audit Cover'!E7</f>
        <v>9010137002</v>
      </c>
      <c r="C2" s="2620"/>
      <c r="D2" s="2620"/>
      <c r="E2" s="2620"/>
      <c r="F2" s="2620"/>
      <c r="G2" s="2620"/>
      <c r="H2" s="2620"/>
      <c r="I2" s="2620"/>
      <c r="J2" s="2620"/>
      <c r="K2" s="2620"/>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t="s">
        <v>2144</v>
      </c>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Rantoul City SD 137</v>
      </c>
      <c r="C1" s="2596"/>
      <c r="D1" s="2596"/>
      <c r="E1" s="1240"/>
    </row>
    <row r="2" spans="2:5" s="1058" customFormat="1" ht="12.75" customHeight="1" x14ac:dyDescent="0.2">
      <c r="B2" s="2598">
        <f>'Single Audit Cover'!E7</f>
        <v>9010137002</v>
      </c>
      <c r="C2" s="2598"/>
      <c r="D2" s="2598"/>
      <c r="E2" s="1241"/>
    </row>
    <row r="3" spans="2:5" ht="12.75" customHeight="1" x14ac:dyDescent="0.2">
      <c r="B3" s="2612" t="s">
        <v>1740</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t="s">
        <v>2144</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1" colorId="8" zoomScale="110" zoomScaleNormal="110" workbookViewId="0">
      <selection activeCell="L16" sqref="L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124063838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2.5600000000000001E-2</v>
      </c>
      <c r="E10" s="333" t="s">
        <v>998</v>
      </c>
      <c r="F10" s="332">
        <v>3.9750000000000002E-3</v>
      </c>
      <c r="G10" s="333" t="s">
        <v>998</v>
      </c>
      <c r="H10" s="332">
        <v>1.7669999999999999E-3</v>
      </c>
      <c r="I10" s="333" t="s">
        <v>999</v>
      </c>
      <c r="J10" s="1424">
        <f>ROUND(D10+F10+H10,5)</f>
        <v>3.134E-2</v>
      </c>
      <c r="K10" s="217"/>
      <c r="L10" s="332">
        <v>9.1000000000000003E-5</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22434178</v>
      </c>
      <c r="E16" s="1547"/>
      <c r="F16" s="1546">
        <f>SUM('Acct Summary 7-8'!C17,'Acct Summary 7-8'!D17,'Acct Summary 7-8'!F17)</f>
        <v>22675940</v>
      </c>
      <c r="G16" s="1547"/>
      <c r="H16" s="1546">
        <f>SUM(D16-F16)</f>
        <v>-241762</v>
      </c>
      <c r="I16" s="1548"/>
      <c r="J16" s="1546">
        <f>SUM('Acct Summary 7-8'!C81,'Acct Summary 7-8'!D81,'Acct Summary 7-8'!F81,'Acct Summary 7-8'!I81)</f>
        <v>10197724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425">
        <f>IF(B31="X",(J7*0.069),IF(B32="X",(J7*0.138),"Enter x in a.or b."))</f>
        <v>8560404.8220000006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17965000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Rantoul City SD 137</v>
      </c>
      <c r="E7" s="368"/>
      <c r="G7" s="247"/>
      <c r="H7" s="364"/>
      <c r="I7" s="364"/>
      <c r="J7" s="364"/>
      <c r="K7" s="364"/>
      <c r="L7" s="307"/>
      <c r="M7" s="307"/>
      <c r="N7" s="307"/>
      <c r="O7" s="307"/>
      <c r="P7" s="307"/>
    </row>
    <row r="8" spans="1:18" ht="12.75" x14ac:dyDescent="0.2">
      <c r="A8" s="307"/>
      <c r="B8" s="307"/>
      <c r="C8" s="366" t="s">
        <v>1115</v>
      </c>
      <c r="D8" s="369">
        <f>COVER!A13</f>
        <v>9010137002</v>
      </c>
      <c r="E8" s="370"/>
      <c r="G8" s="307"/>
      <c r="H8" s="307"/>
      <c r="I8" s="307"/>
      <c r="J8" s="307"/>
      <c r="K8" s="307"/>
      <c r="L8" s="307"/>
      <c r="M8" s="307"/>
      <c r="N8" s="307"/>
      <c r="O8" s="307"/>
      <c r="P8" s="307"/>
    </row>
    <row r="9" spans="1:18" ht="12.75" x14ac:dyDescent="0.2">
      <c r="A9" s="307"/>
      <c r="B9" s="307"/>
      <c r="C9" s="366" t="s">
        <v>708</v>
      </c>
      <c r="D9" s="371" t="str">
        <f>COVER!A15</f>
        <v>CHAMPAIGN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10197724</v>
      </c>
      <c r="I12" s="380"/>
      <c r="J12" s="380"/>
      <c r="K12" s="1559">
        <f>TRUNC((H12/H13*100000),5)/100000</f>
        <v>0.45456196340000005</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22434178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22675940</v>
      </c>
      <c r="I17" s="380"/>
      <c r="J17" s="389"/>
      <c r="K17" s="1559">
        <f>TRUNC((H17/H18*100000),5)/100000</f>
        <v>1.0107765036</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22434178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32.901391400000001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11860990</v>
      </c>
      <c r="I24" s="394"/>
      <c r="J24" s="394"/>
      <c r="K24" s="1555">
        <f>TRUNC(((H24/H25*100000)/100000),2)</f>
        <v>188.3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62988.722220000003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3304936.58048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17965000</v>
      </c>
      <c r="I32" s="392"/>
      <c r="J32" s="392"/>
      <c r="K32" s="1555">
        <f>TRUNC(100-((((H32/H33*100))*100)/100),2)</f>
        <v>-109.86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8560404.8220000006</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3.3499999999999996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K39" sqref="K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10084737</v>
      </c>
      <c r="D4" s="1573">
        <v>917452</v>
      </c>
      <c r="E4" s="1573">
        <v>48400</v>
      </c>
      <c r="F4" s="1573">
        <v>294792</v>
      </c>
      <c r="G4" s="1573">
        <v>195306</v>
      </c>
      <c r="H4" s="1573">
        <v>1313456</v>
      </c>
      <c r="I4" s="1573">
        <v>564004</v>
      </c>
      <c r="J4" s="1574">
        <v>247846</v>
      </c>
      <c r="K4" s="1573">
        <v>18149</v>
      </c>
      <c r="L4" s="1573">
        <v>39746</v>
      </c>
      <c r="M4" s="1575"/>
      <c r="N4" s="1576"/>
    </row>
    <row r="5" spans="1:14" x14ac:dyDescent="0.2">
      <c r="A5" s="427" t="s">
        <v>985</v>
      </c>
      <c r="B5" s="429">
        <v>120</v>
      </c>
      <c r="C5" s="1572">
        <v>5</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v>1482</v>
      </c>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10084742</v>
      </c>
      <c r="D13" s="1587">
        <f t="shared" ref="D13:L13" si="0">SUM(D4:D12)</f>
        <v>918934</v>
      </c>
      <c r="E13" s="1587">
        <f t="shared" si="0"/>
        <v>48400</v>
      </c>
      <c r="F13" s="1587">
        <f t="shared" si="0"/>
        <v>294792</v>
      </c>
      <c r="G13" s="1587">
        <f t="shared" si="0"/>
        <v>195306</v>
      </c>
      <c r="H13" s="1587">
        <f t="shared" si="0"/>
        <v>1313456</v>
      </c>
      <c r="I13" s="1587">
        <f t="shared" si="0"/>
        <v>564004</v>
      </c>
      <c r="J13" s="1587">
        <f t="shared" si="0"/>
        <v>247846</v>
      </c>
      <c r="K13" s="1587">
        <f t="shared" si="0"/>
        <v>18149</v>
      </c>
      <c r="L13" s="1587">
        <f t="shared" si="0"/>
        <v>39746</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100231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34664884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720198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4611241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48400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17916600</v>
      </c>
    </row>
    <row r="23" spans="1:14" ht="13.5" customHeight="1" thickBot="1" x14ac:dyDescent="0.25">
      <c r="A23" s="1426" t="s">
        <v>638</v>
      </c>
      <c r="B23" s="1429"/>
      <c r="C23" s="1575"/>
      <c r="D23" s="1575"/>
      <c r="E23" s="1575"/>
      <c r="F23" s="1575"/>
      <c r="G23" s="1575"/>
      <c r="H23" s="1575"/>
      <c r="I23" s="1575"/>
      <c r="J23" s="1575"/>
      <c r="K23" s="1575"/>
      <c r="L23" s="1575"/>
      <c r="M23" s="1594">
        <f>SUM(M15:M22)</f>
        <v>40096554</v>
      </c>
      <c r="N23" s="1594">
        <f>SUM(N21:N22)</f>
        <v>17965000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1626681</v>
      </c>
      <c r="D30" s="1579"/>
      <c r="E30" s="1574"/>
      <c r="F30" s="1574"/>
      <c r="G30" s="1574"/>
      <c r="H30" s="1574"/>
      <c r="I30" s="1574"/>
      <c r="J30" s="1574"/>
      <c r="K30" s="1583"/>
      <c r="L30" s="1575"/>
      <c r="M30" s="1575"/>
      <c r="N30" s="1575"/>
    </row>
    <row r="31" spans="1:14" ht="13.5" customHeight="1" x14ac:dyDescent="0.2">
      <c r="A31" s="430" t="s">
        <v>646</v>
      </c>
      <c r="B31" s="429">
        <v>480</v>
      </c>
      <c r="C31" s="1573">
        <v>38067</v>
      </c>
      <c r="D31" s="1574"/>
      <c r="E31" s="1574"/>
      <c r="F31" s="1573"/>
      <c r="G31" s="1574">
        <v>19883</v>
      </c>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39746</v>
      </c>
      <c r="M33" s="1575"/>
      <c r="N33" s="1576"/>
    </row>
    <row r="34" spans="1:14" ht="13.5" customHeight="1" thickBot="1" x14ac:dyDescent="0.25">
      <c r="A34" s="1427" t="s">
        <v>649</v>
      </c>
      <c r="B34" s="1428"/>
      <c r="C34" s="1600">
        <f>SUM(C25:C33)</f>
        <v>1664748</v>
      </c>
      <c r="D34" s="1600">
        <f t="shared" ref="D34:K34" si="1">SUM(D25:D33)</f>
        <v>0</v>
      </c>
      <c r="E34" s="1600">
        <f t="shared" si="1"/>
        <v>0</v>
      </c>
      <c r="F34" s="1600">
        <f t="shared" si="1"/>
        <v>0</v>
      </c>
      <c r="G34" s="1600">
        <f t="shared" si="1"/>
        <v>19883</v>
      </c>
      <c r="H34" s="1600">
        <f t="shared" si="1"/>
        <v>0</v>
      </c>
      <c r="I34" s="1600">
        <f t="shared" si="1"/>
        <v>0</v>
      </c>
      <c r="J34" s="1600">
        <f t="shared" si="1"/>
        <v>0</v>
      </c>
      <c r="K34" s="1600">
        <f t="shared" si="1"/>
        <v>0</v>
      </c>
      <c r="L34" s="1601">
        <f>SUM(L33)</f>
        <v>39746</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17965000</v>
      </c>
    </row>
    <row r="37" spans="1:14" ht="13.5" thickBot="1" x14ac:dyDescent="0.25">
      <c r="A37" s="1426" t="s">
        <v>648</v>
      </c>
      <c r="B37" s="1429"/>
      <c r="C37" s="1582"/>
      <c r="D37" s="1582"/>
      <c r="E37" s="1582"/>
      <c r="F37" s="1582"/>
      <c r="G37" s="1582"/>
      <c r="H37" s="1582"/>
      <c r="I37" s="1582"/>
      <c r="J37" s="1582"/>
      <c r="K37" s="1582"/>
      <c r="L37" s="1585"/>
      <c r="M37" s="1575"/>
      <c r="N37" s="1594">
        <f>SUM(N36:N36)</f>
        <v>17965000</v>
      </c>
    </row>
    <row r="38" spans="1:14" s="307" customFormat="1" ht="13.5" customHeight="1" thickTop="1" x14ac:dyDescent="0.2">
      <c r="A38" s="438" t="s">
        <v>417</v>
      </c>
      <c r="B38" s="432">
        <v>714</v>
      </c>
      <c r="C38" s="1573"/>
      <c r="D38" s="1573"/>
      <c r="E38" s="1573"/>
      <c r="F38" s="1573"/>
      <c r="G38" s="1573">
        <v>175423</v>
      </c>
      <c r="H38" s="1573">
        <v>141122</v>
      </c>
      <c r="I38" s="1573"/>
      <c r="J38" s="1574"/>
      <c r="K38" s="1573"/>
      <c r="L38" s="1586"/>
      <c r="M38" s="1604"/>
      <c r="N38" s="1604"/>
    </row>
    <row r="39" spans="1:14" s="307" customFormat="1" ht="13.5" customHeight="1" x14ac:dyDescent="0.2">
      <c r="A39" s="438" t="s">
        <v>339</v>
      </c>
      <c r="B39" s="432">
        <v>730</v>
      </c>
      <c r="C39" s="1573">
        <v>8419994</v>
      </c>
      <c r="D39" s="1573">
        <v>918934</v>
      </c>
      <c r="E39" s="1573">
        <v>48400</v>
      </c>
      <c r="F39" s="1573">
        <v>294792</v>
      </c>
      <c r="G39" s="1573"/>
      <c r="H39" s="1573">
        <v>1172334</v>
      </c>
      <c r="I39" s="1573">
        <v>564004</v>
      </c>
      <c r="J39" s="1574">
        <v>247846</v>
      </c>
      <c r="K39" s="1573">
        <v>18149</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40096554</v>
      </c>
      <c r="N40" s="1604"/>
    </row>
    <row r="41" spans="1:14" ht="13.5" customHeight="1" thickBot="1" x14ac:dyDescent="0.25">
      <c r="A41" s="1426" t="s">
        <v>650</v>
      </c>
      <c r="B41" s="1405"/>
      <c r="C41" s="1594">
        <f>(SUM(C34,C37,C38,C39))</f>
        <v>10084742</v>
      </c>
      <c r="D41" s="1594">
        <f t="shared" ref="D41:L41" si="2">SUM(D34,D37,D38:D39)</f>
        <v>918934</v>
      </c>
      <c r="E41" s="1594">
        <f t="shared" si="2"/>
        <v>48400</v>
      </c>
      <c r="F41" s="1594">
        <f t="shared" si="2"/>
        <v>294792</v>
      </c>
      <c r="G41" s="1594">
        <f t="shared" si="2"/>
        <v>195306</v>
      </c>
      <c r="H41" s="1594">
        <f t="shared" si="2"/>
        <v>1313456</v>
      </c>
      <c r="I41" s="1594">
        <f t="shared" si="2"/>
        <v>564004</v>
      </c>
      <c r="J41" s="1594">
        <f t="shared" si="2"/>
        <v>247846</v>
      </c>
      <c r="K41" s="1594">
        <f t="shared" si="2"/>
        <v>18149</v>
      </c>
      <c r="L41" s="1594">
        <f t="shared" si="2"/>
        <v>39746</v>
      </c>
      <c r="M41" s="1594">
        <f>SUM(M40)</f>
        <v>40096554</v>
      </c>
      <c r="N41" s="1594">
        <f>SUM(N37)</f>
        <v>17965000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3502934</v>
      </c>
      <c r="D4" s="1606">
        <f>'Revenues 9-14'!D109</f>
        <v>661070</v>
      </c>
      <c r="E4" s="1606">
        <f>'Revenues 9-14'!E109</f>
        <v>1166819</v>
      </c>
      <c r="F4" s="1606">
        <f>'Revenues 9-14'!F109</f>
        <v>221963</v>
      </c>
      <c r="G4" s="1606">
        <f>'Revenues 9-14'!G109</f>
        <v>660583</v>
      </c>
      <c r="H4" s="1606">
        <f>'Revenues 9-14'!H109</f>
        <v>193830</v>
      </c>
      <c r="I4" s="1606">
        <f>'Revenues 9-14'!I109</f>
        <v>10214</v>
      </c>
      <c r="J4" s="1606">
        <f>'Revenues 9-14'!J109</f>
        <v>263172</v>
      </c>
      <c r="K4" s="1606">
        <f>'Revenues 9-14'!K109</f>
        <v>192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12386604</v>
      </c>
      <c r="D6" s="1607">
        <f>'Revenues 9-14'!D170</f>
        <v>1180000</v>
      </c>
      <c r="E6" s="1607">
        <f>'Revenues 9-14'!E170</f>
        <v>0</v>
      </c>
      <c r="F6" s="1607">
        <f>'Revenues 9-14'!F170</f>
        <v>697812</v>
      </c>
      <c r="G6" s="1607">
        <f>'Revenues 9-14'!G170</f>
        <v>0</v>
      </c>
      <c r="H6" s="1607">
        <f>'Revenues 9-14'!H170</f>
        <v>43041</v>
      </c>
      <c r="I6" s="1607">
        <f>'Revenues 9-14'!I170</f>
        <v>0</v>
      </c>
      <c r="J6" s="1607">
        <f>'Revenues 9-14'!J170</f>
        <v>0</v>
      </c>
      <c r="K6" s="1607">
        <f>'Revenues 9-14'!K170</f>
        <v>0</v>
      </c>
      <c r="L6" s="325"/>
      <c r="M6" s="448"/>
    </row>
    <row r="7" spans="1:13" ht="15.75" customHeight="1" x14ac:dyDescent="0.2">
      <c r="A7" s="1314" t="s">
        <v>1485</v>
      </c>
      <c r="B7" s="1316">
        <v>4000</v>
      </c>
      <c r="C7" s="1607">
        <f>'Revenues 9-14'!C267</f>
        <v>3773581</v>
      </c>
      <c r="D7" s="1607">
        <f>'Revenues 9-14'!D267</f>
        <v>0</v>
      </c>
      <c r="E7" s="1607">
        <f>'Revenues 9-14'!E267</f>
        <v>553775</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19663119</v>
      </c>
      <c r="D8" s="1594">
        <f t="shared" ref="D8:K8" si="0">SUM(D4:D7)</f>
        <v>1841070</v>
      </c>
      <c r="E8" s="1594">
        <f t="shared" si="0"/>
        <v>1720594</v>
      </c>
      <c r="F8" s="1594">
        <f t="shared" si="0"/>
        <v>919775</v>
      </c>
      <c r="G8" s="1594">
        <f t="shared" si="0"/>
        <v>660583</v>
      </c>
      <c r="H8" s="1594">
        <f t="shared" si="0"/>
        <v>236871</v>
      </c>
      <c r="I8" s="1594">
        <f t="shared" si="0"/>
        <v>10214</v>
      </c>
      <c r="J8" s="1594">
        <f t="shared" si="0"/>
        <v>263172</v>
      </c>
      <c r="K8" s="1594">
        <f t="shared" si="0"/>
        <v>192</v>
      </c>
      <c r="L8" s="325"/>
    </row>
    <row r="9" spans="1:13" ht="15.75" thickTop="1" x14ac:dyDescent="0.2">
      <c r="A9" s="449" t="s">
        <v>1634</v>
      </c>
      <c r="B9" s="450">
        <v>3998</v>
      </c>
      <c r="C9" s="1586">
        <v>7910103</v>
      </c>
      <c r="D9" s="1613"/>
      <c r="E9" s="1586"/>
      <c r="F9" s="1586"/>
      <c r="G9" s="1614"/>
      <c r="H9" s="1586"/>
      <c r="I9" s="1609" t="s">
        <v>1159</v>
      </c>
      <c r="J9" s="1583"/>
      <c r="K9" s="1586"/>
      <c r="L9" s="325"/>
    </row>
    <row r="10" spans="1:13" s="452" customFormat="1" ht="13.5" thickBot="1" x14ac:dyDescent="0.25">
      <c r="A10" s="1426" t="s">
        <v>1163</v>
      </c>
      <c r="B10" s="1407"/>
      <c r="C10" s="1594">
        <f>SUM(C8:C9)</f>
        <v>27573222</v>
      </c>
      <c r="D10" s="1594">
        <f t="shared" ref="D10:K10" si="1">SUM(D8:D9)</f>
        <v>1841070</v>
      </c>
      <c r="E10" s="1594">
        <f t="shared" si="1"/>
        <v>1720594</v>
      </c>
      <c r="F10" s="1594">
        <f t="shared" si="1"/>
        <v>919775</v>
      </c>
      <c r="G10" s="1594">
        <f t="shared" si="1"/>
        <v>660583</v>
      </c>
      <c r="H10" s="1594">
        <f t="shared" si="1"/>
        <v>236871</v>
      </c>
      <c r="I10" s="1594">
        <f t="shared" si="1"/>
        <v>10214</v>
      </c>
      <c r="J10" s="1594">
        <f t="shared" si="1"/>
        <v>263172</v>
      </c>
      <c r="K10" s="1594">
        <f t="shared" si="1"/>
        <v>192</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11948180</v>
      </c>
      <c r="D12" s="1616" t="s">
        <v>1159</v>
      </c>
      <c r="E12" s="1575" t="s">
        <v>1159</v>
      </c>
      <c r="F12" s="1575" t="s">
        <v>1159</v>
      </c>
      <c r="G12" s="1606">
        <f>'Expenditures 15-22'!K229</f>
        <v>271571</v>
      </c>
      <c r="H12" s="1617"/>
      <c r="I12" s="1575" t="s">
        <v>1159</v>
      </c>
      <c r="J12" s="1575" t="s">
        <v>1159</v>
      </c>
      <c r="K12" s="1617" t="s">
        <v>1159</v>
      </c>
      <c r="L12" s="325"/>
    </row>
    <row r="13" spans="1:13" ht="15.75" customHeight="1" x14ac:dyDescent="0.2">
      <c r="A13" s="1314" t="s">
        <v>454</v>
      </c>
      <c r="B13" s="1316">
        <v>2000</v>
      </c>
      <c r="C13" s="1607">
        <f>'Expenditures 15-22'!K74</f>
        <v>6921959</v>
      </c>
      <c r="D13" s="1607">
        <f>'Expenditures 15-22'!K129</f>
        <v>1625853</v>
      </c>
      <c r="E13" s="1576" t="s">
        <v>1159</v>
      </c>
      <c r="F13" s="1607">
        <f>'Expenditures 15-22'!K184</f>
        <v>1007641</v>
      </c>
      <c r="G13" s="1607">
        <f>'Expenditures 15-22'!K279</f>
        <v>337843</v>
      </c>
      <c r="H13" s="1607">
        <f>'Expenditures 15-22'!K303</f>
        <v>93973</v>
      </c>
      <c r="I13" s="1575" t="s">
        <v>1159</v>
      </c>
      <c r="J13" s="1607">
        <f>'Expenditures 15-22'!K330</f>
        <v>237881</v>
      </c>
      <c r="K13" s="1618">
        <f>'Expenditures 15-22'!K352</f>
        <v>159501</v>
      </c>
      <c r="L13" s="325"/>
    </row>
    <row r="14" spans="1:13" ht="15.75" customHeight="1" x14ac:dyDescent="0.2">
      <c r="A14" s="1314" t="s">
        <v>446</v>
      </c>
      <c r="B14" s="1316">
        <v>3000</v>
      </c>
      <c r="C14" s="1607">
        <f>'Expenditures 15-22'!K75</f>
        <v>221329</v>
      </c>
      <c r="D14" s="1607">
        <f>'Expenditures 15-22'!K130</f>
        <v>0</v>
      </c>
      <c r="E14" s="1616" t="s">
        <v>1159</v>
      </c>
      <c r="F14" s="1607">
        <f>'Expenditures 15-22'!K185</f>
        <v>0</v>
      </c>
      <c r="G14" s="1607">
        <f>'Expenditures 15-22'!K280</f>
        <v>6714</v>
      </c>
      <c r="H14" s="1612"/>
      <c r="I14" s="1575" t="s">
        <v>1159</v>
      </c>
      <c r="J14" s="1575" t="s">
        <v>1159</v>
      </c>
      <c r="K14" s="1612" t="s">
        <v>1159</v>
      </c>
      <c r="L14" s="325"/>
    </row>
    <row r="15" spans="1:13" ht="15.75" customHeight="1" x14ac:dyDescent="0.2">
      <c r="A15" s="1314" t="s">
        <v>107</v>
      </c>
      <c r="B15" s="1316">
        <v>4000</v>
      </c>
      <c r="C15" s="1607">
        <f>'Expenditures 15-22'!K102</f>
        <v>950978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1888295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20042446</v>
      </c>
      <c r="D17" s="1594">
        <f t="shared" si="2"/>
        <v>1625853</v>
      </c>
      <c r="E17" s="1594">
        <f t="shared" si="2"/>
        <v>1888295</v>
      </c>
      <c r="F17" s="1594">
        <f t="shared" si="2"/>
        <v>1007641</v>
      </c>
      <c r="G17" s="1594">
        <f t="shared" si="2"/>
        <v>616128</v>
      </c>
      <c r="H17" s="1594">
        <f t="shared" si="2"/>
        <v>93973</v>
      </c>
      <c r="I17" s="1575"/>
      <c r="J17" s="1594">
        <f>SUM(J12:J16)</f>
        <v>237881</v>
      </c>
      <c r="K17" s="1594">
        <f>SUM(K12:K16)</f>
        <v>159501</v>
      </c>
      <c r="L17" s="325"/>
    </row>
    <row r="18" spans="1:12" ht="15" customHeight="1" thickTop="1" x14ac:dyDescent="0.2">
      <c r="A18" s="1430" t="s">
        <v>1635</v>
      </c>
      <c r="B18" s="1431">
        <v>4180</v>
      </c>
      <c r="C18" s="1606">
        <f t="shared" ref="C18:H18" si="3">C9</f>
        <v>7910103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27952549</v>
      </c>
      <c r="D19" s="1594">
        <f t="shared" si="4"/>
        <v>1625853</v>
      </c>
      <c r="E19" s="1594">
        <f t="shared" si="4"/>
        <v>1888295</v>
      </c>
      <c r="F19" s="1594">
        <f t="shared" si="4"/>
        <v>1007641</v>
      </c>
      <c r="G19" s="1594">
        <f t="shared" si="4"/>
        <v>616128</v>
      </c>
      <c r="H19" s="1594">
        <f t="shared" si="4"/>
        <v>93973</v>
      </c>
      <c r="I19" s="1575"/>
      <c r="J19" s="1594">
        <f>SUM(J17:J18)</f>
        <v>237881</v>
      </c>
      <c r="K19" s="1594">
        <f>SUM(K17:K18)</f>
        <v>159501</v>
      </c>
      <c r="L19" s="325"/>
    </row>
    <row r="20" spans="1:12" ht="16.5" thickTop="1" thickBot="1" x14ac:dyDescent="0.25">
      <c r="A20" s="2234" t="s">
        <v>1636</v>
      </c>
      <c r="B20" s="2235"/>
      <c r="C20" s="1622">
        <f>C8-C17</f>
        <v>-379327</v>
      </c>
      <c r="D20" s="1622">
        <f t="shared" ref="D20:K20" si="5">D8-D17</f>
        <v>215217</v>
      </c>
      <c r="E20" s="1622">
        <f t="shared" si="5"/>
        <v>-167701</v>
      </c>
      <c r="F20" s="1622">
        <f t="shared" si="5"/>
        <v>-87866</v>
      </c>
      <c r="G20" s="1622">
        <f t="shared" si="5"/>
        <v>44455</v>
      </c>
      <c r="H20" s="1622">
        <f t="shared" si="5"/>
        <v>142898</v>
      </c>
      <c r="I20" s="1622">
        <f t="shared" si="5"/>
        <v>10214</v>
      </c>
      <c r="J20" s="1622">
        <f t="shared" si="5"/>
        <v>25291</v>
      </c>
      <c r="K20" s="1622">
        <f t="shared" si="5"/>
        <v>-159309</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v>4450000</v>
      </c>
      <c r="F33" s="1574"/>
      <c r="G33" s="1582"/>
      <c r="H33" s="1574"/>
      <c r="I33" s="1574"/>
      <c r="J33" s="1574"/>
      <c r="K33" s="1574"/>
      <c r="L33" s="453"/>
    </row>
    <row r="34" spans="1:12" s="433" customFormat="1" x14ac:dyDescent="0.2">
      <c r="A34" s="1260" t="s">
        <v>994</v>
      </c>
      <c r="B34" s="454">
        <v>7220</v>
      </c>
      <c r="C34" s="1574"/>
      <c r="D34" s="1574"/>
      <c r="E34" s="1574">
        <v>675760</v>
      </c>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0</v>
      </c>
      <c r="E44" s="1624">
        <f t="shared" si="6"/>
        <v>5125760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v>5125760</v>
      </c>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0</v>
      </c>
      <c r="E76" s="1624">
        <f t="shared" si="7"/>
        <v>5125760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6" t="s">
        <v>1167</v>
      </c>
      <c r="B77" s="2227"/>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0" t="s">
        <v>593</v>
      </c>
      <c r="B78" s="2231"/>
      <c r="C78" s="1629">
        <f t="shared" ref="C78:K78" si="9">C20+C77</f>
        <v>-379327</v>
      </c>
      <c r="D78" s="1629">
        <f t="shared" si="9"/>
        <v>215217</v>
      </c>
      <c r="E78" s="1629">
        <f t="shared" si="9"/>
        <v>-167701</v>
      </c>
      <c r="F78" s="1629">
        <f t="shared" si="9"/>
        <v>-87866</v>
      </c>
      <c r="G78" s="1629">
        <f t="shared" si="9"/>
        <v>44455</v>
      </c>
      <c r="H78" s="1629">
        <f t="shared" si="9"/>
        <v>142898</v>
      </c>
      <c r="I78" s="1629">
        <f t="shared" si="9"/>
        <v>10214</v>
      </c>
      <c r="J78" s="1629">
        <f t="shared" si="9"/>
        <v>25291</v>
      </c>
      <c r="K78" s="1629">
        <f t="shared" si="9"/>
        <v>-159309</v>
      </c>
      <c r="L78" s="457"/>
    </row>
    <row r="79" spans="1:12" ht="13.5" thickTop="1" x14ac:dyDescent="0.2">
      <c r="A79" s="1844" t="str">
        <f>"Fund Balances - July 1, "&amp;'AFR20'!E2-1</f>
        <v>Fund Balances - July 1, 2019</v>
      </c>
      <c r="B79" s="458"/>
      <c r="C79" s="1583">
        <v>8799321</v>
      </c>
      <c r="D79" s="1630">
        <v>703717</v>
      </c>
      <c r="E79" s="1630">
        <v>216101</v>
      </c>
      <c r="F79" s="1630">
        <v>382658</v>
      </c>
      <c r="G79" s="1630">
        <v>130968</v>
      </c>
      <c r="H79" s="1630">
        <v>1170558</v>
      </c>
      <c r="I79" s="1630">
        <v>553790</v>
      </c>
      <c r="J79" s="1630">
        <v>222555</v>
      </c>
      <c r="K79" s="1630">
        <v>177458</v>
      </c>
      <c r="L79" s="325"/>
    </row>
    <row r="80" spans="1:12" x14ac:dyDescent="0.2">
      <c r="A80" s="2236" t="s">
        <v>1769</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8419994</v>
      </c>
      <c r="D81" s="1594">
        <f>SUM(D78:D80)</f>
        <v>918934</v>
      </c>
      <c r="E81" s="1594">
        <f t="shared" ref="E81:K81" si="10">SUM(E78:E80)</f>
        <v>48400</v>
      </c>
      <c r="F81" s="1594">
        <f t="shared" si="10"/>
        <v>294792</v>
      </c>
      <c r="G81" s="1594">
        <f t="shared" si="10"/>
        <v>175423</v>
      </c>
      <c r="H81" s="1594">
        <f t="shared" si="10"/>
        <v>1313456</v>
      </c>
      <c r="I81" s="1594">
        <f t="shared" si="10"/>
        <v>564004</v>
      </c>
      <c r="J81" s="1594">
        <f t="shared" si="10"/>
        <v>247846</v>
      </c>
      <c r="K81" s="1594">
        <f t="shared" si="10"/>
        <v>18149</v>
      </c>
      <c r="L81" s="325"/>
    </row>
    <row r="82" spans="1:12" ht="0.75" customHeight="1" thickTop="1" thickBot="1" x14ac:dyDescent="0.25">
      <c r="A82" s="459" t="s">
        <v>340</v>
      </c>
      <c r="B82" s="460"/>
      <c r="C82" s="461">
        <f>(C81-C79)</f>
        <v>-379327</v>
      </c>
      <c r="D82" s="461">
        <f t="shared" ref="D82:K82" si="11">(D81-D79)</f>
        <v>215217</v>
      </c>
      <c r="E82" s="461">
        <f t="shared" si="11"/>
        <v>-167701</v>
      </c>
      <c r="F82" s="461">
        <f t="shared" si="11"/>
        <v>-87866</v>
      </c>
      <c r="G82" s="461">
        <f t="shared" si="11"/>
        <v>44455</v>
      </c>
      <c r="H82" s="461">
        <f t="shared" si="11"/>
        <v>142898</v>
      </c>
      <c r="I82" s="461">
        <f t="shared" si="11"/>
        <v>10214</v>
      </c>
      <c r="J82" s="461">
        <f t="shared" si="11"/>
        <v>25291</v>
      </c>
      <c r="K82" s="461">
        <f t="shared" si="11"/>
        <v>-159309</v>
      </c>
    </row>
    <row r="83" spans="1:12" ht="14.25" hidden="1" thickTop="1" thickBot="1" x14ac:dyDescent="0.25">
      <c r="A83" s="462" t="s">
        <v>341</v>
      </c>
      <c r="B83" s="428"/>
      <c r="C83" s="463">
        <f>C82/C81</f>
        <v>-4.5050744691742063E-2</v>
      </c>
      <c r="D83" s="463">
        <f t="shared" ref="D83:K83" si="12">D82/D81</f>
        <v>0.23420289161136709</v>
      </c>
      <c r="E83" s="463">
        <f t="shared" si="12"/>
        <v>-3.4648966942148762</v>
      </c>
      <c r="F83" s="463">
        <f t="shared" si="12"/>
        <v>-0.29806100572607125</v>
      </c>
      <c r="G83" s="463">
        <f t="shared" si="12"/>
        <v>0.25341602868495011</v>
      </c>
      <c r="H83" s="463">
        <f t="shared" si="12"/>
        <v>0.10879542215346384</v>
      </c>
      <c r="I83" s="463">
        <f t="shared" si="12"/>
        <v>1.8109800639711775E-2</v>
      </c>
      <c r="J83" s="463">
        <f t="shared" si="12"/>
        <v>0.10204320424779903</v>
      </c>
      <c r="K83" s="463">
        <f t="shared" si="12"/>
        <v>-8.7778389993939054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5" activePane="bottomLeft" state="frozen"/>
      <selection pane="bottomLeft" sqref="A1:A2"/>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1776</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2780334</v>
      </c>
      <c r="D5" s="1586">
        <v>322666</v>
      </c>
      <c r="E5" s="1573"/>
      <c r="F5" s="1631">
        <v>218212</v>
      </c>
      <c r="G5" s="1573">
        <v>285080</v>
      </c>
      <c r="H5" s="1573"/>
      <c r="I5" s="1573">
        <v>9529</v>
      </c>
      <c r="J5" s="1574">
        <v>255749</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280652</v>
      </c>
      <c r="D7" s="1573"/>
      <c r="E7" s="1575"/>
      <c r="F7" s="1574"/>
      <c r="G7" s="1574"/>
      <c r="H7" s="1574"/>
      <c r="I7" s="1575"/>
      <c r="J7" s="1575"/>
      <c r="K7" s="1575"/>
    </row>
    <row r="8" spans="1:12" x14ac:dyDescent="0.2">
      <c r="A8" s="427" t="s">
        <v>410</v>
      </c>
      <c r="B8" s="429">
        <v>1150</v>
      </c>
      <c r="C8" s="1580"/>
      <c r="D8" s="1580"/>
      <c r="E8" s="1582"/>
      <c r="F8" s="1582"/>
      <c r="G8" s="1586">
        <v>359425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3060986</v>
      </c>
      <c r="D12" s="1633">
        <f t="shared" si="0"/>
        <v>322666</v>
      </c>
      <c r="E12" s="1633">
        <f t="shared" si="0"/>
        <v>0</v>
      </c>
      <c r="F12" s="1633">
        <f t="shared" si="0"/>
        <v>218212</v>
      </c>
      <c r="G12" s="1633">
        <f t="shared" si="0"/>
        <v>644505</v>
      </c>
      <c r="H12" s="1633">
        <f t="shared" si="0"/>
        <v>0</v>
      </c>
      <c r="I12" s="1633">
        <f t="shared" si="0"/>
        <v>9529</v>
      </c>
      <c r="J12" s="1633">
        <f t="shared" si="0"/>
        <v>255749</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7193</v>
      </c>
      <c r="D14" s="1573">
        <v>728</v>
      </c>
      <c r="E14" s="1573"/>
      <c r="F14" s="1573">
        <v>520</v>
      </c>
      <c r="G14" s="1573">
        <v>1517</v>
      </c>
      <c r="H14" s="1573"/>
      <c r="I14" s="1573">
        <v>22</v>
      </c>
      <c r="J14" s="1574">
        <v>599</v>
      </c>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221986</v>
      </c>
      <c r="D16" s="1573"/>
      <c r="E16" s="1573"/>
      <c r="F16" s="1573"/>
      <c r="G16" s="1573">
        <v>14169</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229179</v>
      </c>
      <c r="D18" s="1635">
        <f t="shared" ref="D18:K18" si="1">SUM(D14:D17)</f>
        <v>728</v>
      </c>
      <c r="E18" s="1635">
        <f t="shared" si="1"/>
        <v>0</v>
      </c>
      <c r="F18" s="1635">
        <f t="shared" si="1"/>
        <v>520</v>
      </c>
      <c r="G18" s="1635">
        <f t="shared" si="1"/>
        <v>15686</v>
      </c>
      <c r="H18" s="1635">
        <f t="shared" si="1"/>
        <v>0</v>
      </c>
      <c r="I18" s="1635">
        <f t="shared" si="1"/>
        <v>22</v>
      </c>
      <c r="J18" s="1635">
        <f t="shared" si="1"/>
        <v>599</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11746</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11746</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49227</v>
      </c>
      <c r="D65" s="1573">
        <v>741</v>
      </c>
      <c r="E65" s="1573">
        <v>759</v>
      </c>
      <c r="F65" s="1574">
        <v>502</v>
      </c>
      <c r="G65" s="1573">
        <v>392</v>
      </c>
      <c r="H65" s="1573">
        <v>1776</v>
      </c>
      <c r="I65" s="1573">
        <v>663</v>
      </c>
      <c r="J65" s="1574">
        <v>256</v>
      </c>
      <c r="K65" s="1573">
        <v>192</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49227</v>
      </c>
      <c r="D67" s="1594">
        <f t="shared" ref="D67:K67" si="2">SUM(D65:D66)</f>
        <v>741</v>
      </c>
      <c r="E67" s="1594">
        <f t="shared" si="2"/>
        <v>759</v>
      </c>
      <c r="F67" s="1594">
        <f t="shared" si="2"/>
        <v>502</v>
      </c>
      <c r="G67" s="1594">
        <f t="shared" si="2"/>
        <v>392</v>
      </c>
      <c r="H67" s="1594">
        <f t="shared" si="2"/>
        <v>1776</v>
      </c>
      <c r="I67" s="1594">
        <f t="shared" si="2"/>
        <v>663</v>
      </c>
      <c r="J67" s="1594">
        <f t="shared" si="2"/>
        <v>256</v>
      </c>
      <c r="K67" s="1594">
        <f t="shared" si="2"/>
        <v>192</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48</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1085</v>
      </c>
      <c r="D73" s="1575"/>
      <c r="E73" s="1575"/>
      <c r="F73" s="1575"/>
      <c r="G73" s="1575"/>
      <c r="H73" s="1575"/>
      <c r="I73" s="1575"/>
      <c r="J73" s="1575"/>
      <c r="K73" s="1575"/>
    </row>
    <row r="74" spans="1:11" ht="12.75" customHeight="1" x14ac:dyDescent="0.2">
      <c r="A74" s="427" t="s">
        <v>25</v>
      </c>
      <c r="B74" s="429">
        <v>1690</v>
      </c>
      <c r="C74" s="1632">
        <v>2035</v>
      </c>
      <c r="D74" s="1575"/>
      <c r="E74" s="1575"/>
      <c r="F74" s="1575"/>
      <c r="G74" s="1575"/>
      <c r="H74" s="1575"/>
      <c r="I74" s="1575"/>
      <c r="J74" s="1575"/>
      <c r="K74" s="1575"/>
    </row>
    <row r="75" spans="1:11" ht="12.75" customHeight="1" thickBot="1" x14ac:dyDescent="0.25">
      <c r="A75" s="1406" t="s">
        <v>544</v>
      </c>
      <c r="B75" s="1407"/>
      <c r="C75" s="1594">
        <f>SUM(C69:C74)</f>
        <v>3168</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10108</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952</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11060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14214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14214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1090</v>
      </c>
      <c r="D95" s="1632">
        <v>3000</v>
      </c>
      <c r="E95" s="1617"/>
      <c r="F95" s="1617"/>
      <c r="G95" s="1617"/>
      <c r="H95" s="1617"/>
      <c r="I95" s="1617"/>
      <c r="J95" s="1617"/>
      <c r="K95" s="1617"/>
    </row>
    <row r="96" spans="1:11" ht="12.75" customHeight="1" x14ac:dyDescent="0.2">
      <c r="A96" s="427" t="s">
        <v>388</v>
      </c>
      <c r="B96" s="429">
        <v>1920</v>
      </c>
      <c r="C96" s="1632">
        <v>88135</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10818</v>
      </c>
      <c r="D99" s="1573">
        <v>4683</v>
      </c>
      <c r="E99" s="1573"/>
      <c r="F99" s="1573"/>
      <c r="G99" s="1573"/>
      <c r="H99" s="1573"/>
      <c r="I99" s="1575"/>
      <c r="J99" s="1574"/>
      <c r="K99" s="1573"/>
    </row>
    <row r="100" spans="1:12" ht="12.75" customHeight="1" x14ac:dyDescent="0.2">
      <c r="A100" s="427" t="s">
        <v>243</v>
      </c>
      <c r="B100" s="429">
        <v>1960</v>
      </c>
      <c r="C100" s="1598"/>
      <c r="D100" s="1598">
        <v>326864</v>
      </c>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1161886</v>
      </c>
      <c r="F103" s="1575"/>
      <c r="G103" s="1575"/>
      <c r="H103" s="1598">
        <v>192054</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23311</v>
      </c>
      <c r="D107" s="1573">
        <v>2388</v>
      </c>
      <c r="E107" s="1573">
        <v>4174</v>
      </c>
      <c r="F107" s="1573">
        <v>2729</v>
      </c>
      <c r="G107" s="1573"/>
      <c r="H107" s="1573"/>
      <c r="I107" s="1573"/>
      <c r="J107" s="1574">
        <v>6568</v>
      </c>
      <c r="K107" s="1573"/>
    </row>
    <row r="108" spans="1:12" ht="12.75" customHeight="1" thickBot="1" x14ac:dyDescent="0.25">
      <c r="A108" s="1406" t="s">
        <v>484</v>
      </c>
      <c r="B108" s="1408"/>
      <c r="C108" s="1633">
        <f>SUM(C95:C107)</f>
        <v>123354</v>
      </c>
      <c r="D108" s="1633">
        <f t="shared" ref="D108:K108" si="3">SUM(D95:D107)</f>
        <v>336935</v>
      </c>
      <c r="E108" s="1633">
        <f t="shared" si="3"/>
        <v>1166060</v>
      </c>
      <c r="F108" s="1633">
        <f t="shared" si="3"/>
        <v>2729</v>
      </c>
      <c r="G108" s="1633">
        <f t="shared" si="3"/>
        <v>0</v>
      </c>
      <c r="H108" s="1633">
        <f t="shared" si="3"/>
        <v>192054</v>
      </c>
      <c r="I108" s="1633">
        <f t="shared" si="3"/>
        <v>0</v>
      </c>
      <c r="J108" s="1633">
        <f t="shared" si="3"/>
        <v>6568</v>
      </c>
      <c r="K108" s="1594">
        <f t="shared" si="3"/>
        <v>0</v>
      </c>
    </row>
    <row r="109" spans="1:12" ht="14.25" thickTop="1" thickBot="1" x14ac:dyDescent="0.25">
      <c r="A109" s="1409" t="s">
        <v>246</v>
      </c>
      <c r="B109" s="1410" t="s">
        <v>566</v>
      </c>
      <c r="C109" s="1641">
        <f t="shared" ref="C109:K109" si="4">SUM(C12,C18,C40,C63,C67,C75,C82,C93,C108,)</f>
        <v>3502934</v>
      </c>
      <c r="D109" s="1641">
        <f t="shared" si="4"/>
        <v>661070</v>
      </c>
      <c r="E109" s="1641">
        <f t="shared" si="4"/>
        <v>1166819</v>
      </c>
      <c r="F109" s="1641">
        <f t="shared" si="4"/>
        <v>221963</v>
      </c>
      <c r="G109" s="1641">
        <f t="shared" si="4"/>
        <v>660583</v>
      </c>
      <c r="H109" s="1641">
        <f t="shared" si="4"/>
        <v>193830</v>
      </c>
      <c r="I109" s="1641">
        <f t="shared" si="4"/>
        <v>10214</v>
      </c>
      <c r="J109" s="1641">
        <f t="shared" si="4"/>
        <v>263172</v>
      </c>
      <c r="K109" s="1629">
        <f t="shared" si="4"/>
        <v>192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11566118</v>
      </c>
      <c r="D117" s="1586">
        <v>1180000</v>
      </c>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11566118</v>
      </c>
      <c r="D122" s="1633">
        <f t="shared" si="5"/>
        <v>1180000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271233</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54740</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325973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17573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161881</v>
      </c>
      <c r="G152" s="1574"/>
      <c r="H152" s="1575"/>
      <c r="I152" s="1575"/>
      <c r="J152" s="1575"/>
      <c r="K152" s="1575"/>
    </row>
    <row r="153" spans="1:11" ht="12.75" customHeight="1" x14ac:dyDescent="0.2">
      <c r="A153" s="427" t="s">
        <v>1048</v>
      </c>
      <c r="B153" s="478">
        <v>3510</v>
      </c>
      <c r="C153" s="1632"/>
      <c r="D153" s="1573"/>
      <c r="E153" s="1640"/>
      <c r="F153" s="1573">
        <v>296516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458397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379174</v>
      </c>
      <c r="D159" s="1653"/>
      <c r="E159" s="1640"/>
      <c r="F159" s="1651">
        <v>239415</v>
      </c>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43041</v>
      </c>
      <c r="I167" s="1575"/>
      <c r="J167" s="1575"/>
      <c r="K167" s="1626"/>
    </row>
    <row r="168" spans="1:11" ht="14.25" thickTop="1" thickBot="1" x14ac:dyDescent="0.25">
      <c r="A168" s="1270" t="s">
        <v>70</v>
      </c>
      <c r="B168" s="484">
        <v>3999</v>
      </c>
      <c r="C168" s="1654">
        <v>97766</v>
      </c>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820486</v>
      </c>
      <c r="D169" s="1658">
        <f t="shared" si="6"/>
        <v>0</v>
      </c>
      <c r="E169" s="1658">
        <f t="shared" si="6"/>
        <v>0</v>
      </c>
      <c r="F169" s="1658">
        <f t="shared" si="6"/>
        <v>697812</v>
      </c>
      <c r="G169" s="1658">
        <f t="shared" si="6"/>
        <v>0</v>
      </c>
      <c r="H169" s="1658">
        <f t="shared" si="6"/>
        <v>43041</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12386604</v>
      </c>
      <c r="D170" s="1641">
        <f t="shared" si="7"/>
        <v>1180000</v>
      </c>
      <c r="E170" s="1641">
        <f t="shared" si="7"/>
        <v>0</v>
      </c>
      <c r="F170" s="1641">
        <f t="shared" si="7"/>
        <v>697812</v>
      </c>
      <c r="G170" s="1641">
        <f t="shared" si="7"/>
        <v>0</v>
      </c>
      <c r="H170" s="1641">
        <f t="shared" si="7"/>
        <v>43041</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1777</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630132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362067</v>
      </c>
      <c r="D193" s="1575"/>
      <c r="E193" s="1640"/>
      <c r="F193" s="1575"/>
      <c r="G193" s="1664"/>
      <c r="H193" s="1575"/>
      <c r="I193" s="1575"/>
      <c r="J193" s="1575"/>
      <c r="K193" s="1575"/>
    </row>
    <row r="194" spans="1:11" ht="12.75" customHeight="1" x14ac:dyDescent="0.2">
      <c r="A194" s="427" t="s">
        <v>1434</v>
      </c>
      <c r="B194" s="429">
        <v>4225</v>
      </c>
      <c r="C194" s="1632">
        <v>197068</v>
      </c>
      <c r="D194" s="1575"/>
      <c r="E194" s="1640"/>
      <c r="F194" s="1575"/>
      <c r="G194" s="1664"/>
      <c r="H194" s="1575"/>
      <c r="I194" s="1575"/>
      <c r="J194" s="1575"/>
      <c r="K194" s="1575"/>
    </row>
    <row r="195" spans="1:11" ht="12.75" customHeight="1" x14ac:dyDescent="0.2">
      <c r="A195" s="427" t="s">
        <v>1435</v>
      </c>
      <c r="B195" s="429">
        <v>4226</v>
      </c>
      <c r="C195" s="1632">
        <v>13752</v>
      </c>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1203019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1067279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418123</v>
      </c>
      <c r="D203" s="1573"/>
      <c r="E203" s="1575"/>
      <c r="F203" s="1573"/>
      <c r="G203" s="1573"/>
      <c r="H203" s="1575"/>
      <c r="I203" s="1575"/>
      <c r="J203" s="1575"/>
      <c r="K203" s="1575"/>
    </row>
    <row r="204" spans="1:11" ht="12.75" customHeight="1" thickBot="1" x14ac:dyDescent="0.25">
      <c r="A204" s="1406" t="s">
        <v>397</v>
      </c>
      <c r="B204" s="1407"/>
      <c r="C204" s="1633">
        <f>SUM(C200:C203)</f>
        <v>1485402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55349</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55349</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28611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588434</v>
      </c>
      <c r="D213" s="1573"/>
      <c r="E213" s="1575"/>
      <c r="F213" s="1573"/>
      <c r="G213" s="1573"/>
      <c r="H213" s="1575"/>
      <c r="I213" s="1575"/>
      <c r="J213" s="1575"/>
      <c r="K213" s="1575"/>
    </row>
    <row r="214" spans="1:11" ht="12.75" customHeight="1" x14ac:dyDescent="0.2">
      <c r="A214" s="427" t="s">
        <v>1045</v>
      </c>
      <c r="B214" s="429">
        <v>4625</v>
      </c>
      <c r="C214" s="1632">
        <v>144577</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761622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v>553775</v>
      </c>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553775</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v>69597</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61117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52927</v>
      </c>
      <c r="D263" s="1651"/>
      <c r="E263" s="1575"/>
      <c r="F263" s="1651"/>
      <c r="G263" s="1651"/>
      <c r="H263" s="1575"/>
      <c r="I263" s="1575"/>
      <c r="J263" s="1575"/>
      <c r="K263" s="1575"/>
    </row>
    <row r="264" spans="1:11" ht="12.75" customHeight="1" thickTop="1" thickBot="1" x14ac:dyDescent="0.25">
      <c r="A264" s="427" t="s">
        <v>374</v>
      </c>
      <c r="B264" s="429">
        <v>4992</v>
      </c>
      <c r="C264" s="1650">
        <v>84548</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3773581</v>
      </c>
      <c r="D266" s="1641">
        <f t="shared" si="10"/>
        <v>0</v>
      </c>
      <c r="E266" s="1641">
        <f t="shared" si="10"/>
        <v>553775</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3773581</v>
      </c>
      <c r="D267" s="1641">
        <f>SUM(D175,D181,D266)</f>
        <v>0</v>
      </c>
      <c r="E267" s="1641">
        <f>SUM(E175,E266)</f>
        <v>553775</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19663119</v>
      </c>
      <c r="D268" s="1641">
        <f t="shared" si="12"/>
        <v>1841070</v>
      </c>
      <c r="E268" s="1641">
        <f t="shared" si="12"/>
        <v>1720594</v>
      </c>
      <c r="F268" s="1641">
        <f t="shared" si="12"/>
        <v>919775</v>
      </c>
      <c r="G268" s="1641">
        <f t="shared" si="12"/>
        <v>660583</v>
      </c>
      <c r="H268" s="1641">
        <f t="shared" si="12"/>
        <v>236871</v>
      </c>
      <c r="I268" s="1641">
        <f t="shared" si="12"/>
        <v>10214</v>
      </c>
      <c r="J268" s="1641">
        <f t="shared" si="12"/>
        <v>263172</v>
      </c>
      <c r="K268" s="1629">
        <f t="shared" si="12"/>
        <v>192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5983360</v>
      </c>
      <c r="D5" s="1573">
        <v>1087603</v>
      </c>
      <c r="E5" s="1573">
        <v>181174</v>
      </c>
      <c r="F5" s="1573">
        <v>453977</v>
      </c>
      <c r="G5" s="1573">
        <v>39771</v>
      </c>
      <c r="H5" s="1573">
        <v>390</v>
      </c>
      <c r="I5" s="1574"/>
      <c r="J5" s="1574"/>
      <c r="K5" s="1672">
        <f>SUM(C5:J5)</f>
        <v>7746275</v>
      </c>
      <c r="L5" s="1573">
        <v>7249506</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390253</v>
      </c>
      <c r="D7" s="1574">
        <v>63922</v>
      </c>
      <c r="E7" s="1574"/>
      <c r="F7" s="1574">
        <v>26661</v>
      </c>
      <c r="G7" s="1574"/>
      <c r="H7" s="1574"/>
      <c r="I7" s="1574"/>
      <c r="J7" s="1574"/>
      <c r="K7" s="1672">
        <f t="shared" ref="K7:K32" si="0">SUM(C7:J7)</f>
        <v>480836</v>
      </c>
      <c r="L7" s="1573">
        <v>575714</v>
      </c>
    </row>
    <row r="8" spans="1:14" x14ac:dyDescent="0.2">
      <c r="A8" s="1274" t="s">
        <v>163</v>
      </c>
      <c r="B8" s="503">
        <v>1200</v>
      </c>
      <c r="C8" s="1573">
        <v>1923886</v>
      </c>
      <c r="D8" s="1573">
        <v>323989</v>
      </c>
      <c r="E8" s="1573">
        <v>100332</v>
      </c>
      <c r="F8" s="1573">
        <v>46922</v>
      </c>
      <c r="G8" s="1573">
        <v>3591</v>
      </c>
      <c r="H8" s="1573"/>
      <c r="I8" s="1574"/>
      <c r="J8" s="1574"/>
      <c r="K8" s="1672">
        <f t="shared" si="0"/>
        <v>2398720</v>
      </c>
      <c r="L8" s="1573">
        <v>2628769</v>
      </c>
    </row>
    <row r="9" spans="1:14" x14ac:dyDescent="0.2">
      <c r="A9" s="1274" t="s">
        <v>716</v>
      </c>
      <c r="B9" s="503" t="s">
        <v>962</v>
      </c>
      <c r="C9" s="1574">
        <v>51398</v>
      </c>
      <c r="D9" s="1574">
        <v>3006</v>
      </c>
      <c r="E9" s="1574"/>
      <c r="F9" s="1574">
        <v>439</v>
      </c>
      <c r="G9" s="1574"/>
      <c r="H9" s="1574"/>
      <c r="I9" s="1574"/>
      <c r="J9" s="1574"/>
      <c r="K9" s="1672">
        <f t="shared" si="0"/>
        <v>54843</v>
      </c>
      <c r="L9" s="1573">
        <v>79650</v>
      </c>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53870</v>
      </c>
      <c r="D14" s="1573">
        <v>1612</v>
      </c>
      <c r="E14" s="1573">
        <v>9327</v>
      </c>
      <c r="F14" s="1573">
        <v>5672</v>
      </c>
      <c r="G14" s="1573"/>
      <c r="H14" s="1573">
        <v>1488</v>
      </c>
      <c r="I14" s="1574"/>
      <c r="J14" s="1574"/>
      <c r="K14" s="1672">
        <f t="shared" si="0"/>
        <v>71969</v>
      </c>
      <c r="L14" s="1573">
        <v>83425</v>
      </c>
    </row>
    <row r="15" spans="1:14" x14ac:dyDescent="0.2">
      <c r="A15" s="1274" t="s">
        <v>958</v>
      </c>
      <c r="B15" s="503">
        <v>1600</v>
      </c>
      <c r="C15" s="1573">
        <v>8175</v>
      </c>
      <c r="D15" s="1573">
        <v>662</v>
      </c>
      <c r="E15" s="1573"/>
      <c r="F15" s="1573"/>
      <c r="G15" s="1573"/>
      <c r="H15" s="1573"/>
      <c r="I15" s="1574"/>
      <c r="J15" s="1574"/>
      <c r="K15" s="1672">
        <f t="shared" si="0"/>
        <v>8837</v>
      </c>
      <c r="L15" s="1573">
        <v>5312</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v>1004669</v>
      </c>
      <c r="D18" s="1573">
        <v>156143</v>
      </c>
      <c r="E18" s="1573">
        <v>2687</v>
      </c>
      <c r="F18" s="1573">
        <v>23201</v>
      </c>
      <c r="G18" s="1573"/>
      <c r="H18" s="1573"/>
      <c r="I18" s="1574"/>
      <c r="J18" s="1574"/>
      <c r="K18" s="1672">
        <f t="shared" si="0"/>
        <v>1186700</v>
      </c>
      <c r="L18" s="1573">
        <v>1262361</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9415611</v>
      </c>
      <c r="D33" s="1674">
        <f t="shared" ref="D33:L33" si="1">SUM(D5:D32)</f>
        <v>1636937</v>
      </c>
      <c r="E33" s="1674">
        <f t="shared" si="1"/>
        <v>293520</v>
      </c>
      <c r="F33" s="1674">
        <f t="shared" si="1"/>
        <v>556872</v>
      </c>
      <c r="G33" s="1674">
        <f t="shared" si="1"/>
        <v>43362</v>
      </c>
      <c r="H33" s="1674">
        <f t="shared" si="1"/>
        <v>1878</v>
      </c>
      <c r="I33" s="1674">
        <f t="shared" si="1"/>
        <v>0</v>
      </c>
      <c r="J33" s="1674">
        <f t="shared" si="1"/>
        <v>0</v>
      </c>
      <c r="K33" s="1674">
        <f t="shared" si="1"/>
        <v>11948180</v>
      </c>
      <c r="L33" s="1674">
        <f t="shared" si="1"/>
        <v>11884737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473170</v>
      </c>
      <c r="D36" s="1586">
        <v>92128</v>
      </c>
      <c r="E36" s="1586"/>
      <c r="F36" s="1586">
        <v>2025</v>
      </c>
      <c r="G36" s="1586"/>
      <c r="H36" s="1586"/>
      <c r="I36" s="1574"/>
      <c r="J36" s="1574"/>
      <c r="K36" s="1672">
        <f t="shared" ref="K36:K41" si="2">SUM(C36:J36)</f>
        <v>567323</v>
      </c>
      <c r="L36" s="1573">
        <v>533196</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331543</v>
      </c>
      <c r="D38" s="1573">
        <v>55667</v>
      </c>
      <c r="E38" s="1573">
        <v>678</v>
      </c>
      <c r="F38" s="1573">
        <v>3308</v>
      </c>
      <c r="G38" s="1573">
        <v>3119</v>
      </c>
      <c r="H38" s="1573"/>
      <c r="I38" s="1574"/>
      <c r="J38" s="1574"/>
      <c r="K38" s="1672">
        <f t="shared" si="2"/>
        <v>394315</v>
      </c>
      <c r="L38" s="1573">
        <v>424587</v>
      </c>
    </row>
    <row r="39" spans="1:14" x14ac:dyDescent="0.2">
      <c r="A39" s="1274" t="s">
        <v>197</v>
      </c>
      <c r="B39" s="503">
        <v>2140</v>
      </c>
      <c r="C39" s="1573">
        <v>182386</v>
      </c>
      <c r="D39" s="1573">
        <v>15443</v>
      </c>
      <c r="E39" s="1573">
        <v>83196</v>
      </c>
      <c r="F39" s="1573">
        <v>4716</v>
      </c>
      <c r="G39" s="1573"/>
      <c r="H39" s="1573"/>
      <c r="I39" s="1574"/>
      <c r="J39" s="1574"/>
      <c r="K39" s="1672">
        <f t="shared" si="2"/>
        <v>285741</v>
      </c>
      <c r="L39" s="1573">
        <v>376828</v>
      </c>
    </row>
    <row r="40" spans="1:14" x14ac:dyDescent="0.2">
      <c r="A40" s="1274" t="s">
        <v>198</v>
      </c>
      <c r="B40" s="503">
        <v>2150</v>
      </c>
      <c r="C40" s="1573">
        <v>297064</v>
      </c>
      <c r="D40" s="1573">
        <v>43878</v>
      </c>
      <c r="E40" s="1573">
        <v>98743</v>
      </c>
      <c r="F40" s="1573">
        <v>6322</v>
      </c>
      <c r="G40" s="1573"/>
      <c r="H40" s="1573">
        <v>550</v>
      </c>
      <c r="I40" s="1574"/>
      <c r="J40" s="1574"/>
      <c r="K40" s="1672">
        <f t="shared" si="2"/>
        <v>446557</v>
      </c>
      <c r="L40" s="1573">
        <v>417295</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1284163</v>
      </c>
      <c r="D42" s="1674">
        <f t="shared" ref="D42:L42" si="3">SUM(D36:D41)</f>
        <v>207116</v>
      </c>
      <c r="E42" s="1674">
        <f t="shared" si="3"/>
        <v>182617</v>
      </c>
      <c r="F42" s="1674">
        <f t="shared" si="3"/>
        <v>16371</v>
      </c>
      <c r="G42" s="1674">
        <f t="shared" si="3"/>
        <v>3119</v>
      </c>
      <c r="H42" s="1674">
        <f t="shared" si="3"/>
        <v>550</v>
      </c>
      <c r="I42" s="1674">
        <f t="shared" si="3"/>
        <v>0</v>
      </c>
      <c r="J42" s="1674">
        <f t="shared" si="3"/>
        <v>0</v>
      </c>
      <c r="K42" s="1674">
        <f t="shared" si="3"/>
        <v>1693936</v>
      </c>
      <c r="L42" s="1674">
        <f t="shared" si="3"/>
        <v>1751906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566120</v>
      </c>
      <c r="D44" s="1586">
        <v>66491</v>
      </c>
      <c r="E44" s="1586">
        <v>97143</v>
      </c>
      <c r="F44" s="1586"/>
      <c r="G44" s="1586"/>
      <c r="H44" s="1586"/>
      <c r="I44" s="1574"/>
      <c r="J44" s="1574"/>
      <c r="K44" s="1678">
        <f>SUM(C44:J44)</f>
        <v>729754</v>
      </c>
      <c r="L44" s="1586">
        <v>785965</v>
      </c>
    </row>
    <row r="45" spans="1:14" x14ac:dyDescent="0.2">
      <c r="A45" s="1274" t="s">
        <v>810</v>
      </c>
      <c r="B45" s="503">
        <v>2220</v>
      </c>
      <c r="C45" s="1573">
        <v>195673</v>
      </c>
      <c r="D45" s="1573">
        <v>39935</v>
      </c>
      <c r="E45" s="1573">
        <v>144524</v>
      </c>
      <c r="F45" s="1573">
        <v>49579</v>
      </c>
      <c r="G45" s="1573">
        <v>172737</v>
      </c>
      <c r="H45" s="1573"/>
      <c r="I45" s="1574"/>
      <c r="J45" s="1574"/>
      <c r="K45" s="1678">
        <f>SUM(C45:J45)</f>
        <v>602448</v>
      </c>
      <c r="L45" s="1573">
        <v>561402</v>
      </c>
    </row>
    <row r="46" spans="1:14" x14ac:dyDescent="0.2">
      <c r="A46" s="1274" t="s">
        <v>811</v>
      </c>
      <c r="B46" s="503">
        <v>2230</v>
      </c>
      <c r="C46" s="1573"/>
      <c r="D46" s="1573"/>
      <c r="E46" s="1573">
        <v>22621</v>
      </c>
      <c r="F46" s="1573"/>
      <c r="G46" s="1573"/>
      <c r="H46" s="1573"/>
      <c r="I46" s="1574"/>
      <c r="J46" s="1574"/>
      <c r="K46" s="1678">
        <f>SUM(C46:J46)</f>
        <v>22621</v>
      </c>
      <c r="L46" s="1573">
        <v>22811</v>
      </c>
    </row>
    <row r="47" spans="1:14" ht="12.75" customHeight="1" thickBot="1" x14ac:dyDescent="0.25">
      <c r="A47" s="1380" t="s">
        <v>557</v>
      </c>
      <c r="B47" s="1381" t="s">
        <v>32</v>
      </c>
      <c r="C47" s="1674">
        <f>SUM(C44:C46)</f>
        <v>761793</v>
      </c>
      <c r="D47" s="1674">
        <f t="shared" ref="D47:K47" si="4">SUM(D44:D46)</f>
        <v>106426</v>
      </c>
      <c r="E47" s="1674">
        <f t="shared" si="4"/>
        <v>264288</v>
      </c>
      <c r="F47" s="1674">
        <f t="shared" si="4"/>
        <v>49579</v>
      </c>
      <c r="G47" s="1674">
        <f t="shared" si="4"/>
        <v>172737</v>
      </c>
      <c r="H47" s="1674">
        <f t="shared" si="4"/>
        <v>0</v>
      </c>
      <c r="I47" s="1674">
        <f t="shared" si="4"/>
        <v>0</v>
      </c>
      <c r="J47" s="1674">
        <f t="shared" si="4"/>
        <v>0</v>
      </c>
      <c r="K47" s="1674">
        <f t="shared" si="4"/>
        <v>1354823</v>
      </c>
      <c r="L47" s="1674">
        <f>SUM(L44:L46)</f>
        <v>1370178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v>26591</v>
      </c>
      <c r="E49" s="1586">
        <v>124907</v>
      </c>
      <c r="F49" s="1586">
        <v>7188</v>
      </c>
      <c r="G49" s="1586"/>
      <c r="H49" s="1586">
        <v>51699</v>
      </c>
      <c r="I49" s="1574"/>
      <c r="J49" s="1574"/>
      <c r="K49" s="1678">
        <f>SUM(C49:J49)</f>
        <v>210385</v>
      </c>
      <c r="L49" s="1586">
        <v>234300</v>
      </c>
    </row>
    <row r="50" spans="1:14" x14ac:dyDescent="0.2">
      <c r="A50" s="1274" t="s">
        <v>813</v>
      </c>
      <c r="B50" s="503">
        <v>2320</v>
      </c>
      <c r="C50" s="1573">
        <v>370067</v>
      </c>
      <c r="D50" s="1573">
        <v>52263</v>
      </c>
      <c r="E50" s="1573">
        <v>51014</v>
      </c>
      <c r="F50" s="1573">
        <v>10821</v>
      </c>
      <c r="G50" s="1573"/>
      <c r="H50" s="1573">
        <v>4002</v>
      </c>
      <c r="I50" s="1574"/>
      <c r="J50" s="1574"/>
      <c r="K50" s="1678">
        <f>SUM(C50:J50)</f>
        <v>488167</v>
      </c>
      <c r="L50" s="1573">
        <v>509762</v>
      </c>
    </row>
    <row r="51" spans="1:14" x14ac:dyDescent="0.2">
      <c r="A51" s="1274" t="s">
        <v>42</v>
      </c>
      <c r="B51" s="503">
        <v>2330</v>
      </c>
      <c r="C51" s="1573">
        <v>249664</v>
      </c>
      <c r="D51" s="1573">
        <v>46308</v>
      </c>
      <c r="E51" s="1573">
        <v>8625</v>
      </c>
      <c r="F51" s="1573">
        <v>6265</v>
      </c>
      <c r="G51" s="1573"/>
      <c r="H51" s="1573">
        <v>1441</v>
      </c>
      <c r="I51" s="1574"/>
      <c r="J51" s="1574"/>
      <c r="K51" s="1678">
        <f>SUM(C51:J51)</f>
        <v>312303</v>
      </c>
      <c r="L51" s="1573">
        <v>318732</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619731</v>
      </c>
      <c r="D53" s="1674">
        <f t="shared" ref="D53:L53" si="5">SUM(D49:D52)</f>
        <v>125162</v>
      </c>
      <c r="E53" s="1674">
        <f t="shared" si="5"/>
        <v>184546</v>
      </c>
      <c r="F53" s="1674">
        <f t="shared" si="5"/>
        <v>24274</v>
      </c>
      <c r="G53" s="1674">
        <f t="shared" si="5"/>
        <v>0</v>
      </c>
      <c r="H53" s="1674">
        <f t="shared" si="5"/>
        <v>57142</v>
      </c>
      <c r="I53" s="1674">
        <f t="shared" si="5"/>
        <v>0</v>
      </c>
      <c r="J53" s="1674">
        <f t="shared" si="5"/>
        <v>0</v>
      </c>
      <c r="K53" s="1674">
        <f t="shared" si="5"/>
        <v>1010855</v>
      </c>
      <c r="L53" s="1674">
        <f t="shared" si="5"/>
        <v>1062794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1176724</v>
      </c>
      <c r="D55" s="1586">
        <v>240867</v>
      </c>
      <c r="E55" s="1586">
        <v>64558</v>
      </c>
      <c r="F55" s="1586">
        <v>18105</v>
      </c>
      <c r="G55" s="1586"/>
      <c r="H55" s="1586">
        <v>5634</v>
      </c>
      <c r="I55" s="1574"/>
      <c r="J55" s="1574"/>
      <c r="K55" s="1678">
        <f>SUM(C55:J55)</f>
        <v>1505888</v>
      </c>
      <c r="L55" s="1586">
        <v>1504436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1176724</v>
      </c>
      <c r="D57" s="1679">
        <f t="shared" ref="D57:K57" si="6">SUM(D55:D56)</f>
        <v>240867</v>
      </c>
      <c r="E57" s="1679">
        <f t="shared" si="6"/>
        <v>64558</v>
      </c>
      <c r="F57" s="1679">
        <f t="shared" si="6"/>
        <v>18105</v>
      </c>
      <c r="G57" s="1679">
        <f t="shared" si="6"/>
        <v>0</v>
      </c>
      <c r="H57" s="1679">
        <f t="shared" si="6"/>
        <v>5634</v>
      </c>
      <c r="I57" s="1679">
        <f t="shared" si="6"/>
        <v>0</v>
      </c>
      <c r="J57" s="1679">
        <f t="shared" si="6"/>
        <v>0</v>
      </c>
      <c r="K57" s="1679">
        <f t="shared" si="6"/>
        <v>1505888</v>
      </c>
      <c r="L57" s="1674">
        <f>SUM(L55:L56)</f>
        <v>1504436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186929</v>
      </c>
      <c r="D60" s="1573">
        <v>28826</v>
      </c>
      <c r="E60" s="1573">
        <v>12062</v>
      </c>
      <c r="F60" s="1573">
        <v>1194</v>
      </c>
      <c r="G60" s="1573"/>
      <c r="H60" s="1573"/>
      <c r="I60" s="1574"/>
      <c r="J60" s="1574"/>
      <c r="K60" s="1678">
        <f t="shared" si="7"/>
        <v>229011</v>
      </c>
      <c r="L60" s="1573">
        <v>253510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309188</v>
      </c>
      <c r="D63" s="1573">
        <v>81135</v>
      </c>
      <c r="E63" s="1573">
        <v>9065</v>
      </c>
      <c r="F63" s="1573">
        <v>461677</v>
      </c>
      <c r="G63" s="1573">
        <v>25721</v>
      </c>
      <c r="H63" s="1573">
        <v>1989</v>
      </c>
      <c r="I63" s="1574"/>
      <c r="J63" s="1574"/>
      <c r="K63" s="1678">
        <f t="shared" si="7"/>
        <v>888775</v>
      </c>
      <c r="L63" s="1573">
        <v>906152</v>
      </c>
    </row>
    <row r="64" spans="1:14" s="501" customFormat="1" x14ac:dyDescent="0.2">
      <c r="A64" s="1279" t="s">
        <v>101</v>
      </c>
      <c r="B64" s="513">
        <v>2570</v>
      </c>
      <c r="C64" s="1586">
        <v>37920</v>
      </c>
      <c r="D64" s="1586">
        <v>355</v>
      </c>
      <c r="E64" s="1586">
        <v>31</v>
      </c>
      <c r="F64" s="1586">
        <v>19059</v>
      </c>
      <c r="G64" s="1586">
        <v>17500</v>
      </c>
      <c r="H64" s="1586"/>
      <c r="I64" s="1574"/>
      <c r="J64" s="1574"/>
      <c r="K64" s="1678">
        <f t="shared" si="7"/>
        <v>74865</v>
      </c>
      <c r="L64" s="1586">
        <v>108389</v>
      </c>
    </row>
    <row r="65" spans="1:14" s="321" customFormat="1" ht="12.75" customHeight="1" thickBot="1" x14ac:dyDescent="0.25">
      <c r="A65" s="1380" t="s">
        <v>714</v>
      </c>
      <c r="B65" s="1381" t="s">
        <v>35</v>
      </c>
      <c r="C65" s="1674">
        <f>SUM(C59:C64)</f>
        <v>534037</v>
      </c>
      <c r="D65" s="1674">
        <f t="shared" ref="D65:L65" si="8">SUM(D59:D64)</f>
        <v>110316</v>
      </c>
      <c r="E65" s="1674">
        <f t="shared" si="8"/>
        <v>21158</v>
      </c>
      <c r="F65" s="1674">
        <f t="shared" si="8"/>
        <v>481930</v>
      </c>
      <c r="G65" s="1674">
        <f t="shared" si="8"/>
        <v>43221</v>
      </c>
      <c r="H65" s="1674">
        <f t="shared" si="8"/>
        <v>1989</v>
      </c>
      <c r="I65" s="1674">
        <f t="shared" si="8"/>
        <v>0</v>
      </c>
      <c r="J65" s="1674">
        <f t="shared" si="8"/>
        <v>0</v>
      </c>
      <c r="K65" s="1674">
        <f t="shared" si="8"/>
        <v>1192651</v>
      </c>
      <c r="L65" s="1674">
        <f t="shared" si="8"/>
        <v>1268051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v>2557</v>
      </c>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v>715</v>
      </c>
      <c r="F70" s="1573"/>
      <c r="G70" s="1573"/>
      <c r="H70" s="1573"/>
      <c r="I70" s="1574"/>
      <c r="J70" s="1574"/>
      <c r="K70" s="1678">
        <f>SUM(C70:J70)</f>
        <v>715</v>
      </c>
      <c r="L70" s="1573">
        <v>500</v>
      </c>
      <c r="M70" s="501"/>
      <c r="N70" s="501"/>
    </row>
    <row r="71" spans="1:14" s="321" customFormat="1" x14ac:dyDescent="0.2">
      <c r="A71" s="1274" t="s">
        <v>401</v>
      </c>
      <c r="B71" s="503">
        <v>2660</v>
      </c>
      <c r="C71" s="1573">
        <v>67272</v>
      </c>
      <c r="D71" s="1573">
        <v>44</v>
      </c>
      <c r="E71" s="1573">
        <v>70875</v>
      </c>
      <c r="F71" s="1573"/>
      <c r="G71" s="1573"/>
      <c r="H71" s="1573"/>
      <c r="I71" s="1574"/>
      <c r="J71" s="1574"/>
      <c r="K71" s="1678">
        <f>SUM(C71:J71)</f>
        <v>138191</v>
      </c>
      <c r="L71" s="1573">
        <v>146251</v>
      </c>
      <c r="M71" s="501"/>
      <c r="N71" s="501"/>
    </row>
    <row r="72" spans="1:14" s="321" customFormat="1" ht="12.75" customHeight="1" thickBot="1" x14ac:dyDescent="0.25">
      <c r="A72" s="1380" t="s">
        <v>37</v>
      </c>
      <c r="B72" s="1383" t="s">
        <v>36</v>
      </c>
      <c r="C72" s="1674">
        <f>SUM(C67:C71)</f>
        <v>67272</v>
      </c>
      <c r="D72" s="1674">
        <f t="shared" ref="D72:K72" si="9">SUM(D67:D71)</f>
        <v>44</v>
      </c>
      <c r="E72" s="1674">
        <f t="shared" si="9"/>
        <v>71590</v>
      </c>
      <c r="F72" s="1674">
        <f t="shared" si="9"/>
        <v>0</v>
      </c>
      <c r="G72" s="1674">
        <f t="shared" si="9"/>
        <v>0</v>
      </c>
      <c r="H72" s="1674">
        <f t="shared" si="9"/>
        <v>0</v>
      </c>
      <c r="I72" s="1674">
        <f t="shared" si="9"/>
        <v>0</v>
      </c>
      <c r="J72" s="1674">
        <f t="shared" si="9"/>
        <v>0</v>
      </c>
      <c r="K72" s="1674">
        <f t="shared" si="9"/>
        <v>138906</v>
      </c>
      <c r="L72" s="1674">
        <f>SUM(L67:L71)</f>
        <v>149308</v>
      </c>
      <c r="M72" s="501"/>
      <c r="N72" s="501"/>
    </row>
    <row r="73" spans="1:14" s="321" customFormat="1" ht="14.25" thickTop="1" thickBot="1" x14ac:dyDescent="0.25">
      <c r="A73" s="1280" t="s">
        <v>973</v>
      </c>
      <c r="B73" s="515" t="s">
        <v>570</v>
      </c>
      <c r="C73" s="1649">
        <v>15748</v>
      </c>
      <c r="D73" s="1649">
        <v>384</v>
      </c>
      <c r="E73" s="1649"/>
      <c r="F73" s="1649">
        <v>7509</v>
      </c>
      <c r="G73" s="1649">
        <v>1259</v>
      </c>
      <c r="H73" s="1649"/>
      <c r="I73" s="1627"/>
      <c r="J73" s="1627"/>
      <c r="K73" s="1674">
        <f>SUM(C73:J73)</f>
        <v>24900</v>
      </c>
      <c r="L73" s="1651">
        <v>22439</v>
      </c>
      <c r="M73" s="501"/>
      <c r="N73" s="501"/>
    </row>
    <row r="74" spans="1:14" ht="12.75" customHeight="1" thickTop="1" thickBot="1" x14ac:dyDescent="0.25">
      <c r="A74" s="1380" t="s">
        <v>806</v>
      </c>
      <c r="B74" s="1384">
        <v>2000</v>
      </c>
      <c r="C74" s="1681">
        <f>SUM(C42,C47,C53,C57,C65,C72,C73)</f>
        <v>4459468</v>
      </c>
      <c r="D74" s="1681">
        <f t="shared" ref="D74:K74" si="10">SUM(D42,D47,D53,D57,D65,D72,D73)</f>
        <v>790315</v>
      </c>
      <c r="E74" s="1681">
        <f t="shared" si="10"/>
        <v>788757</v>
      </c>
      <c r="F74" s="1681">
        <f t="shared" si="10"/>
        <v>597768</v>
      </c>
      <c r="G74" s="1681">
        <f t="shared" si="10"/>
        <v>220336</v>
      </c>
      <c r="H74" s="1681">
        <f t="shared" si="10"/>
        <v>65315</v>
      </c>
      <c r="I74" s="1681">
        <f t="shared" si="10"/>
        <v>0</v>
      </c>
      <c r="J74" s="1681">
        <f t="shared" si="10"/>
        <v>0</v>
      </c>
      <c r="K74" s="1681">
        <f t="shared" si="10"/>
        <v>6921959</v>
      </c>
      <c r="L74" s="1681">
        <f>SUM(L42,L47,L53,L57,L65,L72,L73)</f>
        <v>7129112</v>
      </c>
    </row>
    <row r="75" spans="1:14" s="254" customFormat="1" ht="15.75" customHeight="1" thickTop="1" thickBot="1" x14ac:dyDescent="0.25">
      <c r="A75" s="1348" t="s">
        <v>47</v>
      </c>
      <c r="B75" s="1349" t="s">
        <v>571</v>
      </c>
      <c r="C75" s="1649">
        <v>43945</v>
      </c>
      <c r="D75" s="1649">
        <v>8320</v>
      </c>
      <c r="E75" s="1649">
        <v>140406</v>
      </c>
      <c r="F75" s="1649">
        <v>28658</v>
      </c>
      <c r="G75" s="1649"/>
      <c r="H75" s="1649"/>
      <c r="I75" s="1627"/>
      <c r="J75" s="1627"/>
      <c r="K75" s="1674">
        <f>SUM(C75:J75)</f>
        <v>221329</v>
      </c>
      <c r="L75" s="1651">
        <v>276123</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143368</v>
      </c>
      <c r="I79" s="1582"/>
      <c r="J79" s="1582"/>
      <c r="K79" s="1672">
        <f t="shared" si="11"/>
        <v>143368</v>
      </c>
      <c r="L79" s="1573">
        <v>169710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110046</v>
      </c>
      <c r="F83" s="1673"/>
      <c r="G83" s="1673"/>
      <c r="H83" s="1573">
        <v>9200</v>
      </c>
      <c r="I83" s="1582"/>
      <c r="J83" s="1582"/>
      <c r="K83" s="1672">
        <f t="shared" si="11"/>
        <v>119246</v>
      </c>
      <c r="L83" s="1573">
        <v>122168</v>
      </c>
    </row>
    <row r="84" spans="1:12" ht="13.5" thickBot="1" x14ac:dyDescent="0.25">
      <c r="A84" s="1380" t="s">
        <v>1468</v>
      </c>
      <c r="B84" s="1385">
        <v>4100</v>
      </c>
      <c r="C84" s="1673"/>
      <c r="D84" s="1673"/>
      <c r="E84" s="1674">
        <f>SUM(E78:E83)</f>
        <v>110046</v>
      </c>
      <c r="F84" s="1673"/>
      <c r="G84" s="1673"/>
      <c r="H84" s="1674">
        <f>SUM(H78:H83)</f>
        <v>152568</v>
      </c>
      <c r="I84" s="1582"/>
      <c r="J84" s="1582"/>
      <c r="K84" s="1674">
        <f>SUM(K78:K83)</f>
        <v>262614</v>
      </c>
      <c r="L84" s="1674">
        <f>SUM(L78:L83)</f>
        <v>291878</v>
      </c>
    </row>
    <row r="85" spans="1:12" ht="12.75" customHeight="1" thickTop="1" thickBot="1" x14ac:dyDescent="0.25">
      <c r="A85" s="1281" t="s">
        <v>253</v>
      </c>
      <c r="B85" s="517">
        <v>4210</v>
      </c>
      <c r="C85" s="1673"/>
      <c r="D85" s="1673"/>
      <c r="E85" s="1683"/>
      <c r="F85" s="1673"/>
      <c r="G85" s="1673"/>
      <c r="H85" s="1630">
        <v>16200</v>
      </c>
      <c r="I85" s="1582"/>
      <c r="J85" s="1582"/>
      <c r="K85" s="1681">
        <f>H85</f>
        <v>16200</v>
      </c>
      <c r="L85" s="1626">
        <v>19000</v>
      </c>
    </row>
    <row r="86" spans="1:12" ht="12.75" customHeight="1" thickTop="1" thickBot="1" x14ac:dyDescent="0.25">
      <c r="A86" s="1282" t="s">
        <v>694</v>
      </c>
      <c r="B86" s="518">
        <v>4220</v>
      </c>
      <c r="C86" s="1673"/>
      <c r="D86" s="1673"/>
      <c r="E86" s="1684"/>
      <c r="F86" s="1673"/>
      <c r="G86" s="1673"/>
      <c r="H86" s="1574">
        <v>672164</v>
      </c>
      <c r="I86" s="1582"/>
      <c r="J86" s="1582"/>
      <c r="K86" s="1681">
        <f t="shared" ref="K86:K98" si="12">H86</f>
        <v>672164</v>
      </c>
      <c r="L86" s="1626">
        <v>702140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688364</v>
      </c>
      <c r="I92" s="1582"/>
      <c r="J92" s="1582"/>
      <c r="K92" s="1681">
        <f t="shared" si="12"/>
        <v>688364</v>
      </c>
      <c r="L92" s="1674">
        <f>SUM(L85:L91)</f>
        <v>721140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110046</v>
      </c>
      <c r="F102" s="1673"/>
      <c r="G102" s="1673"/>
      <c r="H102" s="1681">
        <f>SUM(H84,H92,H100,H101)</f>
        <v>840932</v>
      </c>
      <c r="I102" s="1582"/>
      <c r="J102" s="1582"/>
      <c r="K102" s="1681">
        <f>SUM(K84,K92,K100,K101)</f>
        <v>950978</v>
      </c>
      <c r="L102" s="1681">
        <f>SUM(L84,L92,L100,L101)</f>
        <v>1013018</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50000</v>
      </c>
      <c r="M113" s="502"/>
      <c r="N113" s="502"/>
    </row>
    <row r="114" spans="1:14" ht="12.75" customHeight="1" thickTop="1" thickBot="1" x14ac:dyDescent="0.25">
      <c r="A114" s="1380" t="s">
        <v>48</v>
      </c>
      <c r="B114" s="1388"/>
      <c r="C114" s="1674">
        <f>SUM(C33,C74,C75,C102,C112,C113)</f>
        <v>13919024</v>
      </c>
      <c r="D114" s="1674">
        <f t="shared" ref="D114:K114" si="13">SUM(D33,D74,D75,D102,D112,D113)</f>
        <v>2435572</v>
      </c>
      <c r="E114" s="1674">
        <f t="shared" si="13"/>
        <v>1332729</v>
      </c>
      <c r="F114" s="1674">
        <f t="shared" si="13"/>
        <v>1183298</v>
      </c>
      <c r="G114" s="1674">
        <f t="shared" si="13"/>
        <v>263698</v>
      </c>
      <c r="H114" s="1674">
        <f>SUM(H33,H74,H75,H102,H112,H113)</f>
        <v>908125</v>
      </c>
      <c r="I114" s="1674">
        <f t="shared" si="13"/>
        <v>0</v>
      </c>
      <c r="J114" s="1674">
        <f t="shared" si="13"/>
        <v>0</v>
      </c>
      <c r="K114" s="1674">
        <f t="shared" si="13"/>
        <v>20042446</v>
      </c>
      <c r="L114" s="1674">
        <f>SUM(L33,L74,L75,L102,L112,L113)</f>
        <v>20352990</v>
      </c>
    </row>
    <row r="115" spans="1:14" ht="13.5" thickTop="1" x14ac:dyDescent="0.2">
      <c r="A115" s="2289" t="s">
        <v>989</v>
      </c>
      <c r="B115" s="2290"/>
      <c r="C115" s="1675"/>
      <c r="D115" s="1675"/>
      <c r="E115" s="1675"/>
      <c r="F115" s="1675"/>
      <c r="G115" s="1675"/>
      <c r="H115" s="1675"/>
      <c r="I115" s="1675"/>
      <c r="J115" s="1675"/>
      <c r="K115" s="1689">
        <f>'Revenues 9-14'!C268-'Expenditures 15-22'!K114</f>
        <v>-379327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499870</v>
      </c>
      <c r="D124" s="1573">
        <v>102155</v>
      </c>
      <c r="E124" s="1573">
        <v>384131</v>
      </c>
      <c r="F124" s="1573">
        <v>444227</v>
      </c>
      <c r="G124" s="1573">
        <v>195470</v>
      </c>
      <c r="H124" s="1573"/>
      <c r="I124" s="1574"/>
      <c r="J124" s="1574"/>
      <c r="K124" s="1674">
        <f>SUM(C124:J124)</f>
        <v>1625853</v>
      </c>
      <c r="L124" s="1573">
        <v>1870804</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499870</v>
      </c>
      <c r="D127" s="1674">
        <f t="shared" ref="D127:L127" si="14">SUM(D122:D126)</f>
        <v>102155</v>
      </c>
      <c r="E127" s="1674">
        <f t="shared" si="14"/>
        <v>384131</v>
      </c>
      <c r="F127" s="1674">
        <f t="shared" si="14"/>
        <v>444227</v>
      </c>
      <c r="G127" s="1674">
        <f t="shared" si="14"/>
        <v>195470</v>
      </c>
      <c r="H127" s="1674">
        <f t="shared" si="14"/>
        <v>0</v>
      </c>
      <c r="I127" s="1674">
        <f t="shared" si="14"/>
        <v>0</v>
      </c>
      <c r="J127" s="1674">
        <f t="shared" si="14"/>
        <v>0</v>
      </c>
      <c r="K127" s="1674">
        <f t="shared" si="14"/>
        <v>1625853</v>
      </c>
      <c r="L127" s="1674">
        <f t="shared" si="14"/>
        <v>1870804</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499870</v>
      </c>
      <c r="D129" s="1681">
        <f t="shared" ref="D129:L129" si="15">SUM(D120,D127,D128)</f>
        <v>102155</v>
      </c>
      <c r="E129" s="1681">
        <f t="shared" si="15"/>
        <v>384131</v>
      </c>
      <c r="F129" s="1681">
        <f t="shared" si="15"/>
        <v>444227</v>
      </c>
      <c r="G129" s="1681">
        <f t="shared" si="15"/>
        <v>195470</v>
      </c>
      <c r="H129" s="1681">
        <f t="shared" si="15"/>
        <v>0</v>
      </c>
      <c r="I129" s="1681">
        <f t="shared" si="15"/>
        <v>0</v>
      </c>
      <c r="J129" s="1681">
        <f t="shared" si="15"/>
        <v>0</v>
      </c>
      <c r="K129" s="1681">
        <f t="shared" si="15"/>
        <v>1625853</v>
      </c>
      <c r="L129" s="1681">
        <f t="shared" si="15"/>
        <v>1870804</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100000</v>
      </c>
    </row>
    <row r="151" spans="1:14" ht="12.75" customHeight="1" thickTop="1" thickBot="1" x14ac:dyDescent="0.25">
      <c r="A151" s="2279" t="s">
        <v>616</v>
      </c>
      <c r="B151" s="2261"/>
      <c r="C151" s="1674">
        <f>SUM(C129,C130,C139,C149,C150)</f>
        <v>499870</v>
      </c>
      <c r="D151" s="1674">
        <f t="shared" ref="D151:K151" si="16">SUM(D129,D130,D139,D149,D150)</f>
        <v>102155</v>
      </c>
      <c r="E151" s="1674">
        <f t="shared" si="16"/>
        <v>384131</v>
      </c>
      <c r="F151" s="1674">
        <f t="shared" si="16"/>
        <v>444227</v>
      </c>
      <c r="G151" s="1674">
        <f t="shared" si="16"/>
        <v>195470</v>
      </c>
      <c r="H151" s="1674">
        <f t="shared" si="16"/>
        <v>0</v>
      </c>
      <c r="I151" s="1674">
        <f t="shared" si="16"/>
        <v>0</v>
      </c>
      <c r="J151" s="1674">
        <f t="shared" si="16"/>
        <v>0</v>
      </c>
      <c r="K151" s="1674">
        <f t="shared" si="16"/>
        <v>1625853</v>
      </c>
      <c r="L151" s="1674">
        <f>SUM(L129,L130,L139,L149,L150)</f>
        <v>1970804</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215217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981852</v>
      </c>
      <c r="I169" s="1673"/>
      <c r="J169" s="1673"/>
      <c r="K169" s="1672">
        <f>SUM(C169:H169)</f>
        <v>981852</v>
      </c>
      <c r="L169" s="1695">
        <v>981853</v>
      </c>
    </row>
    <row r="170" spans="1:14" ht="33.75" customHeight="1" x14ac:dyDescent="0.2">
      <c r="A170" s="543" t="s">
        <v>1651</v>
      </c>
      <c r="B170" s="545" t="s">
        <v>31</v>
      </c>
      <c r="C170" s="1673"/>
      <c r="D170" s="1673"/>
      <c r="E170" s="1673"/>
      <c r="F170" s="1673"/>
      <c r="G170" s="1673"/>
      <c r="H170" s="1646">
        <v>905000</v>
      </c>
      <c r="I170" s="1673"/>
      <c r="J170" s="1673"/>
      <c r="K170" s="1672">
        <f>SUM(C170:J170)</f>
        <v>905000</v>
      </c>
      <c r="L170" s="1646">
        <v>905000</v>
      </c>
    </row>
    <row r="171" spans="1:14" ht="15.75" customHeight="1" x14ac:dyDescent="0.2">
      <c r="A171" s="507" t="s">
        <v>761</v>
      </c>
      <c r="B171" s="546" t="s">
        <v>84</v>
      </c>
      <c r="C171" s="1673"/>
      <c r="D171" s="1673"/>
      <c r="E171" s="1573"/>
      <c r="F171" s="1673"/>
      <c r="G171" s="1673"/>
      <c r="H171" s="1646">
        <v>1443</v>
      </c>
      <c r="I171" s="1582"/>
      <c r="J171" s="1673"/>
      <c r="K171" s="1672">
        <f>SUM(C171:J171)</f>
        <v>1443</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1888295</v>
      </c>
      <c r="I172" s="1684"/>
      <c r="J172" s="1673"/>
      <c r="K172" s="1681">
        <f>SUM(K168,K169,K170,K171)</f>
        <v>1888295</v>
      </c>
      <c r="L172" s="1681">
        <f>SUM(L168,L169,L170,L171)</f>
        <v>1887853</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1888295</v>
      </c>
      <c r="I174" s="1684"/>
      <c r="J174" s="1673"/>
      <c r="K174" s="1681">
        <f>SUM(K160,K172,K173)</f>
        <v>1888295</v>
      </c>
      <c r="L174" s="1681">
        <f>SUM(L160,L172,L173)</f>
        <v>1887853</v>
      </c>
    </row>
    <row r="175" spans="1:14" ht="13.5" thickTop="1" x14ac:dyDescent="0.2">
      <c r="A175" s="2289" t="s">
        <v>989</v>
      </c>
      <c r="B175" s="2290"/>
      <c r="C175" s="1673"/>
      <c r="D175" s="1673"/>
      <c r="E175" s="1673"/>
      <c r="F175" s="1673"/>
      <c r="G175" s="1673"/>
      <c r="H175" s="1675"/>
      <c r="I175" s="1673"/>
      <c r="J175" s="1673"/>
      <c r="K175" s="1689">
        <f>'Revenues 9-14'!E268-'Expenditures 15-22'!K174</f>
        <v>-167701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976747</v>
      </c>
      <c r="F182" s="1573">
        <v>30894</v>
      </c>
      <c r="G182" s="1573"/>
      <c r="H182" s="1573"/>
      <c r="I182" s="1574"/>
      <c r="J182" s="1574"/>
      <c r="K182" s="1672">
        <f>SUM(C182:J182)</f>
        <v>1007641</v>
      </c>
      <c r="L182" s="1573">
        <v>1048850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976747</v>
      </c>
      <c r="F184" s="1681">
        <f t="shared" si="17"/>
        <v>30894</v>
      </c>
      <c r="G184" s="1681">
        <f t="shared" si="17"/>
        <v>0</v>
      </c>
      <c r="H184" s="1681">
        <f t="shared" si="17"/>
        <v>0</v>
      </c>
      <c r="I184" s="1681">
        <f t="shared" si="17"/>
        <v>0</v>
      </c>
      <c r="J184" s="1681">
        <f t="shared" si="17"/>
        <v>0</v>
      </c>
      <c r="K184" s="1681">
        <f>SUM(K180,K182,K183)</f>
        <v>1007641</v>
      </c>
      <c r="L184" s="1681">
        <f>SUM(L180, L182:L183)</f>
        <v>1048850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976747</v>
      </c>
      <c r="F210" s="1674">
        <f>SUM(F184,F185)</f>
        <v>30894</v>
      </c>
      <c r="G210" s="1674">
        <f>SUM(G184,G185)</f>
        <v>0</v>
      </c>
      <c r="H210" s="1674">
        <f>SUM(H184,H185,H196,H208,H209)</f>
        <v>0</v>
      </c>
      <c r="I210" s="1674">
        <f>SUM(I184,I185)</f>
        <v>0</v>
      </c>
      <c r="J210" s="1674">
        <f>SUM(J184,J185)</f>
        <v>0</v>
      </c>
      <c r="K210" s="1672">
        <f>SUM(K184,K185,K196,K208,K209)</f>
        <v>1007641</v>
      </c>
      <c r="L210" s="1674">
        <f>SUM(L184,L185,L196,L208,L209)</f>
        <v>1048850</v>
      </c>
    </row>
    <row r="211" spans="1:14" ht="13.5" thickTop="1" x14ac:dyDescent="0.2">
      <c r="A211" s="2289" t="s">
        <v>989</v>
      </c>
      <c r="B211" s="2290"/>
      <c r="C211" s="1675"/>
      <c r="D211" s="1675"/>
      <c r="E211" s="1675"/>
      <c r="F211" s="1675"/>
      <c r="G211" s="1675"/>
      <c r="H211" s="1675"/>
      <c r="I211" s="1673"/>
      <c r="J211" s="1673"/>
      <c r="K211" s="1689">
        <f>'Revenues 9-14'!F268-'Expenditures 15-22'!K210</f>
        <v>-87866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89987</v>
      </c>
      <c r="E215" s="1673"/>
      <c r="F215" s="1673"/>
      <c r="G215" s="1673"/>
      <c r="H215" s="1673"/>
      <c r="I215" s="1673"/>
      <c r="J215" s="1673"/>
      <c r="K215" s="1672">
        <f>D215</f>
        <v>89987</v>
      </c>
      <c r="L215" s="1573">
        <v>90576</v>
      </c>
    </row>
    <row r="216" spans="1:14" x14ac:dyDescent="0.2">
      <c r="A216" s="1274" t="s">
        <v>162</v>
      </c>
      <c r="B216" s="503" t="s">
        <v>961</v>
      </c>
      <c r="C216" s="1673"/>
      <c r="D216" s="1574">
        <v>25048</v>
      </c>
      <c r="E216" s="1673"/>
      <c r="F216" s="1673"/>
      <c r="G216" s="1673"/>
      <c r="H216" s="1673"/>
      <c r="I216" s="1673"/>
      <c r="J216" s="1673"/>
      <c r="K216" s="1672">
        <f t="shared" ref="K216:K228" si="19">D216</f>
        <v>25048</v>
      </c>
      <c r="L216" s="1573">
        <v>30398</v>
      </c>
    </row>
    <row r="217" spans="1:14" x14ac:dyDescent="0.2">
      <c r="A217" s="1274" t="s">
        <v>163</v>
      </c>
      <c r="B217" s="503">
        <v>1200</v>
      </c>
      <c r="C217" s="1673"/>
      <c r="D217" s="1573">
        <v>115263</v>
      </c>
      <c r="E217" s="1673"/>
      <c r="F217" s="1673"/>
      <c r="G217" s="1673"/>
      <c r="H217" s="1673"/>
      <c r="I217" s="1673"/>
      <c r="J217" s="1673"/>
      <c r="K217" s="1672">
        <f t="shared" si="19"/>
        <v>115263</v>
      </c>
      <c r="L217" s="1573">
        <v>136456</v>
      </c>
    </row>
    <row r="218" spans="1:14" x14ac:dyDescent="0.2">
      <c r="A218" s="1274" t="s">
        <v>276</v>
      </c>
      <c r="B218" s="503" t="s">
        <v>962</v>
      </c>
      <c r="C218" s="1673"/>
      <c r="D218" s="1574">
        <v>6054</v>
      </c>
      <c r="E218" s="1673"/>
      <c r="F218" s="1673"/>
      <c r="G218" s="1673"/>
      <c r="H218" s="1673"/>
      <c r="I218" s="1673"/>
      <c r="J218" s="1673"/>
      <c r="K218" s="1672">
        <f t="shared" si="19"/>
        <v>6054</v>
      </c>
      <c r="L218" s="1573">
        <v>6647</v>
      </c>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2609</v>
      </c>
      <c r="E223" s="1673"/>
      <c r="F223" s="1673"/>
      <c r="G223" s="1673"/>
      <c r="H223" s="1673"/>
      <c r="I223" s="1673"/>
      <c r="J223" s="1673"/>
      <c r="K223" s="1672">
        <f t="shared" si="19"/>
        <v>2609</v>
      </c>
      <c r="L223" s="1573">
        <v>2400</v>
      </c>
    </row>
    <row r="224" spans="1:14" x14ac:dyDescent="0.2">
      <c r="A224" s="1274" t="s">
        <v>958</v>
      </c>
      <c r="B224" s="503">
        <v>1600</v>
      </c>
      <c r="C224" s="1673"/>
      <c r="D224" s="1573">
        <v>346</v>
      </c>
      <c r="E224" s="1673"/>
      <c r="F224" s="1673"/>
      <c r="G224" s="1673"/>
      <c r="H224" s="1673"/>
      <c r="I224" s="1673"/>
      <c r="J224" s="1673"/>
      <c r="K224" s="1672">
        <f t="shared" si="19"/>
        <v>346</v>
      </c>
      <c r="L224" s="1573">
        <v>125</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v>32264</v>
      </c>
      <c r="E227" s="1673"/>
      <c r="F227" s="1673"/>
      <c r="G227" s="1673"/>
      <c r="H227" s="1673"/>
      <c r="I227" s="1673"/>
      <c r="J227" s="1673"/>
      <c r="K227" s="1672">
        <f t="shared" si="19"/>
        <v>32264</v>
      </c>
      <c r="L227" s="1573">
        <v>38852</v>
      </c>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271571</v>
      </c>
      <c r="E229" s="1673"/>
      <c r="F229" s="1673"/>
      <c r="G229" s="1673"/>
      <c r="H229" s="1673"/>
      <c r="I229" s="1673"/>
      <c r="J229" s="1673"/>
      <c r="K229" s="1674">
        <f>SUM(K215:K228)</f>
        <v>271571</v>
      </c>
      <c r="L229" s="1674">
        <f>SUM(L215:L228)</f>
        <v>305454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11742</v>
      </c>
      <c r="E232" s="1673"/>
      <c r="F232" s="1673"/>
      <c r="G232" s="1673"/>
      <c r="H232" s="1673"/>
      <c r="I232" s="1673"/>
      <c r="J232" s="1673"/>
      <c r="K232" s="1672">
        <f t="shared" ref="K232:K237" si="20">D232</f>
        <v>11742</v>
      </c>
      <c r="L232" s="1573">
        <v>12924</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40554</v>
      </c>
      <c r="E234" s="1673"/>
      <c r="F234" s="1673"/>
      <c r="G234" s="1673"/>
      <c r="H234" s="1673"/>
      <c r="I234" s="1673"/>
      <c r="J234" s="1673"/>
      <c r="K234" s="1672">
        <f t="shared" si="20"/>
        <v>40554</v>
      </c>
      <c r="L234" s="1573">
        <v>44851</v>
      </c>
    </row>
    <row r="235" spans="1:12" x14ac:dyDescent="0.2">
      <c r="A235" s="1274" t="s">
        <v>197</v>
      </c>
      <c r="B235" s="503">
        <v>2140</v>
      </c>
      <c r="C235" s="1673"/>
      <c r="D235" s="1573">
        <v>2612</v>
      </c>
      <c r="E235" s="1673"/>
      <c r="F235" s="1673"/>
      <c r="G235" s="1673"/>
      <c r="H235" s="1673"/>
      <c r="I235" s="1673"/>
      <c r="J235" s="1673"/>
      <c r="K235" s="1672">
        <f t="shared" si="20"/>
        <v>2612</v>
      </c>
      <c r="L235" s="1573">
        <v>2313</v>
      </c>
    </row>
    <row r="236" spans="1:12" x14ac:dyDescent="0.2">
      <c r="A236" s="1274" t="s">
        <v>198</v>
      </c>
      <c r="B236" s="503">
        <v>2150</v>
      </c>
      <c r="C236" s="1673"/>
      <c r="D236" s="1573">
        <v>4209</v>
      </c>
      <c r="E236" s="1673"/>
      <c r="F236" s="1673"/>
      <c r="G236" s="1673"/>
      <c r="H236" s="1673"/>
      <c r="I236" s="1673"/>
      <c r="J236" s="1673"/>
      <c r="K236" s="1672">
        <f t="shared" si="20"/>
        <v>4209</v>
      </c>
      <c r="L236" s="1573">
        <v>3945</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59117</v>
      </c>
      <c r="E238" s="1673"/>
      <c r="F238" s="1673"/>
      <c r="G238" s="1673"/>
      <c r="H238" s="1673"/>
      <c r="I238" s="1673"/>
      <c r="J238" s="1673"/>
      <c r="K238" s="1674">
        <f>SUM(K232:K237)</f>
        <v>59117</v>
      </c>
      <c r="L238" s="1674">
        <f>SUM(L232:L237)</f>
        <v>64033</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8176</v>
      </c>
      <c r="E240" s="1673"/>
      <c r="F240" s="1673"/>
      <c r="G240" s="1673"/>
      <c r="H240" s="1673"/>
      <c r="I240" s="1673"/>
      <c r="J240" s="1673"/>
      <c r="K240" s="1678">
        <f>D240</f>
        <v>8176</v>
      </c>
      <c r="L240" s="1586">
        <v>7548</v>
      </c>
    </row>
    <row r="241" spans="1:12" x14ac:dyDescent="0.2">
      <c r="A241" s="1274" t="s">
        <v>810</v>
      </c>
      <c r="B241" s="503">
        <v>2220</v>
      </c>
      <c r="C241" s="1673"/>
      <c r="D241" s="1573">
        <v>22054</v>
      </c>
      <c r="E241" s="1673"/>
      <c r="F241" s="1673"/>
      <c r="G241" s="1673"/>
      <c r="H241" s="1673"/>
      <c r="I241" s="1673"/>
      <c r="J241" s="1673"/>
      <c r="K241" s="1678">
        <f>D241</f>
        <v>22054</v>
      </c>
      <c r="L241" s="1573">
        <v>25131</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30230</v>
      </c>
      <c r="E243" s="1673"/>
      <c r="F243" s="1673"/>
      <c r="G243" s="1673"/>
      <c r="H243" s="1673"/>
      <c r="I243" s="1673"/>
      <c r="J243" s="1673"/>
      <c r="K243" s="1674">
        <f>SUM(K240:K242)</f>
        <v>30230</v>
      </c>
      <c r="L243" s="1674">
        <f>SUM(L240:L242)</f>
        <v>32679</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11900</v>
      </c>
      <c r="E246" s="1673"/>
      <c r="F246" s="1673"/>
      <c r="G246" s="1673"/>
      <c r="H246" s="1673"/>
      <c r="I246" s="1673"/>
      <c r="J246" s="1673"/>
      <c r="K246" s="1678">
        <f t="shared" ref="K246:K256" si="21">D246</f>
        <v>11900</v>
      </c>
      <c r="L246" s="1573">
        <v>12281</v>
      </c>
    </row>
    <row r="247" spans="1:12" x14ac:dyDescent="0.2">
      <c r="A247" s="1274" t="s">
        <v>814</v>
      </c>
      <c r="B247" s="503">
        <v>2330</v>
      </c>
      <c r="C247" s="1673"/>
      <c r="D247" s="1573">
        <v>9937</v>
      </c>
      <c r="E247" s="1673"/>
      <c r="F247" s="1673"/>
      <c r="G247" s="1673"/>
      <c r="H247" s="1673"/>
      <c r="I247" s="1673"/>
      <c r="J247" s="1673"/>
      <c r="K247" s="1678">
        <f t="shared" si="21"/>
        <v>9937</v>
      </c>
      <c r="L247" s="1573">
        <v>12847</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21837</v>
      </c>
      <c r="E257" s="1673"/>
      <c r="F257" s="1673"/>
      <c r="G257" s="1673"/>
      <c r="H257" s="1673"/>
      <c r="I257" s="1673"/>
      <c r="J257" s="1673"/>
      <c r="K257" s="1674">
        <f>SUM(K245:K256)</f>
        <v>21837</v>
      </c>
      <c r="L257" s="1674">
        <f>SUM(L245:L256)</f>
        <v>25128</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53513</v>
      </c>
      <c r="E259" s="1673"/>
      <c r="F259" s="1673"/>
      <c r="G259" s="1673"/>
      <c r="H259" s="1673"/>
      <c r="I259" s="1673"/>
      <c r="J259" s="1673"/>
      <c r="K259" s="1678">
        <f>D259</f>
        <v>53513</v>
      </c>
      <c r="L259" s="1586">
        <v>57330</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53513</v>
      </c>
      <c r="E261" s="1673"/>
      <c r="F261" s="1673"/>
      <c r="G261" s="1673"/>
      <c r="H261" s="1673"/>
      <c r="I261" s="1673"/>
      <c r="J261" s="1673"/>
      <c r="K261" s="1674">
        <f>SUM(K259:K260)</f>
        <v>53513</v>
      </c>
      <c r="L261" s="1674">
        <f>SUM(L259:L260)</f>
        <v>57330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26474</v>
      </c>
      <c r="E264" s="1673"/>
      <c r="F264" s="1673"/>
      <c r="G264" s="1673"/>
      <c r="H264" s="1673"/>
      <c r="I264" s="1673"/>
      <c r="J264" s="1673"/>
      <c r="K264" s="1678">
        <f t="shared" ref="K264:K269" si="22">D264</f>
        <v>26474</v>
      </c>
      <c r="L264" s="1573">
        <v>33232</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80993</v>
      </c>
      <c r="E266" s="1673"/>
      <c r="F266" s="1673"/>
      <c r="G266" s="1673"/>
      <c r="H266" s="1673"/>
      <c r="I266" s="1673"/>
      <c r="J266" s="1673"/>
      <c r="K266" s="1678">
        <f t="shared" si="22"/>
        <v>80993</v>
      </c>
      <c r="L266" s="1573">
        <v>84100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47935</v>
      </c>
      <c r="E268" s="1673"/>
      <c r="F268" s="1673"/>
      <c r="G268" s="1673"/>
      <c r="H268" s="1673"/>
      <c r="I268" s="1673"/>
      <c r="J268" s="1673"/>
      <c r="K268" s="1678">
        <f t="shared" si="22"/>
        <v>47935</v>
      </c>
      <c r="L268" s="1573">
        <v>49535</v>
      </c>
    </row>
    <row r="269" spans="1:14" x14ac:dyDescent="0.2">
      <c r="A269" s="1274" t="s">
        <v>101</v>
      </c>
      <c r="B269" s="503">
        <v>2570</v>
      </c>
      <c r="C269" s="1673"/>
      <c r="D269" s="1573">
        <v>6765</v>
      </c>
      <c r="E269" s="1673"/>
      <c r="F269" s="1673"/>
      <c r="G269" s="1673"/>
      <c r="H269" s="1673"/>
      <c r="I269" s="1673"/>
      <c r="J269" s="1673"/>
      <c r="K269" s="1678">
        <f t="shared" si="22"/>
        <v>6765</v>
      </c>
      <c r="L269" s="1573">
        <v>6209</v>
      </c>
    </row>
    <row r="270" spans="1:14" ht="12.75" customHeight="1" thickBot="1" x14ac:dyDescent="0.25">
      <c r="A270" s="1380" t="s">
        <v>714</v>
      </c>
      <c r="B270" s="1383" t="s">
        <v>35</v>
      </c>
      <c r="C270" s="1673"/>
      <c r="D270" s="1674">
        <f>SUM(D263:D269)</f>
        <v>162167</v>
      </c>
      <c r="E270" s="1673"/>
      <c r="F270" s="1673"/>
      <c r="G270" s="1673"/>
      <c r="H270" s="1673"/>
      <c r="I270" s="1673"/>
      <c r="J270" s="1673"/>
      <c r="K270" s="1674">
        <f>SUM(K263:K269)</f>
        <v>162167</v>
      </c>
      <c r="L270" s="1674">
        <f>SUM(L263:L269)</f>
        <v>173076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v>740</v>
      </c>
    </row>
    <row r="276" spans="1:12" x14ac:dyDescent="0.2">
      <c r="A276" s="1274" t="s">
        <v>401</v>
      </c>
      <c r="B276" s="503">
        <v>2660</v>
      </c>
      <c r="C276" s="1673"/>
      <c r="D276" s="1573">
        <v>10597</v>
      </c>
      <c r="E276" s="1673"/>
      <c r="F276" s="1673"/>
      <c r="G276" s="1673"/>
      <c r="H276" s="1673"/>
      <c r="I276" s="1673"/>
      <c r="J276" s="1673"/>
      <c r="K276" s="1678">
        <f>D276</f>
        <v>10597</v>
      </c>
      <c r="L276" s="1573">
        <v>11318</v>
      </c>
    </row>
    <row r="277" spans="1:12" ht="12.75" customHeight="1" thickBot="1" x14ac:dyDescent="0.25">
      <c r="A277" s="1393" t="s">
        <v>37</v>
      </c>
      <c r="B277" s="1381" t="s">
        <v>36</v>
      </c>
      <c r="C277" s="1673"/>
      <c r="D277" s="1674">
        <f>SUM(D272:D276)</f>
        <v>10597</v>
      </c>
      <c r="E277" s="1673"/>
      <c r="F277" s="1673"/>
      <c r="G277" s="1673"/>
      <c r="H277" s="1673"/>
      <c r="I277" s="1673"/>
      <c r="J277" s="1673"/>
      <c r="K277" s="1674">
        <f>SUM(K272:K276)</f>
        <v>10597</v>
      </c>
      <c r="L277" s="1674">
        <f>SUM(L272:L276)</f>
        <v>12058</v>
      </c>
    </row>
    <row r="278" spans="1:12" ht="13.5" customHeight="1" thickTop="1" x14ac:dyDescent="0.2">
      <c r="A278" s="1280" t="s">
        <v>973</v>
      </c>
      <c r="B278" s="531" t="s">
        <v>570</v>
      </c>
      <c r="C278" s="1673"/>
      <c r="D278" s="1695">
        <v>382</v>
      </c>
      <c r="E278" s="1673"/>
      <c r="F278" s="1673"/>
      <c r="G278" s="1673"/>
      <c r="H278" s="1673"/>
      <c r="I278" s="1673"/>
      <c r="J278" s="1673"/>
      <c r="K278" s="1696">
        <f>D278</f>
        <v>382</v>
      </c>
      <c r="L278" s="1695">
        <v>297</v>
      </c>
    </row>
    <row r="279" spans="1:12" ht="12.75" customHeight="1" thickBot="1" x14ac:dyDescent="0.25">
      <c r="A279" s="1400" t="s">
        <v>806</v>
      </c>
      <c r="B279" s="1387">
        <v>2000</v>
      </c>
      <c r="C279" s="1673"/>
      <c r="D279" s="1681">
        <f>SUM(D238,D243,D257,D261,D270,D277,D278)</f>
        <v>337843</v>
      </c>
      <c r="E279" s="1673"/>
      <c r="F279" s="1673"/>
      <c r="G279" s="1673"/>
      <c r="H279" s="1673"/>
      <c r="I279" s="1673"/>
      <c r="J279" s="1673"/>
      <c r="K279" s="1681">
        <f>SUM(K238,K243,K257,K261,K270,K277,K278)</f>
        <v>337843</v>
      </c>
      <c r="L279" s="1681">
        <f>SUM(L238,L243,L257,L261,L270,L277,L278)</f>
        <v>364601</v>
      </c>
    </row>
    <row r="280" spans="1:12" ht="15.75" customHeight="1" thickTop="1" thickBot="1" x14ac:dyDescent="0.25">
      <c r="A280" s="1362" t="s">
        <v>870</v>
      </c>
      <c r="B280" s="1351">
        <v>3000</v>
      </c>
      <c r="C280" s="1673"/>
      <c r="D280" s="1651">
        <v>6714</v>
      </c>
      <c r="E280" s="1673"/>
      <c r="F280" s="1673"/>
      <c r="G280" s="1673"/>
      <c r="H280" s="1673"/>
      <c r="I280" s="1673"/>
      <c r="J280" s="1673"/>
      <c r="K280" s="1687">
        <f>D280</f>
        <v>6714</v>
      </c>
      <c r="L280" s="1651">
        <v>13380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616128</v>
      </c>
      <c r="E295" s="1673"/>
      <c r="F295" s="1673"/>
      <c r="G295" s="1673"/>
      <c r="H295" s="1674">
        <f>H293</f>
        <v>0</v>
      </c>
      <c r="I295" s="1673"/>
      <c r="J295" s="1673"/>
      <c r="K295" s="1674">
        <f>SUM(K229,K279,K280,K285,K293,K294)</f>
        <v>616128</v>
      </c>
      <c r="L295" s="1674">
        <f>SUM(L229,L279,L280,L285,L293,L294)</f>
        <v>683435</v>
      </c>
    </row>
    <row r="296" spans="1:14" ht="13.5" thickTop="1" x14ac:dyDescent="0.2">
      <c r="A296" s="2289" t="s">
        <v>989</v>
      </c>
      <c r="B296" s="2290"/>
      <c r="C296" s="1673"/>
      <c r="D296" s="1675"/>
      <c r="E296" s="1673"/>
      <c r="F296" s="1673"/>
      <c r="G296" s="1673"/>
      <c r="H296" s="1707"/>
      <c r="I296" s="1673"/>
      <c r="J296" s="1673"/>
      <c r="K296" s="1689">
        <f>'Revenues 9-14'!G268-'Expenditures 15-22'!K295</f>
        <v>44455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20596</v>
      </c>
      <c r="F301" s="1573"/>
      <c r="G301" s="1573">
        <v>73377</v>
      </c>
      <c r="H301" s="1573"/>
      <c r="I301" s="1574"/>
      <c r="J301" s="1574"/>
      <c r="K301" s="1672">
        <f>SUM(C301:J301)</f>
        <v>93973</v>
      </c>
      <c r="L301" s="1574">
        <v>200000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20596</v>
      </c>
      <c r="F303" s="1681">
        <f t="shared" si="23"/>
        <v>0</v>
      </c>
      <c r="G303" s="1681">
        <f t="shared" si="23"/>
        <v>73377</v>
      </c>
      <c r="H303" s="1681">
        <f t="shared" si="23"/>
        <v>0</v>
      </c>
      <c r="I303" s="1681">
        <f t="shared" si="23"/>
        <v>0</v>
      </c>
      <c r="J303" s="1681">
        <f t="shared" si="23"/>
        <v>0</v>
      </c>
      <c r="K303" s="1681">
        <f t="shared" si="23"/>
        <v>93973</v>
      </c>
      <c r="L303" s="1681">
        <f t="shared" si="23"/>
        <v>200000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20596</v>
      </c>
      <c r="F312" s="1674">
        <f>SUM(F303)</f>
        <v>0</v>
      </c>
      <c r="G312" s="1674">
        <f>SUM(G303)</f>
        <v>73377</v>
      </c>
      <c r="H312" s="1674">
        <f>SUM(H303,H310)</f>
        <v>0</v>
      </c>
      <c r="I312" s="1674">
        <f>SUM(I303)</f>
        <v>0</v>
      </c>
      <c r="J312" s="1674">
        <f>SUM(J303)</f>
        <v>0</v>
      </c>
      <c r="K312" s="1674">
        <f>SUM(K303,K310,K311)</f>
        <v>93973</v>
      </c>
      <c r="L312" s="1674">
        <f>SUM(L303,L310,L311)</f>
        <v>200000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142898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v>74144</v>
      </c>
      <c r="F320" s="1574"/>
      <c r="G320" s="1574"/>
      <c r="H320" s="1574"/>
      <c r="I320" s="1574"/>
      <c r="J320" s="1574"/>
      <c r="K320" s="1672">
        <f t="shared" ref="K320:K327" si="24">SUM(C320:J320)</f>
        <v>74144</v>
      </c>
      <c r="L320" s="1574">
        <v>74144</v>
      </c>
      <c r="M320" s="539"/>
      <c r="N320" s="539"/>
    </row>
    <row r="321" spans="1:14" s="548" customFormat="1" x14ac:dyDescent="0.2">
      <c r="A321" s="1289" t="s">
        <v>297</v>
      </c>
      <c r="B321" s="567" t="s">
        <v>281</v>
      </c>
      <c r="C321" s="1574"/>
      <c r="D321" s="1574"/>
      <c r="E321" s="1574">
        <v>15917</v>
      </c>
      <c r="F321" s="1574"/>
      <c r="G321" s="1574"/>
      <c r="H321" s="1574"/>
      <c r="I321" s="1574"/>
      <c r="J321" s="1574"/>
      <c r="K321" s="1672">
        <f t="shared" si="24"/>
        <v>15917</v>
      </c>
      <c r="L321" s="1574">
        <v>15000</v>
      </c>
      <c r="M321" s="539"/>
      <c r="N321" s="539"/>
    </row>
    <row r="322" spans="1:14" s="548" customFormat="1" x14ac:dyDescent="0.2">
      <c r="A322" s="1289" t="s">
        <v>236</v>
      </c>
      <c r="B322" s="567" t="s">
        <v>282</v>
      </c>
      <c r="C322" s="1574"/>
      <c r="D322" s="1574"/>
      <c r="E322" s="1574">
        <v>3650</v>
      </c>
      <c r="F322" s="1574"/>
      <c r="G322" s="1574"/>
      <c r="H322" s="1574"/>
      <c r="I322" s="1574"/>
      <c r="J322" s="1574"/>
      <c r="K322" s="1672">
        <f t="shared" si="24"/>
        <v>3650</v>
      </c>
      <c r="L322" s="1574">
        <v>10000</v>
      </c>
      <c r="M322" s="539"/>
      <c r="N322" s="539"/>
    </row>
    <row r="323" spans="1:14" s="548" customFormat="1" x14ac:dyDescent="0.2">
      <c r="A323" s="1289" t="s">
        <v>697</v>
      </c>
      <c r="B323" s="567" t="s">
        <v>283</v>
      </c>
      <c r="C323" s="1574"/>
      <c r="D323" s="1574"/>
      <c r="E323" s="1574">
        <v>7340</v>
      </c>
      <c r="F323" s="1574"/>
      <c r="G323" s="1574"/>
      <c r="H323" s="1574"/>
      <c r="I323" s="1574"/>
      <c r="J323" s="1574"/>
      <c r="K323" s="1672">
        <f t="shared" si="24"/>
        <v>7340</v>
      </c>
      <c r="L323" s="1574">
        <v>16730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113698</v>
      </c>
      <c r="F325" s="1574"/>
      <c r="G325" s="1574"/>
      <c r="H325" s="1574"/>
      <c r="I325" s="1574"/>
      <c r="J325" s="1574"/>
      <c r="K325" s="1672">
        <f t="shared" si="24"/>
        <v>113698</v>
      </c>
      <c r="L325" s="1574">
        <v>145355</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v>20507</v>
      </c>
      <c r="F328" s="1579"/>
      <c r="G328" s="1579"/>
      <c r="H328" s="1579"/>
      <c r="I328" s="1579"/>
      <c r="J328" s="1579"/>
      <c r="K328" s="1713">
        <f>SUM(C328:J328)</f>
        <v>20507</v>
      </c>
      <c r="L328" s="1579">
        <v>57991</v>
      </c>
      <c r="M328" s="539"/>
      <c r="N328" s="539"/>
    </row>
    <row r="329" spans="1:14" s="548" customFormat="1" x14ac:dyDescent="0.2">
      <c r="A329" s="1290" t="s">
        <v>1123</v>
      </c>
      <c r="B329" s="562" t="s">
        <v>1124</v>
      </c>
      <c r="C329" s="1579"/>
      <c r="D329" s="1579"/>
      <c r="E329" s="1579">
        <v>2625</v>
      </c>
      <c r="F329" s="1579"/>
      <c r="G329" s="1579"/>
      <c r="H329" s="1579"/>
      <c r="I329" s="1579"/>
      <c r="J329" s="1579"/>
      <c r="K329" s="1713">
        <f>SUM(C329:J329)</f>
        <v>2625</v>
      </c>
      <c r="L329" s="1579">
        <v>2625</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237881</v>
      </c>
      <c r="F330" s="1674">
        <f t="shared" si="25"/>
        <v>0</v>
      </c>
      <c r="G330" s="1674">
        <f t="shared" si="25"/>
        <v>0</v>
      </c>
      <c r="H330" s="1674">
        <f t="shared" si="25"/>
        <v>0</v>
      </c>
      <c r="I330" s="1674">
        <f t="shared" si="25"/>
        <v>0</v>
      </c>
      <c r="J330" s="1674">
        <f t="shared" si="25"/>
        <v>0</v>
      </c>
      <c r="K330" s="1674">
        <f>SUM(K319:K329)</f>
        <v>237881</v>
      </c>
      <c r="L330" s="1674">
        <f>SUM(L319:L329)</f>
        <v>321845</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237881</v>
      </c>
      <c r="F342" s="1674">
        <f>SUM(F330)</f>
        <v>0</v>
      </c>
      <c r="G342" s="1674">
        <f>SUM(G330)</f>
        <v>0</v>
      </c>
      <c r="H342" s="1674">
        <f>SUM(H330,H334,H340)</f>
        <v>0</v>
      </c>
      <c r="I342" s="1674">
        <f>SUM(I330)</f>
        <v>0</v>
      </c>
      <c r="J342" s="1674">
        <f>SUM(J330)</f>
        <v>0</v>
      </c>
      <c r="K342" s="1674">
        <f>SUM(K330,K334,K340)</f>
        <v>237881</v>
      </c>
      <c r="L342" s="1681">
        <f>SUM(L330,L334,L340,L341)</f>
        <v>321845</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25291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10321</v>
      </c>
      <c r="F349" s="1573"/>
      <c r="G349" s="1573">
        <v>149180</v>
      </c>
      <c r="H349" s="1573"/>
      <c r="I349" s="1574"/>
      <c r="J349" s="1574"/>
      <c r="K349" s="1672">
        <f>SUM(C349:J349)</f>
        <v>159501</v>
      </c>
      <c r="L349" s="1573">
        <v>177458</v>
      </c>
    </row>
    <row r="350" spans="1:14" ht="12.75" customHeight="1" thickBot="1" x14ac:dyDescent="0.25">
      <c r="A350" s="1380" t="s">
        <v>714</v>
      </c>
      <c r="B350" s="1381" t="s">
        <v>35</v>
      </c>
      <c r="C350" s="1674">
        <f>SUM(C348:C349)</f>
        <v>0</v>
      </c>
      <c r="D350" s="1674">
        <f t="shared" ref="D350:L350" si="26">SUM(D348:D349)</f>
        <v>0</v>
      </c>
      <c r="E350" s="1674">
        <f t="shared" si="26"/>
        <v>10321</v>
      </c>
      <c r="F350" s="1674">
        <f t="shared" si="26"/>
        <v>0</v>
      </c>
      <c r="G350" s="1674">
        <f t="shared" si="26"/>
        <v>149180</v>
      </c>
      <c r="H350" s="1674">
        <f t="shared" si="26"/>
        <v>0</v>
      </c>
      <c r="I350" s="1674">
        <f t="shared" si="26"/>
        <v>0</v>
      </c>
      <c r="J350" s="1674">
        <f t="shared" si="26"/>
        <v>0</v>
      </c>
      <c r="K350" s="1674">
        <f t="shared" si="26"/>
        <v>159501</v>
      </c>
      <c r="L350" s="1674">
        <f t="shared" si="26"/>
        <v>177458</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10321</v>
      </c>
      <c r="F352" s="1674">
        <f t="shared" si="27"/>
        <v>0</v>
      </c>
      <c r="G352" s="1674">
        <f t="shared" si="27"/>
        <v>149180</v>
      </c>
      <c r="H352" s="1674">
        <f t="shared" si="27"/>
        <v>0</v>
      </c>
      <c r="I352" s="1674">
        <f t="shared" si="27"/>
        <v>0</v>
      </c>
      <c r="J352" s="1674">
        <f t="shared" si="27"/>
        <v>0</v>
      </c>
      <c r="K352" s="1674">
        <f t="shared" si="27"/>
        <v>159501</v>
      </c>
      <c r="L352" s="1674">
        <f t="shared" si="27"/>
        <v>177458</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10321</v>
      </c>
      <c r="F367" s="1674">
        <f t="shared" si="28"/>
        <v>0</v>
      </c>
      <c r="G367" s="1674">
        <f t="shared" si="28"/>
        <v>149180</v>
      </c>
      <c r="H367" s="1674">
        <f t="shared" si="28"/>
        <v>0</v>
      </c>
      <c r="I367" s="1674">
        <f t="shared" si="28"/>
        <v>0</v>
      </c>
      <c r="J367" s="1674">
        <f t="shared" si="28"/>
        <v>0</v>
      </c>
      <c r="K367" s="1674">
        <f t="shared" si="28"/>
        <v>159501</v>
      </c>
      <c r="L367" s="1674">
        <f t="shared" si="28"/>
        <v>177458</v>
      </c>
    </row>
    <row r="368" spans="1:14" ht="13.5" thickTop="1" x14ac:dyDescent="0.2">
      <c r="A368" s="2289" t="s">
        <v>989</v>
      </c>
      <c r="B368" s="2290"/>
      <c r="C368" s="1694"/>
      <c r="D368" s="1694"/>
      <c r="E368" s="1677"/>
      <c r="F368" s="1677"/>
      <c r="G368" s="1677"/>
      <c r="H368" s="1677"/>
      <c r="I368" s="1677"/>
      <c r="J368" s="1676"/>
      <c r="K368" s="1672">
        <f>'Revenues 9-14'!K268-'Expenditures 15-22'!K367</f>
        <v>-159309</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(2)</vt:lpstr>
      <vt:lpstr> SEFA (3)</vt:lpstr>
      <vt:lpstr> SEFA</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2021-03-11T13:56:37Z</cp:lastPrinted>
  <dcterms:created xsi:type="dcterms:W3CDTF">2003-10-29T19:06:34Z</dcterms:created>
  <dcterms:modified xsi:type="dcterms:W3CDTF">2021-03-25T19:04:18Z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