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68DACC5-36B9-4949-AEA8-D467C5D4DAA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73" i="127"/>
  <c r="B74"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7153" i="106" l="1"/>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F41" i="108"/>
  <c r="G43" i="108" s="1"/>
  <c r="B1381" i="106"/>
  <c r="D1381" i="106"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<sst xmlns="http://schemas.openxmlformats.org/spreadsheetml/2006/main" count="5146" uniqueCount="2083">
  <si>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</si>
  <si>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</si>
  <si>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</si>
  <si>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</si>
  <si>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</si>
  <si>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</si>
  <si>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</si>
  <si>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</si>
  <si>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</si>
  <si>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</si>
  <si>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</si>
  <si>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</si>
  <si>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</si>
  <si>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</si>
  <si>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</si>
  <si>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</si>
  <si>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</si>
  <si>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</si>
  <si>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</si>
  <si>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</si>
  <si>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</si>
  <si>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</si>
  <si>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</si>
  <si>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</si>
  <si>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</si>
  <si>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</si>
  <si>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</si>
  <si>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</si>
  <si>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</si>
  <si>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</si>
  <si>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</si>
  <si>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</si>
  <si>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</si>
  <si>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</si>
  <si>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</si>
  <si>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</si>
  <si>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</si>
  <si>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</si>
  <si>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</si>
  <si>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</si>
  <si>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</si>
  <si>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</si>
  <si>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</si>
  <si>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</si>
  <si>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</si>
  <si>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</si>
  <si>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</si>
  <si>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</si>
  <si>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</si>
  <si>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</si>
  <si>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</si>
  <si>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</si>
  <si>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</si>
  <si>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</si>
  <si>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</si>
  <si>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</si>
  <si>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</si>
  <si>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</si>
  <si>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</si>
  <si>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</si>
  <si>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</si>
  <si>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</si>
  <si>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</si>
  <si>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</si>
  <si>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</si>
  <si>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</si>
  <si>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</si>
  <si>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</si>
  <si>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</si>
  <si>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</si>
  <si>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</si>
  <si>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</si>
  <si>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</si>
  <si>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</si>
  <si>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</si>
  <si>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</si>
  <si>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</si>
  <si>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</si>
  <si>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</si>
  <si>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</si>
  <si>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</si>
  <si>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</si>
  <si>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</si>
  <si>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</si>
  <si>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</si>
  <si>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</si>
  <si>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</si>
  <si>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</si>
  <si>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</si>
  <si>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</si>
  <si>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</si>
  <si>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</si>
  <si>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</si>
  <si>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</si>
  <si>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</si>
  <si>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</si>
  <si>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</si>
  <si>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</si>
  <si>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</si>
  <si>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</si>
  <si>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</si>
  <si>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</si>
  <si>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</si>
  <si>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</si>
  <si>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</si>
  <si>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</si>
  <si>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</si>
  <si>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</si>
  <si>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</si>
  <si>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</si>
  <si>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</si>
  <si>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</si>
  <si>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</si>
  <si>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</si>
  <si>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</si>
  <si>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</si>
  <si>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</si>
  <si>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</si>
  <si>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</si>
  <si>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</si>
  <si>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</si>
  <si>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</si>
  <si>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</si>
  <si>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</si>
  <si>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</si>
  <si>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</si>
  <si>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</si>
  <si>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</si>
  <si>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</si>
  <si>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</si>
  <si>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</si>
  <si>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</si>
  <si>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</si>
  <si>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</si>
  <si>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</si>
  <si>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</si>
  <si>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</si>
  <si>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</si>
  <si>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</si>
  <si>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</si>
  <si>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</si>
  <si>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</si>
  <si>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</si>
  <si>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</si>
  <si>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</si>
  <si>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</si>
  <si>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</si>
  <si>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</si>
  <si>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</si>
  <si>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</si>
  <si>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</si>
  <si>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</si>
  <si>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</si>
  <si>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</si>
  <si>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</si>
  <si>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</si>
  <si>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</si>
  <si>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</si>
  <si>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</si>
  <si>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</si>
  <si>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</si>
  <si>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</si>
  <si>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</si>
  <si>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</si>
  <si>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</si>
  <si>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</si>
  <si>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</si>
  <si>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</si>
  <si>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</si>
  <si>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</si>
  <si>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</si>
  <si>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</si>
  <si>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</si>
  <si>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</si>
  <si>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</si>
  <si>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</si>
  <si>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</si>
  <si>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</si>
  <si>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</si>
  <si>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</si>
  <si>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</si>
  <si>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</si>
  <si>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</si>
  <si>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</si>
  <si>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</si>
  <si>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</si>
  <si>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</si>
  <si>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</si>
  <si>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</si>
  <si>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</si>
  <si>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</si>
  <si>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</si>
  <si>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</si>
  <si>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</si>
  <si>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</si>
  <si>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</si>
  <si>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</si>
  <si>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</si>
  <si>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</si>
  <si>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</si>
  <si>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</si>
  <si>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</si>
  <si>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</si>
  <si>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</si>
  <si>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</si>
  <si>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</si>
  <si>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</si>
  <si>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</si>
  <si>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</si>
  <si>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</si>
  <si>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</si>
  <si>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</si>
  <si>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</si>
  <si>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</si>
  <si>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</si>
  <si>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</si>
  <si>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</si>
  <si>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</si>
  <si>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</si>
  <si>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</si>
  <si>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</si>
  <si>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</si>
  <si>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</si>
  <si>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</si>
  <si>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</si>
  <si>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</si>
  <si>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</si>
  <si>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</si>
  <si>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</si>
  <si>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</si>
  <si>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</si>
  <si>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</si>
  <si>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</si>
  <si>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</si>
  <si>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</si>
  <si>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</si>
  <si>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</si>
  <si>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</si>
  <si>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</si>
  <si>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</si>
  <si>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</si>
  <si>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</si>
  <si>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</si>
  <si>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</si>
  <si>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</si>
  <si>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</si>
  <si>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</si>
  <si>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</si>
  <si>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</si>
  <si>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</si>
  <si>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</si>
  <si>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</si>
  <si>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</si>
  <si>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</si>
  <si>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</si>
  <si>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</si>
  <si>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</si>
  <si>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</si>
  <si>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</si>
  <si>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</si>
  <si>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</si>
  <si>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</si>
  <si>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</si>
  <si>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</si>
  <si>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</si>
  <si>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</si>
  <si>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</si>
  <si>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</si>
  <si>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</si>
  <si>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</si>
  <si>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</si>
  <si>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</si>
  <si>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</si>
  <si>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</si>
  <si>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</si>
  <si>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</si>
  <si>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</si>
  <si>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</si>
  <si>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</si>
  <si>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</si>
  <si>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</si>
  <si>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</si>
  <si>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</si>
  <si>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</si>
  <si>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</si>
  <si>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</si>
  <si>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</si>
  <si>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</si>
  <si>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</si>
  <si>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</si>
  <si>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</si>
  <si>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</si>
  <si>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</si>
  <si>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</si>
  <si>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</si>
  <si>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</si>
  <si>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</si>
  <si>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</si>
  <si>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</si>
  <si>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</si>
  <si>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</si>
  <si>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</si>
  <si>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</si>
  <si>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</si>
  <si>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</si>
  <si>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</si>
  <si>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</si>
  <si>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</si>
  <si>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</si>
  <si>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</si>
  <si>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</si>
  <si>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</si>
  <si>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</si>
  <si>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</si>
  <si>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</si>
  <si>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</si>
  <si>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</si>
  <si>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</si>
  <si>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</si>
  <si>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</si>
  <si>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</si>
  <si>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</si>
  <si>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</si>
  <si>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</si>
  <si>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</si>
  <si>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</si>
  <si>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</si>
  <si>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</si>
  <si>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</si>
  <si>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</si>
  <si>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</si>
  <si>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</si>
  <si>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</si>
  <si>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</si>
  <si>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</si>
  <si>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</si>
  <si>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</si>
  <si>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</si>
  <si>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</si>
  <si>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</si>
  <si>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</si>
  <si>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</si>
  <si>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</si>
  <si>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</si>
  <si>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</si>
  <si>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</si>
  <si>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</si>
  <si>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</si>
  <si>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</si>
  <si>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</si>
  <si>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</si>
  <si>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</si>
  <si>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</si>
  <si>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</si>
  <si>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</si>
  <si>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</si>
  <si>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</si>
  <si>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</si>
  <si>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</si>
  <si>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</si>
  <si>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</si>
  <si>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</si>
  <si>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</si>
  <si>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</si>
  <si>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</si>
  <si>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</si>
  <si>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</si>
  <si>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</si>
  <si>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</si>
  <si>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</si>
  <si>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</si>
  <si>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</si>
  <si>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</si>
  <si>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</si>
  <si>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</si>
  <si>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</si>
  <si>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</si>
  <si>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</si>
  <si>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</si>
  <si>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</si>
  <si>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</si>
  <si>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</si>
  <si>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</si>
  <si>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</si>
  <si>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</si>
  <si>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</si>
  <si>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</si>
  <si>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</si>
  <si>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</si>
  <si>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</si>
  <si>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</si>
  <si>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</si>
  <si>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</si>
  <si>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</si>
  <si>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</si>
  <si>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</si>
  <si>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</si>
  <si>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</si>
  <si>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</si>
  <si>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</si>
  <si>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</si>
  <si>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</si>
  <si>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</si>
  <si>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</si>
  <si>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</si>
  <si>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</si>
  <si>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</si>
  <si>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</si>
  <si>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</si>
  <si>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</si>
  <si>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</si>
  <si>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</si>
  <si>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</si>
  <si>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</si>
  <si>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</si>
  <si>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</si>
  <si>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</si>
  <si>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</si>
  <si>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</si>
  <si>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</si>
  <si>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</si>
  <si>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</si>
  <si>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</si>
  <si>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</si>
  <si>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</si>
  <si>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</si>
  <si>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</si>
  <si>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</si>
  <si>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</si>
  <si>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</si>
  <si>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</si>
  <si>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</si>
  <si>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</si>
  <si>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</si>
  <si>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</si>
  <si>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</si>
  <si>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</si>
  <si>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</si>
  <si>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</si>
  <si>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</si>
  <si>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</si>
  <si>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</si>
  <si>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</si>
  <si>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</si>
  <si>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</si>
  <si>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</si>
  <si>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</si>
  <si>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</si>
  <si>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</si>
  <si>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</si>
  <si>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</si>
  <si>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</si>
  <si>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</si>
  <si>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</si>
  <si>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</si>
  <si>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</si>
  <si>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</si>
  <si>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</si>
  <si>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</si>
  <si>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</si>
  <si>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</si>
  <si>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</si>
  <si>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</si>
  <si>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</si>
  <si>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</si>
  <si>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</si>
  <si>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</si>
  <si>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</si>
  <si>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</si>
  <si>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</si>
  <si>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</si>
  <si>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</si>
  <si>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</si>
  <si>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</si>
  <si>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</si>
  <si>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</si>
  <si>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</si>
  <si>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</si>
  <si>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</si>
  <si>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</si>
  <si>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</si>
  <si>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</si>
  <si>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</si>
  <si>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</si>
  <si>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</si>
  <si>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</si>
  <si>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</si>
  <si>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</si>
  <si>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</si>
  <si>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</si>
  <si>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</si>
  <si>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</si>
  <si>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</si>
  <si>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</si>
  <si>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</si>
  <si>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</si>
  <si>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</si>
  <si>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</si>
  <si>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</si>
  <si>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</si>
  <si>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</si>
  <si>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</si>
  <si>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</si>
  <si>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</si>
  <si>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</si>
  <si>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</si>
  <si>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</si>
  <si>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</si>
  <si>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</si>
  <si>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</si>
  <si>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</si>
  <si>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</si>
  <si>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</si>
  <si>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</si>
  <si>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</si>
  <si>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</si>
  <si>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</si>
  <si>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</si>
  <si>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</si>
  <si>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</si>
  <si>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</si>
  <si>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</si>
  <si>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</si>
  <si>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</si>
  <si>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</si>
  <si>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</si>
  <si>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</si>
  <si>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</si>
  <si>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</si>
  <si>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</si>
  <si>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</si>
  <si>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</si>
  <si>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</si>
  <si>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</si>
  <si>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</si>
  <si>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</si>
  <si>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</si>
  <si>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</si>
  <si>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</si>
  <si>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</si>
  <si>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</si>
  <si>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</si>
  <si>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</si>
  <si>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</si>
  <si>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</si>
  <si>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</si>
  <si>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</si>
  <si>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</si>
  <si>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</si>
  <si>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</si>
  <si>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</si>
  <si>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</si>
  <si>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</si>
  <si>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</si>
  <si>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</si>
  <si>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</si>
  <si>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</si>
  <si>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</si>
  <si>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</si>
  <si>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</si>
  <si>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</si>
  <si>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</si>
  <si>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</si>
  <si>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</si>
  <si>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</si>
  <si>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</si>
  <si>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</si>
  <si>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</si>
  <si>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</si>
  <si>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</si>
  <si>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</si>
  <si>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</si>
  <si>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</si>
  <si>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</si>
  <si>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</si>
  <si>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</si>
  <si>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</si>
  <si>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</si>
  <si>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</si>
  <si>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</si>
  <si>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</si>
  <si>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</si>
  <si>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</si>
  <si>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</si>
  <si>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</si>
  <si>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</si>
  <si>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</si>
  <si>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</si>
  <si>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</si>
  <si>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</si>
  <si>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</si>
  <si>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</si>
  <si>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</si>
  <si>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</si>
  <si>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</si>
  <si>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</si>
  <si>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</si>
  <si>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</si>
  <si>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</si>
  <si>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</si>
  <si>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</si>
  <si>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</si>
  <si>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</si>
  <si>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</si>
  <si>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</si>
  <si>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</si>
  <si>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</si>
  <si>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</si>
  <si>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</si>
  <si>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</si>
  <si>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</si>
  <si>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</si>
  <si>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</si>
  <si>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</si>
  <si>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</si>
  <si>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</si>
  <si>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</si>
  <si>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</si>
  <si>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</si>
  <si>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</si>
  <si>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</si>
  <si>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</si>
  <si>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</si>
  <si>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</si>
  <si>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</si>
  <si>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</si>
  <si>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</si>
  <si>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</si>
  <si>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</si>
  <si>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</si>
  <si>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</si>
  <si>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</si>
  <si>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</si>
  <si>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</si>
  <si>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</si>
  <si>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</si>
  <si>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</si>
  <si>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</si>
  <si>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</si>
  <si>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</si>
  <si>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</si>
  <si>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</si>
  <si>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</si>
  <si>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</si>
  <si>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</si>
  <si>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</si>
  <si>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</si>
  <si>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</si>
  <si>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</si>
  <si>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</si>
  <si>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</si>
  <si>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</si>
  <si>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</si>
  <si>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</si>
  <si>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</si>
  <si>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</si>
  <si>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</si>
  <si>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</si>
  <si>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</si>
  <si>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</si>
  <si>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</si>
  <si>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</si>
  <si>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</si>
  <si>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</si>
  <si>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</si>
  <si>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</si>
  <si>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</si>
  <si>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</si>
  <si>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</si>
  <si>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</si>
  <si>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</si>
  <si>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</si>
  <si>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</si>
  <si>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</si>
  <si>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</si>
  <si>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</si>
  <si>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</si>
  <si>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</si>
  <si>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</si>
  <si>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</si>
  <si>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</si>
  <si>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</si>
  <si>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</si>
  <si>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</si>
  <si>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</si>
  <si>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</si>
  <si>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</si>
  <si>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</si>
  <si>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</si>
  <si>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</si>
  <si>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</si>
  <si>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</si>
  <si>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</si>
  <si>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</si>
  <si>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</si>
  <si>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</si>
  <si>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</si>
  <si>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</si>
  <si>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</si>
  <si>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</si>
  <si>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</si>
  <si>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</si>
  <si>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</si>
  <si>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</si>
  <si>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</si>
  <si>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</si>
  <si>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</si>
  <si>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</si>
  <si>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</si>
  <si>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</si>
  <si>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</si>
  <si>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</si>
  <si>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</si>
  <si>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</si>
  <si>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</si>
  <si>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</si>
  <si>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</si>
  <si>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</si>
  <si>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</si>
  <si>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</si>
  <si>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</si>
  <si>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</si>
  <si>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</si>
  <si>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</si>
  <si>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</si>
  <si>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</si>
  <si>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</si>
  <si>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</si>
  <si>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</si>
  <si>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</si>
  <si>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</si>
  <si>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</si>
  <si>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</si>
  <si>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</si>
  <si>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</si>
  <si>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</si>
  <si>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</si>
  <si>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</si>
  <si>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</si>
  <si>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</si>
  <si>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</si>
  <si>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</si>
  <si>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</si>
  <si>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</si>
  <si>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</si>
  <si>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</si>
  <si>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</si>
  <si>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</si>
  <si>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</si>
  <si>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</si>
  <si>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</si>
  <si>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</si>
  <si>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</si>
  <si>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</si>
  <si>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</si>
  <si>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</si>
  <si>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</si>
  <si>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</si>
  <si>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</si>
  <si>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</si>
  <si>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</si>
  <si>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</si>
  <si>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</si>
  <si>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</si>
  <si>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</si>
  <si>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</si>
  <si>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</si>
  <si>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</si>
  <si>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</si>
  <si>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</si>
  <si>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</si>
  <si>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</si>
  <si>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</si>
  <si>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</si>
  <si>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</si>
  <si>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</si>
  <si>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</si>
  <si>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</si>
  <si>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</si>
  <si>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</si>
  <si>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</si>
  <si>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</si>
  <si>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</si>
  <si>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</si>
  <si>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</si>
  <si>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</si>
  <si>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</si>
  <si>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</si>
  <si>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</si>
  <si>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</si>
  <si>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</si>
  <si>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</si>
  <si>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</si>
  <si>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</si>
  <si>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</si>
  <si>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</si>
  <si>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</si>
  <si>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</si>
  <si>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</si>
  <si>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</si>
  <si>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</si>
  <si>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</si>
  <si>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</si>
  <si>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</si>
  <si>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</si>
  <si>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</si>
  <si>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</si>
  <si>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</si>
  <si>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</si>
  <si>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</si>
  <si>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</si>
  <si>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</si>
  <si>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</si>
  <si>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</si>
  <si>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</si>
  <si>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</si>
  <si>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</si>
  <si>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</si>
  <si>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</si>
  <si>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</si>
  <si>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</si>
  <si>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</si>
  <si>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</si>
  <si>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</si>
  <si>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</si>
  <si>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</si>
  <si>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</si>
  <si>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</si>
  <si>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</si>
  <si>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</si>
  <si>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</si>
  <si>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</si>
  <si>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</si>
  <si>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</si>
  <si>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</si>
  <si>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</si>
  <si>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</si>
  <si>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</si>
  <si>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</si>
  <si>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</si>
  <si>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</si>
  <si>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</si>
  <si>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</si>
  <si>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</si>
  <si>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</si>
  <si>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</si>
  <si>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</si>
  <si>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</si>
  <si>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</si>
  <si>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</si>
  <si>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</si>
  <si>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</si>
  <si>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</si>
  <si>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</si>
  <si>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</si>
  <si>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</si>
  <si>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</si>
  <si>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</si>
  <si>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</si>
  <si>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</si>
  <si>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</si>
  <si>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</si>
  <si>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</si>
  <si>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</si>
  <si>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</si>
  <si>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</si>
  <si>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</si>
  <si>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</si>
  <si>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</si>
  <si>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</si>
  <si>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</si>
  <si>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</si>
  <si>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</si>
  <si>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</si>
  <si>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</si>
  <si>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</si>
  <si>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</si>
  <si>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</si>
  <si>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</si>
  <si>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</si>
  <si>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</si>
  <si>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</si>
  <si>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</si>
  <si>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</si>
  <si>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</si>
  <si>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</si>
  <si>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</si>
  <si>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</si>
  <si>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</si>
  <si>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</si>
  <si>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</si>
  <si>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</si>
  <si>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</si>
  <si>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</si>
  <si>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</si>
  <si>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</si>
  <si>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</si>
  <si>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</si>
  <si>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</si>
  <si>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</si>
  <si>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</si>
  <si>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</si>
  <si>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</si>
  <si>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</si>
  <si>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</si>
  <si>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</si>
  <si>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</si>
  <si>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</si>
  <si>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</si>
  <si>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</si>
  <si>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</si>
  <si>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</si>
  <si>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</si>
  <si>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</si>
  <si>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</si>
  <si>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</si>
  <si>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</si>
  <si>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</si>
  <si>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</si>
  <si>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</si>
  <si>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</si>
  <si>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</si>
  <si>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</si>
  <si>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</si>
  <si>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</si>
  <si>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</si>
  <si>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</si>
  <si>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</si>
  <si>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</si>
  <si>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</si>
  <si>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</si>
  <si>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</si>
  <si>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</si>
  <si>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</si>
  <si>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</si>
  <si>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</si>
  <si>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</si>
  <si>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</si>
  <si>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</si>
  <si>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</si>
  <si>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</si>
  <si>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</si>
  <si>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</si>
  <si>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</si>
  <si>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</si>
  <si>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</si>
  <si>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</si>
  <si>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</si>
  <si>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</si>
  <si>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</si>
  <si>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</si>
  <si>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</si>
  <si>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</si>
  <si>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</si>
  <si>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</si>
  <si>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</si>
  <si>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</si>
  <si>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</si>
  <si>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</si>
  <si>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</si>
  <si>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</si>
  <si>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</si>
  <si>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</si>
  <si>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</si>
  <si>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</si>
  <si>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</si>
  <si>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</si>
  <si>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</si>
  <si>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</si>
  <si>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</si>
  <si>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</si>
  <si>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</si>
  <si>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</si>
  <si>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</si>
  <si>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</si>
  <si>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</si>
  <si>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</si>
  <si>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</si>
  <si>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</si>
  <si>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</si>
  <si>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</si>
  <si>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</si>
  <si>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</si>
  <si>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</si>
  <si>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</si>
  <si>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</si>
  <si>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</si>
  <si>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</si>
  <si>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</si>
  <si>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</si>
  <si>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</si>
  <si>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</si>
  <si>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</si>
  <si>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</si>
  <si>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</si>
  <si>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</si>
  <si>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</si>
  <si>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</si>
  <si>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</si>
  <si>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</si>
  <si>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</si>
  <si>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</si>
  <si>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</si>
  <si>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</si>
  <si>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</si>
  <si>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</si>
  <si>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</si>
  <si>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</si>
  <si>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</si>
  <si>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</si>
  <si>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</si>
  <si>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</si>
  <si>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</si>
  <si>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</si>
  <si>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</si>
  <si>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</si>
  <si>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</si>
  <si>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</si>
  <si>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</si>
  <si>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</si>
  <si>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</si>
  <si>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</si>
  <si>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</si>
  <si>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</si>
  <si>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</si>
  <si>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</si>
  <si>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</si>
  <si>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</si>
  <si>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</si>
  <si>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</si>
  <si>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</si>
  <si>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</si>
  <si>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</si>
  <si>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</si>
  <si>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</si>
  <si>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</si>
  <si>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</si>
  <si>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</si>
  <si>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</si>
  <si>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</si>
  <si>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</si>
  <si>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</si>
  <si>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</si>
  <si>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</si>
  <si>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</si>
  <si>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</si>
  <si>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</si>
  <si>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</si>
  <si>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</si>
  <si>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</si>
  <si>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</si>
  <si>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</si>
  <si>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</si>
  <si>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</si>
  <si>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</si>
  <si>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</si>
  <si>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</si>
  <si>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</si>
  <si>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</si>
  <si>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</si>
  <si>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</si>
  <si>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</si>
  <si>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</si>
  <si>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</si>
  <si>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</si>
  <si>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</si>
  <si>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</si>
  <si>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</si>
  <si>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</si>
  <si>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</si>
  <si>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</si>
  <si>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</si>
  <si>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</si>
  <si>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</si>
  <si>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</si>
  <si>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</si>
  <si>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</si>
  <si>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</si>
  <si>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</si>
  <si>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</si>
  <si>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</si>
  <si>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</si>
  <si>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</si>
  <si>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</si>
  <si>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</si>
  <si>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</si>
  <si>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</si>
  <si>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</si>
  <si>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</si>
  <si>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</si>
  <si>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</si>
  <si>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</si>
  <si>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</si>
  <si>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</si>
  <si>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</si>
  <si>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</si>
  <si>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</si>
  <si>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</si>
  <si>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</si>
  <si>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</si>
  <si>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</si>
  <si>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</si>
  <si>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</si>
  <si>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</si>
  <si>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</si>
  <si>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</si>
  <si>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</si>
  <si>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</si>
  <si>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</si>
  <si>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</si>
  <si>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</si>
  <si>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</si>
  <si>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</si>
  <si>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</si>
  <si>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</si>
  <si>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</si>
  <si>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</si>
  <si>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</si>
  <si>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</si>
  <si>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</si>
  <si>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</si>
  <si>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</si>
  <si>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</si>
  <si>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</si>
  <si>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</si>
  <si>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</si>
  <si>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</si>
  <si>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</si>
  <si>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</si>
  <si>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</si>
  <si>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</si>
  <si>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</si>
  <si>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</si>
  <si>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</si>
  <si>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</si>
  <si>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</si>
  <si>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</si>
  <si>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</si>
  <si>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</si>
  <si>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</si>
  <si>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</si>
  <si>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</si>
  <si>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</si>
  <si>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</si>
  <si>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</si>
  <si>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</si>
  <si>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</si>
  <si>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</si>
  <si>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</si>
  <si>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</si>
  <si>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</si>
  <si>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</si>
  <si>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</si>
  <si>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</si>
  <si>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</si>
  <si>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</si>
  <si>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</si>
  <si>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</si>
  <si>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</si>
  <si>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</si>
  <si>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</si>
  <si>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</si>
  <si>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</si>
  <si>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</si>
  <si>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</si>
  <si>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</si>
  <si>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</si>
  <si>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</si>
  <si>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</si>
  <si>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</si>
  <si>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</si>
  <si>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</si>
  <si>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</si>
  <si>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</si>
  <si>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</si>
  <si>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</si>
  <si>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</si>
  <si>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</si>
  <si>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</si>
  <si>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</si>
  <si>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</si>
  <si>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</si>
  <si>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</si>
  <si>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</si>
  <si>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</si>
  <si>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</si>
  <si>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</si>
  <si>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</si>
  <si>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</si>
  <si>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</si>
  <si>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</si>
  <si>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</si>
  <si>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</si>
  <si>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</si>
  <si>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</si>
  <si>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</si>
  <si>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</si>
  <si>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</si>
  <si>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</si>
  <si>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</si>
  <si>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</si>
  <si>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</si>
  <si>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</si>
  <si>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</si>
  <si>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</si>
  <si>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</si>
  <si>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</si>
  <si>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</si>
  <si>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</si>
  <si>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</si>
  <si>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</si>
  <si>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</si>
  <si>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</si>
  <si>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</si>
  <si>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</si>
  <si>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</si>
  <si>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</si>
  <si>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</si>
  <si>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</si>
  <si>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</si>
  <si>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</si>
  <si>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</si>
  <si>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</si>
  <si>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</si>
  <si>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</si>
  <si>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</si>
  <si>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</si>
  <si>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</si>
  <si>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</si>
  <si>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</si>
  <si>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</si>
  <si>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</si>
  <si>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</si>
  <si>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</si>
  <si>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</si>
  <si>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</si>
  <si>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</si>
  <si>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</si>
  <si>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</si>
  <si>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</si>
  <si>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</si>
  <si>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</si>
  <si>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</si>
  <si>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</si>
  <si>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</si>
  <si>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</si>
  <si>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</si>
  <si>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</si>
  <si>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</si>
  <si>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</si>
  <si>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</si>
  <si>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</si>
  <si>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</si>
  <si>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</si>
  <si>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</si>
  <si>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</si>
  <si>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</si>
  <si>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</si>
  <si>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</si>
  <si>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</si>
  <si>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</si>
  <si>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</si>
  <si>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</si>
  <si>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</si>
  <si>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</si>
  <si>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</si>
  <si>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</si>
  <si>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</si>
  <si>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</si>
  <si>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</si>
  <si>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</si>
  <si>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</si>
  <si>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</si>
  <si>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</si>
  <si>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</si>
  <si>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</si>
  <si>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</si>
  <si>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</si>
  <si>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</si>
  <si>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</si>
  <si>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</si>
  <si>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</si>
  <si>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</si>
  <si>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</si>
  <si>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</si>
  <si>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</si>
  <si>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</si>
  <si>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</si>
  <si>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</si>
  <si>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</si>
  <si>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</si>
  <si>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</si>
  <si>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</si>
  <si>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</si>
  <si>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</si>
  <si>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</si>
  <si>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</si>
  <si>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</si>
  <si>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</si>
  <si>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</si>
  <si>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</si>
  <si>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</si>
  <si>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</si>
  <si>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</si>
  <si>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</si>
  <si>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</si>
  <si>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</si>
  <si>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</si>
  <si>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</si>
  <si>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</si>
  <si>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</si>
  <si>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</si>
  <si>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</si>
  <si>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</si>
  <si>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</si>
  <si>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</si>
  <si>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</si>
  <si>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</si>
  <si>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</si>
  <si>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</si>
  <si>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</si>
  <si>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</si>
  <si>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</si>
  <si>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</si>
  <si>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</si>
  <si>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</si>
  <si>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</si>
  <si>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</si>
  <si>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</si>
  <si>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</si>
  <si>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</si>
  <si>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</si>
  <si>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</si>
  <si>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</si>
  <si>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</si>
  <si>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</si>
  <si>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</si>
  <si>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</si>
  <si>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</si>
  <si>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</si>
  <si>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</si>
  <si>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</si>
  <si>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</si>
  <si>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</si>
  <si>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</si>
  <si>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</si>
  <si>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</si>
  <si>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</si>
  <si>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</si>
  <si>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</si>
  <si>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</si>
  <si>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</si>
  <si>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</si>
  <si>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</si>
  <si>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</si>
  <si>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</si>
  <si>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</si>
  <si>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</si>
  <si>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</si>
  <si>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</si>
  <si>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</si>
  <si>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</si>
  <si>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</si>
  <si>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</si>
  <si>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</si>
  <si>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</si>
  <si>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</si>
  <si>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</si>
  <si>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</si>
  <si>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</si>
  <si>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</si>
  <si>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</si>
  <si>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</si>
  <si>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</si>
  <si>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</si>
  <si>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</si>
  <si>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</si>
  <si>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</si>
  <si>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</si>
  <si>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</si>
  <si>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</si>
  <si>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</si>
  <si>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</si>
  <si>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</si>
  <si>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</si>
  <si>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</si>
  <si>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</si>
  <si>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</si>
  <si>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</si>
  <si>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</si>
  <si>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</si>
  <si>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</si>
  <si>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</si>
  <si>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</si>
  <si>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</si>
  <si>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</si>
  <si>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</si>
  <si>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</si>
  <si>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</si>
  <si>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</si>
  <si>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</si>
  <si>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</si>
  <si>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</si>
  <si>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</si>
  <si>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</si>
  <si>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</si>
  <si>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</si>
  <si>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</si>
  <si>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</si>
  <si>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</si>
  <si>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</si>
  <si>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</si>
  <si>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</si>
  <si>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</si>
  <si>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</si>
  <si>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</si>
  <si>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</si>
  <si>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</si>
  <si>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</si>
  <si>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</si>
  <si>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</si>
  <si>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</si>
  <si>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</si>
  <si>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</si>
  <si>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</si>
  <si>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</si>
  <si>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</si>
  <si>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</si>
  <si>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</si>
  <si>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</si>
  <si>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</si>
  <si>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</si>
  <si>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</si>
  <si>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</si>
  <si>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</si>
  <si>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</si>
  <si>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</si>
  <si>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</si>
  <si>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</si>
  <si>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</si>
  <si>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</si>
  <si>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</si>
  <si>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</si>
  <si>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</si>
  <si>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</si>
  <si>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</si>
  <si>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</si>
  <si>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</si>
  <si>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</si>
  <si>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</si>
  <si>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</si>
  <si>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</si>
  <si>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</si>
  <si>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</si>
  <si>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</si>
  <si>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</si>
  <si>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</si>
  <si>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</si>
  <si>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</si>
  <si>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</si>
  <si>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</si>
  <si>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</si>
  <si>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</si>
  <si>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</si>
  <si>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</si>
  <si>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</si>
  <si>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</si>
  <si>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</si>
  <si>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</si>
  <si>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</si>
  <si>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</si>
  <si>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</si>
  <si>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</si>
  <si>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</si>
  <si>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</si>
  <si>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</si>
  <si>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</si>
  <si>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</si>
  <si>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</si>
  <si>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</si>
  <si>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</si>
  <si>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</si>
  <si>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</si>
  <si>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</si>
  <si>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</si>
  <si>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</si>
  <si>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</si>
  <si>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</si>
  <si>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</si>
  <si>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</si>
  <si>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</si>
  <si>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</si>
  <si>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</si>
  <si>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</si>
  <si>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</si>
  <si>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</si>
  <si>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</si>
  <si>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</si>
  <si>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</si>
  <si>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</si>
  <si>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</si>
  <si>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</si>
  <si>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</si>
  <si>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</si>
  <si>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</si>
  <si>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</si>
  <si>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</si>
  <si>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</si>
  <si>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</si>
  <si>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</si>
  <si>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</si>
  <si>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</si>
  <si>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</si>
  <si>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</si>
  <si>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</si>
  <si>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</si>
  <si>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</si>
  <si>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</si>
  <si>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</si>
  <si>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</si>
  <si>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</si>
  <si>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</si>
  <si>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</si>
  <si>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</si>
  <si>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</si>
  <si>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</si>
  <si>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</si>
  <si>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</si>
  <si>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</si>
  <si>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</si>
  <si>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</si>
  <si>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</si>
  <si>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</si>
  <si>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</si>
  <si>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</si>
  <si>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</si>
  <si>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</si>
  <si>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</si>
  <si>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</si>
  <si>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</si>
  <si>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</si>
  <si>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</si>
  <si>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</si>
  <si>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</si>
  <si>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</si>
  <si>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</si>
  <si>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</si>
  <si>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</si>
  <si>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</si>
  <si>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</si>
  <si>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</si>
  <si>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</si>
  <si>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</si>
  <si>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</si>
  <si>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</si>
  <si>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</si>
  <si>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</si>
  <si>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</si>
  <si>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</si>
  <si>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</si>
  <si>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</si>
  <si>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</si>
  <si>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</si>
  <si>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</si>
  <si>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</si>
  <si>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</si>
  <si>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</si>
  <si>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</si>
  <si>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</si>
  <si>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</si>
  <si>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</si>
  <si>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</si>
  <si>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</si>
  <si>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</si>
  <si>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</si>
  <si>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</si>
  <si>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</si>
  <si>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</si>
  <si>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</si>
  <si>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</si>
  <si>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</si>
  <si>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</si>
  <si>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</si>
  <si>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</si>
  <si>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</si>
  <si>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</si>
  <si>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</si>
  <si>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</si>
  <si>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</si>
  <si>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</si>
  <si>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</si>
  <si>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</si>
  <si>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</si>
  <si>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</si>
  <si>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</si>
  <si>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</si>
  <si>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</si>
  <si>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</si>
  <si>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</si>
  <si>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</si>
  <si>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</si>
  <si>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</si>
  <si>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</si>
  <si>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</si>
  <si>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</si>
  <si>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</si>
  <si>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</si>
  <si>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</si>
  <si>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</si>
  <si>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</si>
  <si>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</si>
  <si>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</si>
  <si>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</si>
  <si>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</si>
  <si>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</si>
  <si>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</si>
  <si>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</si>
  <si>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</si>
  <si>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</si>
  <si>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</si>
  <si>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</si>
  <si>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</si>
  <si>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</si>
  <si>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</si>
  <si>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</si>
  <si>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</si>
  <si>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</si>
  <si>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</si>
  <si>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</si>
  <si>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</si>
  <si>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</si>
  <si>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</si>
  <si>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</si>
  <si>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</si>
  <si>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</si>
  <si>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</si>
  <si>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</si>
  <si>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</si>
  <si>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</si>
  <si>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</si>
  <si>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</si>
  <si>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</si>
  <si>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</si>
  <si>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</si>
  <si>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</si>
  <si>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</si>
  <si>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</si>
  <si>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</si>
  <si>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</si>
  <si>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</si>
  <si>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</si>
  <si>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</si>
  <si>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</si>
  <si>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</si>
  <si>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</si>
  <si>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</si>
  <si>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</si>
  <si>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</si>
  <si>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</si>
  <si>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</si>
  <si>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</si>
  <si>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</si>
  <si>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</si>
  <si>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</si>
  <si>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</si>
  <si>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</si>
  <si>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</si>
  <si>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</si>
  <si>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</si>
  <si>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</si>
  <si>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</si>
  <si>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</si>
  <si>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</si>
  <si>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</si>
  <si>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</si>
  <si>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</si>
  <si>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</si>
  <si>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</si>
  <si>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</si>
  <si>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</si>
  <si>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</si>
  <si>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</si>
  <si>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</si>
  <si>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</si>
  <si>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</si>
  <si>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</si>
  <si>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</si>
  <si>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</si>
  <si>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</si>
  <si>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</si>
  <si>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</si>
  <si>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</si>
  <si>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</si>
  <si>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</si>
  <si>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</si>
  <si>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</si>
  <si>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</si>
  <si>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</si>
  <si>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</si>
  <si>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</si>
  <si>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</si>
  <si>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</si>
  <si>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</si>
  <si>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</si>
  <si>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</si>
  <si>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</si>
  <si>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</si>
  <si>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</si>
  <si>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</si>
  <si>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</si>
  <si>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</si>
  <si>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</si>
  <si>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</si>
  <si>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</si>
  <si>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</si>
  <si>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</si>
  <si>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</si>
  <si>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</si>
  <si>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</si>
  <si>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</si>
  <si>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</si>
  <si>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</si>
  <si>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</si>
  <si>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</si>
  <si>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</si>
  <si>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</si>
  <si>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</si>
  <si>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</si>
  <si>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</si>
  <si>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</si>
  <si>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</si>
  <si>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</si>
  <si>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</si>
  <si>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</si>
  <si>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</si>
  <si>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</si>
  <si>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</si>
  <si>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</si>
  <si>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</si>
  <si>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</si>
  <si>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</si>
  <si>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</si>
  <si>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</si>
  <si>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</si>
  <si>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</si>
  <si>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</si>
  <si>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</si>
  <si>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</si>
  <si>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</si>
  <si>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</si>
  <si>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</si>
  <si>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</si>
  <si>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</si>
  <si>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</si>
  <si>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</si>
  <si>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</si>
  <si>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</si>
  <si>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</si>
  <si>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</si>
  <si>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</si>
  <si>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</si>
  <si>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</si>
  <si>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</si>
  <si>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</si>
  <si>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</si>
  <si>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</si>
  <si>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</si>
  <si>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</si>
  <si>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</si>
  <si>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</si>
  <si>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</si>
  <si>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</si>
  <si>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</si>
  <si>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</si>
  <si>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</si>
  <si>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</si>
  <si>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</si>
  <si>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</si>
  <si>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</si>
  <si>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</si>
  <si>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</si>
  <si>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</si>
  <si>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</si>
  <si>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</si>
  <si>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</si>
  <si>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</si>
  <si>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</si>
  <si>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</si>
  <si>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</si>
  <si>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</si>
  <si>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</si>
  <si>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</si>
  <si>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</si>
  <si>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</si>
  <si>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</si>
  <si>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</si>
  <si>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</si>
  <si>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</si>
  <si>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</si>
  <si>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</si>
  <si>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</si>
  <si>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</si>
  <si>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</si>
  <si>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</si>
  <si>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</si>
  <si>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</si>
  <si>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</si>
  <si>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</si>
  <si>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</si>
  <si>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</si>
  <si>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</si>
  <si>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</si>
  <si>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</si>
  <si>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</si>
  <si>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</si>
  <si>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</si>
  <si>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</si>
  <si>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</si>
  <si>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</si>
  <si>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</si>
  <si>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</si>
  <si>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</si>
  <si>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</si>
  <si>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</si>
  <si>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</si>
  <si>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</si>
  <si>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</si>
  <si>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</si>
  <si>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</si>
  <si>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</si>
  <si>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</si>
  <si>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</si>
  <si>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</si>
  <si>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</si>
  <si>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</si>
  <si>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</si>
  <si>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</si>
  <si>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</si>
  <si>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</si>
  <si>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</si>
  <si>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</si>
  <si>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</si>
  <si>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</si>
  <si>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</si>
  <si>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</si>
  <si>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</si>
  <si>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</si>
  <si>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</si>
  <si>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</si>
  <si>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</si>
  <si>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</si>
  <si>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</si>
  <si>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</si>
  <si>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</si>
  <si>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</si>
  <si>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</si>
  <si>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</si>
  <si>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</si>
  <si>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</si>
  <si>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</si>
  <si>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</si>
  <si>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</si>
  <si>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</si>
  <si>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</si>
  <si>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</si>
  <si>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</si>
  <si>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</si>
  <si>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</si>
  <si>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</si>
  <si>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</si>
  <si>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</si>
  <si>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</si>
  <si>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</si>
  <si>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</si>
  <si>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</si>
  <si>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</si>
  <si>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</si>
  <si>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</si>
  <si>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</si>
  <si>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</si>
  <si>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</si>
  <si>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</si>
  <si>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</si>
  <si>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</si>
  <si>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</si>
  <si>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</si>
  <si>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</si>
  <si>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</si>
  <si>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</si>
  <si>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</si>
  <si>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</si>
  <si>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</si>
  <si>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</si>
  <si>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</si>
  <si>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</si>
  <si>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</si>
  <si>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</si>
  <si>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</si>
  <si>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</si>
  <si>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</si>
  <si>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</si>
  <si>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</si>
  <si>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</si>
  <si>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</si>
  <si>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</si>
  <si>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</si>
  <si>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</si>
  <si>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</si>
  <si>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</si>
  <si>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</si>
  <si>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</si>
  <si>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</si>
  <si>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</si>
  <si>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</si>
  <si>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</si>
  <si>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</si>
  <si>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</si>
  <si>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</si>
  <si>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</si>
  <si>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</si>
  <si>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</si>
  <si>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</si>
  <si>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</si>
  <si>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</si>
  <si>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</si>
  <si>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</si>
  <si>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</si>
  <si>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</si>
  <si>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</si>
  <si>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</si>
  <si>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</si>
  <si>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</si>
  <si>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</si>
  <si>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</si>
  <si>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</si>
  <si>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</si>
  <si>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</si>
  <si>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</si>
  <si>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</si>
  <si>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</si>
  <si>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</si>
  <si>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</si>
  <si>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</si>
  <si>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</si>
  <si>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</si>
  <si>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</si>
  <si>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</si>
  <si>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</si>
  <si>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</si>
  <si>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</si>
  <si>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</si>
  <si>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</si>
  <si>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</si>
  <si>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</si>
  <si>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</si>
  <si>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</si>
  <si>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</si>
  <si>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</si>
  <si>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</si>
  <si>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</si>
  <si>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</si>
  <si>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</si>
  <si>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</si>
  <si>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</si>
  <si>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</si>
  <si>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</si>
  <si>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</si>
  <si>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</si>
  <si>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</si>
  <si>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</si>
  <si>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</si>
  <si>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</si>
  <si>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</si>
  <si>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</si>
  <si>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</si>
  <si>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</si>
  <si>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</si>
  <si>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</si>
  <si>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</si>
  <si>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</si>
  <si>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</si>
  <si>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</si>
  <si>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</si>
  <si>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</si>
  <si>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</si>
  <si>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</si>
  <si>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</si>
  <si>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</si>
  <si>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</si>
  <si>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</si>
  <si>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</si>
  <si>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</si>
  <si>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</si>
  <si>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</si>
  <si>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</si>
  <si>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</si>
  <si>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</si>
  <si>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</si>
  <si>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</si>
  <si>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</si>
  <si>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</si>
  <si>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</si>
  <si>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</si>
  <si>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</si>
  <si>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</si>
  <si>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</si>
  <si>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</si>
  <si>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</si>
  <si>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</si>
  <si>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</si>
  <si>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</si>
  <si>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</si>
  <si>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</si>
  <si>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</si>
  <si>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</si>
  <si>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</si>
  <si>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</si>
  <si>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</si>
  <si>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</si>
  <si>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</si>
  <si>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</si>
  <si>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</si>
  <si>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</si>
  <si>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</si>
  <si>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</si>
  <si>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</si>
  <si>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</si>
  <si>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</si>
  <si>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</si>
  <si>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</si>
  <si>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</si>
  <si>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</si>
  <si>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</si>
  <si>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</si>
  <si>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</si>
  <si>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</si>
  <si>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</si>
  <si>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</si>
  <si>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</si>
  <si>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</si>
  <si>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</si>
  <si>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</si>
  <si>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</si>
  <si>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</si>
  <si>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</si>
  <si>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</si>
  <si>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</si>
  <si>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</si>
  <si>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</si>
  <si>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</si>
  <si>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</si>
  <si>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</si>
  <si>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</si>
  <si>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</si>
  <si>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</si>
  <si>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</si>
  <si>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</si>
  <si>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</si>
  <si>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</si>
  <si>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</si>
  <si>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CHAMPAIGN</t>
  </si>
  <si>
    <t>PO BOX 99</t>
  </si>
  <si>
    <t>THOMASBORO</t>
  </si>
  <si>
    <t>Bonnie McArthuer</t>
  </si>
  <si>
    <t>bmcarthur@tgs130.org</t>
  </si>
  <si>
    <t>217-643-3275</t>
  </si>
  <si>
    <t>217-643-2022</t>
  </si>
  <si>
    <t>Working Cash Bonds, Series 2015</t>
  </si>
  <si>
    <t>No applicable contracts paid in the current year</t>
  </si>
  <si>
    <t>Rural Champaign County Special Education Cooperative</t>
  </si>
  <si>
    <t>Page 11 - Acct 1999 - Other Local Revenues</t>
  </si>
  <si>
    <t>Col 10 - Educational</t>
  </si>
  <si>
    <t>Refunds &amp; Reimbursements - $18,775</t>
  </si>
  <si>
    <t>Page 15 - Acct 2190 - Other Support Services - Pupils</t>
  </si>
  <si>
    <t>Behavioral Specialist Salary - $37,677</t>
  </si>
  <si>
    <t>Employee Benefits - $3,150</t>
  </si>
  <si>
    <t>Other Support Services - $4,154</t>
  </si>
  <si>
    <t>Page 19 - Acct 2190 - Other Support Services - Pupils</t>
  </si>
  <si>
    <t>Behavioral Specialist Employee Benefits - $4,925</t>
  </si>
  <si>
    <t>AUDITCHECK Tab</t>
  </si>
  <si>
    <t>#15 - Contracts Paid Error</t>
  </si>
  <si>
    <t>Russell Leigh &amp; Associates LLC</t>
  </si>
  <si>
    <t xml:space="preserve">   Thomasboro CCSD 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</si>
</sst>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9010130004</v>
      </c>
      <c r="B13" s="2087"/>
      <c r="C13" s="2087"/>
      <c r="D13" s="2087"/>
      <c r="E13" s="2087"/>
      <c r="F13" s="2087"/>
      <c r="G13" s="2087"/>
      <c r="H13" s="2088"/>
      <c r="I13" s="31"/>
      <c r="J13" s="30"/>
      <c r="K13" s="28"/>
      <c r="L13" s="30"/>
      <c r="M13" s="30"/>
      <c r="N13" s="30"/>
      <c r="O13" s="30"/>
      <c r="P13" s="30"/>
      <c r="Q13" s="30"/>
      <c r="R13" s="30"/>
      <c r="S13" s="30"/>
      <c r="T13" s="2091" t="s">
        <v>2052</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2060</v>
      </c>
      <c r="B15" s="2089"/>
      <c r="C15" s="2089"/>
      <c r="D15" s="2089"/>
      <c r="E15" s="2089"/>
      <c r="F15" s="2089"/>
      <c r="G15" s="2089"/>
      <c r="H15" s="2090"/>
      <c r="T15" s="2052" t="s">
        <v>2053</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2082</v>
      </c>
      <c r="B17" s="2114"/>
      <c r="C17" s="2114"/>
      <c r="D17" s="2114"/>
      <c r="E17" s="2114"/>
      <c r="F17" s="2114"/>
      <c r="G17" s="2114"/>
      <c r="H17" s="2115"/>
      <c r="T17" s="2101" t="s">
        <v>2054</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2061</v>
      </c>
      <c r="B19" s="2085"/>
      <c r="C19" s="2085"/>
      <c r="D19" s="2085"/>
      <c r="E19" s="2085"/>
      <c r="F19" s="2085"/>
      <c r="G19" s="2085"/>
      <c r="H19" s="2083"/>
      <c r="I19" s="30"/>
      <c r="J19" s="96"/>
      <c r="K19" s="40"/>
      <c r="L19" s="38"/>
      <c r="M19" s="109" t="s">
        <v>312</v>
      </c>
      <c r="P19" s="27"/>
      <c r="Q19" s="27"/>
      <c r="R19" s="27"/>
      <c r="S19" s="31"/>
      <c r="T19" s="2084" t="s">
        <v>2055</v>
      </c>
      <c r="U19" s="2082"/>
      <c r="V19" s="2082"/>
      <c r="W19" s="2083"/>
      <c r="X19" s="2099" t="s">
        <v>2056</v>
      </c>
      <c r="Y19" s="2100"/>
      <c r="Z19" s="2097">
        <v>60942</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2062</v>
      </c>
      <c r="B21" s="2082"/>
      <c r="C21" s="2082"/>
      <c r="D21" s="2082"/>
      <c r="E21" s="2082"/>
      <c r="F21" s="2082"/>
      <c r="G21" s="2082"/>
      <c r="H21" s="2083"/>
      <c r="I21" s="2107" t="s">
        <v>673</v>
      </c>
      <c r="J21" s="2070"/>
      <c r="K21" s="2070"/>
      <c r="L21" s="2070"/>
      <c r="M21" s="2070"/>
      <c r="N21" s="2070"/>
      <c r="O21" s="2070"/>
      <c r="P21" s="2070"/>
      <c r="Q21" s="2070"/>
      <c r="R21" s="2070"/>
      <c r="S21" s="2071"/>
      <c r="T21" s="2049" t="s">
        <v>2057</v>
      </c>
      <c r="U21" s="2050"/>
      <c r="V21" s="2050"/>
      <c r="W21" s="2050"/>
      <c r="X21" s="2063" t="s">
        <v>2058</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v>65.018319000000005</v>
      </c>
      <c r="U23" s="2045"/>
      <c r="V23" s="2045"/>
      <c r="W23" s="2045"/>
      <c r="X23" s="2060">
        <v>44469</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61878</v>
      </c>
      <c r="B25" s="2082"/>
      <c r="C25" s="2082"/>
      <c r="D25" s="2082"/>
      <c r="E25" s="2082"/>
      <c r="F25" s="2082"/>
      <c r="G25" s="2082"/>
      <c r="H25" s="2083"/>
      <c r="I25" s="110"/>
      <c r="J25" s="2148"/>
      <c r="K25" s="2148"/>
      <c r="L25" s="2148"/>
      <c r="M25" s="2148"/>
      <c r="N25" s="2148"/>
      <c r="O25" s="2148"/>
      <c r="P25" s="2148"/>
      <c r="Q25" s="2148"/>
      <c r="R25" s="2148"/>
      <c r="S25" s="2149"/>
      <c r="T25" s="2041" t="s">
        <v>2059</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2063</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2064</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2065</v>
      </c>
      <c r="B42" s="2131"/>
      <c r="C42" s="2132"/>
      <c r="D42" s="2145" t="s">
        <v>2066</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456361</v>
      </c>
      <c r="C4" s="1722">
        <v>41004</v>
      </c>
      <c r="D4" s="1723">
        <f>B4-C4</f>
        <v>415357</v>
      </c>
      <c r="E4" s="1722">
        <v>533818</v>
      </c>
      <c r="F4" s="1723">
        <f>E4-C4</f>
        <v>492814</v>
      </c>
    </row>
    <row r="5" spans="1:8" ht="13.7" customHeight="1" x14ac:dyDescent="0.2">
      <c r="A5" s="579" t="s">
        <v>865</v>
      </c>
      <c r="B5" s="1724">
        <f>'Revenues 9-14'!D5</f>
        <v>55430</v>
      </c>
      <c r="C5" s="1664">
        <v>5088</v>
      </c>
      <c r="D5" s="1725">
        <f t="shared" ref="D5:D18" si="0">B5-C5</f>
        <v>50342</v>
      </c>
      <c r="E5" s="1664">
        <v>66239</v>
      </c>
      <c r="F5" s="1725">
        <f>E5-C5</f>
        <v>61151</v>
      </c>
    </row>
    <row r="6" spans="1:8" ht="13.7" customHeight="1" x14ac:dyDescent="0.2">
      <c r="A6" s="579" t="s">
        <v>408</v>
      </c>
      <c r="B6" s="1724">
        <f>'Revenues 9-14'!E5</f>
        <v>82285</v>
      </c>
      <c r="C6" s="1664">
        <v>7154</v>
      </c>
      <c r="D6" s="1725">
        <f t="shared" si="0"/>
        <v>75131</v>
      </c>
      <c r="E6" s="1664">
        <v>93136</v>
      </c>
      <c r="F6" s="1725">
        <f t="shared" ref="F6:F18" si="1">E6-C6</f>
        <v>85982</v>
      </c>
    </row>
    <row r="7" spans="1:8" ht="13.7" customHeight="1" x14ac:dyDescent="0.2">
      <c r="A7" s="579" t="s">
        <v>154</v>
      </c>
      <c r="B7" s="1724">
        <f>'Revenues 9-14'!F5</f>
        <v>26669</v>
      </c>
      <c r="C7" s="1664">
        <v>2512</v>
      </c>
      <c r="D7" s="1725">
        <f t="shared" si="0"/>
        <v>24157</v>
      </c>
      <c r="E7" s="1664">
        <v>32703</v>
      </c>
      <c r="F7" s="1725">
        <f t="shared" si="1"/>
        <v>30191</v>
      </c>
    </row>
    <row r="8" spans="1:8" ht="13.7" customHeight="1" x14ac:dyDescent="0.2">
      <c r="A8" s="579" t="s">
        <v>1169</v>
      </c>
      <c r="B8" s="1724">
        <f>'Revenues 9-14'!G5</f>
        <v>14253</v>
      </c>
      <c r="C8" s="1664">
        <v>1673</v>
      </c>
      <c r="D8" s="1725">
        <f t="shared" si="0"/>
        <v>12580</v>
      </c>
      <c r="E8" s="1664">
        <v>21783</v>
      </c>
      <c r="F8" s="1725">
        <f t="shared" si="1"/>
        <v>20110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10948</v>
      </c>
      <c r="C10" s="1664">
        <v>963</v>
      </c>
      <c r="D10" s="1725">
        <f t="shared" si="0"/>
        <v>9985</v>
      </c>
      <c r="E10" s="1664">
        <v>12529</v>
      </c>
      <c r="F10" s="1725">
        <f t="shared" si="1"/>
        <v>11566</v>
      </c>
    </row>
    <row r="11" spans="1:8" x14ac:dyDescent="0.2">
      <c r="A11" s="579" t="s">
        <v>406</v>
      </c>
      <c r="B11" s="1724">
        <f>'Revenues 9-14'!J5</f>
        <v>35276</v>
      </c>
      <c r="C11" s="1664">
        <v>2660</v>
      </c>
      <c r="D11" s="1725">
        <f t="shared" si="0"/>
        <v>32616</v>
      </c>
      <c r="E11" s="1664">
        <v>34628</v>
      </c>
      <c r="F11" s="1725">
        <f t="shared" si="1"/>
        <v>31968</v>
      </c>
    </row>
    <row r="12" spans="1:8" ht="13.7" customHeight="1" x14ac:dyDescent="0.2">
      <c r="A12" s="579" t="s">
        <v>156</v>
      </c>
      <c r="B12" s="1724">
        <f>'Revenues 9-14'!K5</f>
        <v>24</v>
      </c>
      <c r="C12" s="1664">
        <v>2</v>
      </c>
      <c r="D12" s="1725">
        <f t="shared" si="0"/>
        <v>22</v>
      </c>
      <c r="E12" s="1664">
        <v>29</v>
      </c>
      <c r="F12" s="1725">
        <f t="shared" si="1"/>
        <v>27</v>
      </c>
    </row>
    <row r="13" spans="1:8" ht="13.7" customHeight="1" x14ac:dyDescent="0.2">
      <c r="A13" s="579" t="s">
        <v>930</v>
      </c>
      <c r="B13" s="1724">
        <f>SUM('Revenues 9-14'!C6:D6)</f>
        <v>24</v>
      </c>
      <c r="C13" s="1664">
        <v>2</v>
      </c>
      <c r="D13" s="1725">
        <f t="shared" si="0"/>
        <v>22</v>
      </c>
      <c r="E13" s="1664">
        <v>29</v>
      </c>
      <c r="F13" s="1725">
        <f t="shared" si="1"/>
        <v>27</v>
      </c>
    </row>
    <row r="14" spans="1:8" ht="13.7" customHeight="1" x14ac:dyDescent="0.2">
      <c r="A14" s="579" t="s">
        <v>407</v>
      </c>
      <c r="B14" s="1724">
        <f>SUM('Revenues 9-14'!C7:D7,'Revenues 9-14'!F7:H7)</f>
        <v>4431</v>
      </c>
      <c r="C14" s="1664">
        <v>420</v>
      </c>
      <c r="D14" s="1725">
        <f t="shared" si="0"/>
        <v>4011</v>
      </c>
      <c r="E14" s="1664">
        <v>5460</v>
      </c>
      <c r="F14" s="1725">
        <f t="shared" si="1"/>
        <v>5040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15970</v>
      </c>
      <c r="C16" s="1664">
        <v>1406</v>
      </c>
      <c r="D16" s="1725">
        <f t="shared" si="0"/>
        <v>14564</v>
      </c>
      <c r="E16" s="1664">
        <v>18305</v>
      </c>
      <c r="F16" s="1725">
        <f t="shared" si="1"/>
        <v>16899</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701671</v>
      </c>
      <c r="C19" s="1726">
        <f>SUM(C4:C18)</f>
        <v>62884</v>
      </c>
      <c r="D19" s="1726">
        <f>SUM(D4:D18)</f>
        <v>638787</v>
      </c>
      <c r="E19" s="1726">
        <f>SUM(E4:E18)</f>
        <v>818659</v>
      </c>
      <c r="F19" s="1726">
        <f>SUM(F4:F18)</f>
        <v>755775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42312</v>
      </c>
      <c r="C31" s="1734">
        <v>735000</v>
      </c>
      <c r="D31" s="1735">
        <v>1</v>
      </c>
      <c r="E31" s="1734">
        <v>585000</v>
      </c>
      <c r="F31" s="1734"/>
      <c r="G31" s="1734"/>
      <c r="H31" s="1734">
        <v>59000</v>
      </c>
      <c r="I31" s="1736">
        <f>((E31+F31)-H31)+G31</f>
        <v>526000</v>
      </c>
      <c r="J31" s="1734">
        <v>511815</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735000</v>
      </c>
      <c r="D49" s="1742"/>
      <c r="E49" s="1736">
        <f t="shared" ref="E49:J49" si="2">SUM(E31:E48)</f>
        <v>585000</v>
      </c>
      <c r="F49" s="1736">
        <f t="shared" si="2"/>
        <v>0</v>
      </c>
      <c r="G49" s="1736">
        <f t="shared" si="2"/>
        <v>0</v>
      </c>
      <c r="H49" s="1736">
        <f t="shared" si="2"/>
        <v>59000</v>
      </c>
      <c r="I49" s="1736">
        <f t="shared" si="2"/>
        <v>526000</v>
      </c>
      <c r="J49" s="1736">
        <f t="shared" si="2"/>
        <v>511815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v>290566</v>
      </c>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4431</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122405</v>
      </c>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4431</v>
      </c>
      <c r="I12" s="1755">
        <f>SUM(I5:I11)</f>
        <v>0</v>
      </c>
      <c r="J12" s="1755">
        <f>SUM(J5:J11)</f>
        <v>122405</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4431</v>
      </c>
      <c r="I14" s="1749"/>
      <c r="J14" s="1751"/>
      <c r="K14" s="1745"/>
    </row>
    <row r="15" spans="1:11" x14ac:dyDescent="0.2">
      <c r="A15" s="2319" t="s">
        <v>4</v>
      </c>
      <c r="B15" s="2319"/>
      <c r="C15" s="2319"/>
      <c r="D15" s="2319"/>
      <c r="E15" s="2349"/>
      <c r="F15" s="635" t="s">
        <v>850</v>
      </c>
      <c r="G15" s="1749"/>
      <c r="H15" s="1744"/>
      <c r="I15" s="1744"/>
      <c r="J15" s="1745">
        <v>59818</v>
      </c>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4431</v>
      </c>
      <c r="I23" s="1755">
        <f>SUM(I14:I16,I21,I22)</f>
        <v>0</v>
      </c>
      <c r="J23" s="1755">
        <f>SUM(J14:J16,J21,J22)</f>
        <v>59818</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353153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353153</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2" sqref="L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5000</v>
      </c>
      <c r="D5" s="1770"/>
      <c r="E5" s="1770"/>
      <c r="F5" s="1765">
        <f>(C5+D5)-E5</f>
        <v>5000</v>
      </c>
      <c r="G5" s="676"/>
      <c r="H5" s="680"/>
      <c r="I5" s="680"/>
      <c r="J5" s="680"/>
      <c r="K5" s="637"/>
      <c r="L5" s="1442">
        <f>F5-K5</f>
        <v>5000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890563</v>
      </c>
      <c r="D8" s="1771"/>
      <c r="E8" s="1771"/>
      <c r="F8" s="1765">
        <f>(C8+D8)-E8</f>
        <v>890563</v>
      </c>
      <c r="G8" s="681">
        <v>50</v>
      </c>
      <c r="H8" s="619">
        <v>798464</v>
      </c>
      <c r="I8" s="619">
        <v>17811</v>
      </c>
      <c r="J8" s="619"/>
      <c r="K8" s="1442">
        <f>(H8+I8)-J8</f>
        <v>816275</v>
      </c>
      <c r="L8" s="1442">
        <f>F8-K8</f>
        <v>74288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1679652</v>
      </c>
      <c r="D10" s="1772">
        <v>59818</v>
      </c>
      <c r="E10" s="1772"/>
      <c r="F10" s="1773">
        <f>(C10+D10)-E10</f>
        <v>1739470</v>
      </c>
      <c r="G10" s="681">
        <v>20</v>
      </c>
      <c r="H10" s="683">
        <v>1102034</v>
      </c>
      <c r="I10" s="683">
        <v>68319</v>
      </c>
      <c r="J10" s="683"/>
      <c r="K10" s="1442">
        <f>(H10+I10)-J10</f>
        <v>1170353</v>
      </c>
      <c r="L10" s="1442">
        <f>F10-K10</f>
        <v>569117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1101880</v>
      </c>
      <c r="D12" s="1771"/>
      <c r="E12" s="1771"/>
      <c r="F12" s="1765">
        <f>(C12+D12)-E12</f>
        <v>1101880</v>
      </c>
      <c r="G12" s="681">
        <v>10</v>
      </c>
      <c r="H12" s="619">
        <v>1010019</v>
      </c>
      <c r="I12" s="619">
        <v>20638</v>
      </c>
      <c r="J12" s="619"/>
      <c r="K12" s="1442">
        <f>(H12+I12)-J12</f>
        <v>1030657</v>
      </c>
      <c r="L12" s="1442">
        <f>F12-K12</f>
        <v>71223</v>
      </c>
    </row>
    <row r="13" spans="1:14" ht="14.25" thickTop="1" thickBot="1" x14ac:dyDescent="0.25">
      <c r="A13" s="684" t="s">
        <v>1112</v>
      </c>
      <c r="B13" s="679">
        <v>252</v>
      </c>
      <c r="C13" s="1771">
        <v>332662</v>
      </c>
      <c r="D13" s="1771"/>
      <c r="E13" s="1771"/>
      <c r="F13" s="1765">
        <f>(C13+D13)-E13</f>
        <v>332662</v>
      </c>
      <c r="G13" s="681">
        <v>5</v>
      </c>
      <c r="H13" s="619">
        <v>332662</v>
      </c>
      <c r="I13" s="619"/>
      <c r="J13" s="619"/>
      <c r="K13" s="1442">
        <f>(H13+I13)-J13</f>
        <v>332662</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4009757</v>
      </c>
      <c r="D16" s="1765">
        <f>SUM(D3,D5:D6,D8:D10,D12:D15)</f>
        <v>59818</v>
      </c>
      <c r="E16" s="1765">
        <f>SUM(E3,E5:E6,E8:E10,E12:E15)</f>
        <v>0</v>
      </c>
      <c r="F16" s="1765">
        <f>SUM(F3,F5:F6,F8:F10,F12:F15)</f>
        <v>4069575</v>
      </c>
      <c r="G16" s="681"/>
      <c r="H16" s="1435">
        <f>SUM(H3,H6,H8:H10,H12:H14,)</f>
        <v>3243179</v>
      </c>
      <c r="I16" s="1435">
        <f>SUM(I3,I6,I8:I10,I12:I14,)</f>
        <v>106768</v>
      </c>
      <c r="J16" s="1435">
        <f>SUM(J3,J6,J8:J10,J12:J14,)</f>
        <v>0</v>
      </c>
      <c r="K16" s="1435">
        <f>(H16+I16)-J16</f>
        <v>3349947</v>
      </c>
      <c r="L16" s="1435">
        <f>F16-K16</f>
        <v>719628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106768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176" sqref="F1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1634237</v>
      </c>
      <c r="G8" s="701"/>
    </row>
    <row r="9" spans="1:9" x14ac:dyDescent="0.2">
      <c r="A9" s="705" t="s">
        <v>457</v>
      </c>
      <c r="B9" s="706" t="s">
        <v>1848</v>
      </c>
      <c r="C9" s="707"/>
      <c r="D9" s="705" t="s">
        <v>498</v>
      </c>
      <c r="E9" s="704"/>
      <c r="F9" s="1775">
        <f>'Expenditures 15-22'!K151</f>
        <v>140290</v>
      </c>
      <c r="G9" s="708"/>
    </row>
    <row r="10" spans="1:9" x14ac:dyDescent="0.2">
      <c r="A10" s="705" t="s">
        <v>496</v>
      </c>
      <c r="B10" s="706" t="s">
        <v>1849</v>
      </c>
      <c r="C10" s="707"/>
      <c r="D10" s="705" t="s">
        <v>498</v>
      </c>
      <c r="E10" s="704"/>
      <c r="F10" s="1775">
        <f>'Expenditures 15-22'!K174</f>
        <v>92213</v>
      </c>
      <c r="G10" s="708"/>
    </row>
    <row r="11" spans="1:9" x14ac:dyDescent="0.2">
      <c r="A11" s="705" t="s">
        <v>458</v>
      </c>
      <c r="B11" s="706" t="s">
        <v>1850</v>
      </c>
      <c r="C11" s="707"/>
      <c r="D11" s="705" t="s">
        <v>498</v>
      </c>
      <c r="E11" s="704"/>
      <c r="F11" s="1775">
        <f>'Expenditures 15-22'!K210</f>
        <v>59793</v>
      </c>
      <c r="G11" s="708"/>
    </row>
    <row r="12" spans="1:9" x14ac:dyDescent="0.2">
      <c r="A12" s="705" t="s">
        <v>459</v>
      </c>
      <c r="B12" s="706" t="s">
        <v>1851</v>
      </c>
      <c r="C12" s="707"/>
      <c r="D12" s="705" t="s">
        <v>498</v>
      </c>
      <c r="E12" s="704"/>
      <c r="F12" s="1775">
        <f>'Expenditures 15-22'!K295</f>
        <v>41180</v>
      </c>
      <c r="G12" s="708"/>
    </row>
    <row r="13" spans="1:9" x14ac:dyDescent="0.2">
      <c r="A13" s="705" t="s">
        <v>106</v>
      </c>
      <c r="B13" s="706" t="s">
        <v>1852</v>
      </c>
      <c r="C13" s="707"/>
      <c r="D13" s="705" t="s">
        <v>498</v>
      </c>
      <c r="E13" s="704"/>
      <c r="F13" s="1775">
        <f>'Expenditures 15-22'!K342</f>
        <v>35336</v>
      </c>
      <c r="G13" s="709"/>
    </row>
    <row r="14" spans="1:9" ht="12" customHeight="1" thickBot="1" x14ac:dyDescent="0.25">
      <c r="A14" s="1443"/>
      <c r="B14" s="1444"/>
      <c r="C14" s="1445"/>
      <c r="D14" s="1446" t="s">
        <v>498</v>
      </c>
      <c r="E14" s="1447" t="s">
        <v>952</v>
      </c>
      <c r="F14" s="1776">
        <f>SUM(F8:F13)</f>
        <v>2003049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35580</v>
      </c>
      <c r="G53" s="701"/>
    </row>
    <row r="54" spans="1:7" x14ac:dyDescent="0.2">
      <c r="A54" s="705" t="s">
        <v>456</v>
      </c>
      <c r="B54" s="705" t="s">
        <v>1459</v>
      </c>
      <c r="C54" s="724" t="s">
        <v>975</v>
      </c>
      <c r="D54" s="720" t="s">
        <v>1086</v>
      </c>
      <c r="E54" s="704"/>
      <c r="F54" s="1782">
        <f>'Expenditures 15-22'!G114</f>
        <v>1171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59000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95751</v>
      </c>
      <c r="G77" s="701"/>
    </row>
    <row r="78" spans="1:9" s="728" customFormat="1" ht="12" customHeight="1" thickTop="1" thickBot="1" x14ac:dyDescent="0.25">
      <c r="A78" s="1450"/>
      <c r="B78" s="1448"/>
      <c r="C78" s="1445"/>
      <c r="D78" s="1449" t="s">
        <v>2012</v>
      </c>
      <c r="E78" s="1447"/>
      <c r="F78" s="1788">
        <f>(F14-F77)</f>
        <v>1907298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154.1</v>
      </c>
      <c r="G79" s="733"/>
      <c r="H79" s="705"/>
      <c r="I79" s="705"/>
    </row>
    <row r="80" spans="1:9" s="728" customFormat="1" ht="12" customHeight="1" thickBot="1" x14ac:dyDescent="0.25">
      <c r="A80" s="1452"/>
      <c r="B80" s="1448"/>
      <c r="C80" s="1445"/>
      <c r="D80" s="1449" t="s">
        <v>2013</v>
      </c>
      <c r="E80" s="1447" t="s">
        <v>952</v>
      </c>
      <c r="F80" s="1790">
        <f>IF(F79&gt;0,F78/F79," Complete Line 79")</f>
        <v>12377.014925373134</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8133</v>
      </c>
      <c r="G95" s="745"/>
    </row>
    <row r="96" spans="1:7" x14ac:dyDescent="0.2">
      <c r="A96" s="741" t="s">
        <v>139</v>
      </c>
      <c r="B96" s="741" t="s">
        <v>174</v>
      </c>
      <c r="C96" s="743">
        <v>1700</v>
      </c>
      <c r="D96" s="751" t="str">
        <f>'Revenues 9-14'!A82</f>
        <v>Total District/School Activity Income</v>
      </c>
      <c r="E96" s="739"/>
      <c r="F96" s="1793">
        <f>SUM('Revenues 9-14'!C82,'Revenues 9-14'!D82)</f>
        <v>4428</v>
      </c>
      <c r="G96" s="745"/>
    </row>
    <row r="97" spans="1:7" x14ac:dyDescent="0.2">
      <c r="A97" s="741" t="s">
        <v>456</v>
      </c>
      <c r="B97" s="741" t="s">
        <v>175</v>
      </c>
      <c r="C97" s="743">
        <f>'Revenues 9-14'!B84</f>
        <v>1811</v>
      </c>
      <c r="D97" s="744" t="str">
        <f>'Revenues 9-14'!A84</f>
        <v>Rentals - Regular Textbooks</v>
      </c>
      <c r="E97" s="739"/>
      <c r="F97" s="1793">
        <f>'Revenues 9-14'!C84</f>
        <v>5100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33882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3174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876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34271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58406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129051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5161</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43484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10964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18130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69411</v>
      </c>
      <c r="G172" s="760"/>
    </row>
    <row r="173" spans="1:7" x14ac:dyDescent="0.2">
      <c r="A173" s="1529" t="s">
        <v>659</v>
      </c>
      <c r="B173" s="1530" t="s">
        <v>1885</v>
      </c>
      <c r="C173" s="1531">
        <v>3300</v>
      </c>
      <c r="D173" s="1532" t="s">
        <v>1888</v>
      </c>
      <c r="E173" s="739"/>
      <c r="F173" s="1794">
        <v>1989</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426460</v>
      </c>
    </row>
    <row r="176" spans="1:7" ht="12" customHeight="1" x14ac:dyDescent="0.2">
      <c r="A176" s="1443"/>
      <c r="B176" s="1453"/>
      <c r="C176" s="1454"/>
      <c r="D176" s="1455" t="s">
        <v>2014</v>
      </c>
      <c r="E176" s="1456"/>
      <c r="F176" s="1793">
        <f>'PCTC-OEPP 27-28'!F78-F175</f>
        <v>1480838</v>
      </c>
    </row>
    <row r="177" spans="1:9" ht="12" customHeight="1" x14ac:dyDescent="0.2">
      <c r="A177" s="1443"/>
      <c r="B177" s="1453"/>
      <c r="C177" s="1454"/>
      <c r="D177" s="1455" t="s">
        <v>1794</v>
      </c>
      <c r="E177" s="1456"/>
      <c r="F177" s="1793">
        <f>'Cap Outlay Deprec 26'!I18</f>
        <v>106768</v>
      </c>
    </row>
    <row r="178" spans="1:9" ht="12" customHeight="1" x14ac:dyDescent="0.2">
      <c r="A178" s="1443"/>
      <c r="B178" s="1453"/>
      <c r="C178" s="1454"/>
      <c r="D178" s="1455" t="s">
        <v>2015</v>
      </c>
      <c r="E178" s="1456"/>
      <c r="F178" s="1793">
        <f>F176+F177</f>
        <v>1587606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154.1</v>
      </c>
      <c r="G179" s="763"/>
      <c r="I179" s="701"/>
    </row>
    <row r="180" spans="1:9" ht="12" customHeight="1" thickBot="1" x14ac:dyDescent="0.25">
      <c r="A180" s="1443"/>
      <c r="B180" s="1457"/>
      <c r="C180" s="1454"/>
      <c r="D180" s="1455" t="s">
        <v>2017</v>
      </c>
      <c r="E180" s="1456" t="s">
        <v>1528</v>
      </c>
      <c r="F180" s="1798">
        <f>F178/F179</f>
        <v>10302.439974042829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2068</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1011400</v>
      </c>
      <c r="F19" s="1802"/>
      <c r="G19" s="1804">
        <f>'Expenditures 15-22'!K33-SUM('Expenditures 15-22'!G33,'Expenditures 15-22'!I33)+'Expenditures 15-22'!D229</f>
        <v>1011400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142428</v>
      </c>
      <c r="F21" s="1805"/>
      <c r="G21" s="1808">
        <f>'Expenditures 15-22'!K42-SUM('Expenditures 15-22'!G42,'Expenditures 15-22'!I42)+'Expenditures 15-22'!K120-SUM('Expenditures 15-22'!G120,'Expenditures 15-22'!I120)+'Expenditures 15-22'!K180-SUM('Expenditures 15-22'!G180,'Expenditures 15-22'!I180)+'Expenditures 15-22'!D238</f>
        <v>142428</v>
      </c>
      <c r="H21" s="817"/>
      <c r="I21" s="157"/>
    </row>
    <row r="22" spans="1:9" s="542" customFormat="1" ht="12" customHeight="1" x14ac:dyDescent="0.2">
      <c r="A22" s="824" t="s">
        <v>560</v>
      </c>
      <c r="B22" s="825"/>
      <c r="C22" s="823">
        <v>2200</v>
      </c>
      <c r="D22" s="1805"/>
      <c r="E22" s="1807">
        <f>'Expenditures 15-22'!K47-SUM('Expenditures 15-22'!G47,'Expenditures 15-22'!I47)+'Expenditures 15-22'!D243</f>
        <v>55157</v>
      </c>
      <c r="F22" s="1805"/>
      <c r="G22" s="1808">
        <f>'Expenditures 15-22'!K47-SUM('Expenditures 15-22'!G47,'Expenditures 15-22'!I47)+'Expenditures 15-22'!D243</f>
        <v>55157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187814</v>
      </c>
      <c r="F23" s="1805"/>
      <c r="G23" s="1807">
        <f>'Expenditures 15-22'!K53-SUM('Expenditures 15-22'!G53,'Expenditures 15-22'!I53)+'Expenditures 15-22'!D257+'Expenditures 15-22'!K330-SUM('Expenditures 15-22'!G330,'Expenditures 15-22'!I330)</f>
        <v>187814</v>
      </c>
      <c r="H23" s="817"/>
      <c r="I23" s="157"/>
    </row>
    <row r="24" spans="1:9" s="542" customFormat="1" ht="12" customHeight="1" x14ac:dyDescent="0.2">
      <c r="A24" s="824" t="s">
        <v>562</v>
      </c>
      <c r="B24" s="825"/>
      <c r="C24" s="823">
        <v>2400</v>
      </c>
      <c r="D24" s="1805"/>
      <c r="E24" s="1807">
        <f>'Expenditures 15-22'!K57-SUM('Expenditures 15-22'!G57,'Expenditures 15-22'!I57)+'Expenditures 15-22'!D261</f>
        <v>133811</v>
      </c>
      <c r="F24" s="1805"/>
      <c r="G24" s="1808">
        <f>'Expenditures 15-22'!K57-SUM('Expenditures 15-22'!G57,'Expenditures 15-22'!I57)+'Expenditures 15-22'!D261</f>
        <v>133811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60763</v>
      </c>
      <c r="E27" s="1807">
        <f>E8</f>
        <v>0</v>
      </c>
      <c r="F27" s="1807">
        <f>'Expenditures 15-22'!K60-SUM('Expenditures 15-22'!G60,'Expenditures 15-22'!I60)+'Expenditures 15-22'!D264-E8</f>
        <v>60763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145412</v>
      </c>
      <c r="F28" s="1809">
        <f>'Expenditures 15-22'!K61-SUM('Expenditures 15-22'!G61,'Expenditures 15-22'!I61)+'Expenditures 15-22'!K124-SUM('Expenditures 15-22'!G124,'Expenditures 15-22'!I124)+'Expenditures 15-22'!D266-E9</f>
        <v>145412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59793</v>
      </c>
      <c r="F29" s="1805"/>
      <c r="G29" s="1808">
        <f>'Expenditures 15-22'!K62-SUM('Expenditures 15-22'!G62,'Expenditures 15-22'!I62)+'Expenditures 15-22'!K125-SUM('Expenditures 15-22'!G125,'Expenditures 15-22'!I125)+'Expenditures 15-22'!K182-SUM('Expenditures 15-22'!G182,'Expenditures 15-22'!I182)+'Expenditures 15-22'!D267</f>
        <v>59793</v>
      </c>
      <c r="H29" s="815"/>
    </row>
    <row r="30" spans="1:9" ht="12" customHeight="1" x14ac:dyDescent="0.2">
      <c r="A30" s="824" t="s">
        <v>100</v>
      </c>
      <c r="B30" s="827"/>
      <c r="C30" s="823">
        <v>2560</v>
      </c>
      <c r="D30" s="1805"/>
      <c r="E30" s="1807">
        <f>'Expenditures 15-22'!K63-SUM('Expenditures 15-22'!G63,'Expenditures 15-22'!I63)+'Expenditures 15-22'!D268-E10</f>
        <v>77507</v>
      </c>
      <c r="F30" s="1805"/>
      <c r="G30" s="1807">
        <f>'Expenditures 15-22'!K63-SUM('Expenditures 15-22'!G63,'Expenditures 15-22'!I63)+'Expenditures 15-22'!D268-E10</f>
        <v>77507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60763</v>
      </c>
      <c r="E41" s="1809">
        <f>SUM(E19:E40)</f>
        <v>1813322</v>
      </c>
      <c r="F41" s="1809">
        <f>SUM(F19:F39)</f>
        <v>206175</v>
      </c>
      <c r="G41" s="1809">
        <f>SUM(G19:G40)</f>
        <v>1667910</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60763</v>
      </c>
      <c r="F43" s="1458" t="s">
        <v>470</v>
      </c>
      <c r="G43" s="1810">
        <f>F41</f>
        <v>206175</v>
      </c>
    </row>
    <row r="44" spans="1:7" ht="12" customHeight="1" x14ac:dyDescent="0.2">
      <c r="A44" s="817"/>
      <c r="B44" s="157"/>
      <c r="C44" s="831"/>
      <c r="D44" s="1458" t="s">
        <v>471</v>
      </c>
      <c r="E44" s="1810">
        <f>E41</f>
        <v>1813322</v>
      </c>
      <c r="F44" s="1458" t="s">
        <v>471</v>
      </c>
      <c r="G44" s="1810">
        <f>G41</f>
        <v>1667910</v>
      </c>
    </row>
    <row r="45" spans="1:7" ht="12" customHeight="1" x14ac:dyDescent="0.2">
      <c r="A45" s="817"/>
      <c r="B45" s="157"/>
      <c r="C45" s="157"/>
      <c r="D45" s="1459" t="s">
        <v>999</v>
      </c>
      <c r="E45" s="1811">
        <f>(E43/E44)</f>
        <v>3.3509216785546088E-2</v>
      </c>
      <c r="F45" s="1459" t="s">
        <v>999</v>
      </c>
      <c r="G45" s="1811">
        <f>(G43/G44)</f>
        <v>0.12361278486249258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Thomasboro CCSD 130</v>
      </c>
      <c r="D6" s="2404"/>
      <c r="E6" s="2404"/>
      <c r="F6" s="1482"/>
      <c r="G6" s="1507"/>
      <c r="L6" s="1507"/>
      <c r="M6" s="1855"/>
      <c r="N6" s="1855"/>
      <c r="O6" s="1855"/>
    </row>
    <row r="7" spans="1:15" ht="11.25" customHeight="1" thickBot="1" x14ac:dyDescent="0.3">
      <c r="A7" s="1480"/>
      <c r="B7" s="1481"/>
      <c r="C7" s="2405">
        <f>COVER!A13</f>
        <v>9010130004</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2069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0" t="str">
        <f>COVER!A17</f>
        <v xml:space="preserve">   Thomasboro CCSD 130</v>
      </c>
      <c r="K6" s="2420"/>
      <c r="L6" s="2421"/>
      <c r="M6" s="838"/>
      <c r="N6" s="1999"/>
    </row>
    <row r="7" spans="1:14" x14ac:dyDescent="0.2">
      <c r="A7" s="2422" t="s">
        <v>864</v>
      </c>
      <c r="B7" s="2423"/>
      <c r="C7" s="2423"/>
      <c r="D7" s="2423"/>
      <c r="E7" s="2424"/>
      <c r="F7" s="839"/>
      <c r="G7" s="838"/>
      <c r="H7" s="838"/>
      <c r="I7" s="1925" t="s">
        <v>369</v>
      </c>
      <c r="J7" s="2425">
        <f>COVER!A13</f>
        <v>9010130004</v>
      </c>
      <c r="K7" s="2425"/>
      <c r="L7" s="2425"/>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6" t="s">
        <v>478</v>
      </c>
      <c r="B11" s="2427"/>
      <c r="C11" s="2428"/>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133016</v>
      </c>
      <c r="F12" s="1943"/>
      <c r="G12" s="1969">
        <f>G68</f>
        <v>0</v>
      </c>
      <c r="H12" s="1945">
        <f t="shared" ref="H12:H18" si="0">SUM(E12:G12)</f>
        <v>133016</v>
      </c>
      <c r="I12" s="1944">
        <v>134624</v>
      </c>
      <c r="J12" s="1943"/>
      <c r="K12" s="1944"/>
      <c r="L12" s="1945">
        <f t="shared" ref="L12:L18" si="1">SUM(I12:K12)</f>
        <v>134624</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29" t="s">
        <v>7</v>
      </c>
      <c r="C18" s="2430"/>
      <c r="D18" s="2431"/>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133016</v>
      </c>
      <c r="F19" s="1951">
        <f t="shared" si="2"/>
        <v>0</v>
      </c>
      <c r="G19" s="1951">
        <f t="shared" ref="G19" si="3">SUM(G12:G17)-G18</f>
        <v>0</v>
      </c>
      <c r="H19" s="1951">
        <f t="shared" si="2"/>
        <v>133016</v>
      </c>
      <c r="I19" s="1951">
        <f t="shared" si="2"/>
        <v>134624</v>
      </c>
      <c r="J19" s="1951">
        <f t="shared" si="2"/>
        <v>0</v>
      </c>
      <c r="K19" s="1951">
        <f t="shared" si="2"/>
        <v>0</v>
      </c>
      <c r="L19" s="1951">
        <f t="shared" si="2"/>
        <v>134624</v>
      </c>
      <c r="M19" s="838"/>
      <c r="N19" s="1999"/>
    </row>
    <row r="20" spans="1:14" ht="13.5" thickTop="1" x14ac:dyDescent="0.2">
      <c r="A20" s="2004">
        <v>9</v>
      </c>
      <c r="B20" s="2432" t="s">
        <v>2021</v>
      </c>
      <c r="C20" s="2432"/>
      <c r="D20" s="2433"/>
      <c r="E20" s="1952"/>
      <c r="F20" s="1952"/>
      <c r="G20" s="1952"/>
      <c r="H20" s="1952"/>
      <c r="I20" s="1952"/>
      <c r="J20" s="1952"/>
      <c r="K20" s="1952"/>
      <c r="L20" s="1953">
        <f>IF(AND(H19&gt;0,L19&gt;0),(((L19-H19)/H19)),"Enter Budget Data")</f>
        <v>1.2088771275636014E-2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4"/>
      <c r="D27" s="2434"/>
      <c r="E27" s="843"/>
      <c r="F27" s="2435"/>
      <c r="G27" s="2435"/>
      <c r="H27" s="2435"/>
      <c r="I27" s="838"/>
      <c r="J27" s="838"/>
      <c r="K27" s="838"/>
      <c r="L27" s="838"/>
      <c r="M27" s="838"/>
      <c r="N27" s="1999"/>
    </row>
    <row r="28" spans="1:14" x14ac:dyDescent="0.2">
      <c r="A28" s="1998"/>
      <c r="B28" s="2008"/>
      <c r="C28" s="1958" t="s">
        <v>1026</v>
      </c>
      <c r="D28" s="844"/>
      <c r="E28" s="1959"/>
      <c r="F28" s="2436" t="s">
        <v>1492</v>
      </c>
      <c r="G28" s="2436"/>
      <c r="H28" s="2436"/>
      <c r="I28" s="838"/>
      <c r="J28" s="838"/>
      <c r="K28" s="838"/>
      <c r="L28" s="838"/>
      <c r="M28" s="838"/>
      <c r="N28" s="1999"/>
    </row>
    <row r="29" spans="1:14" x14ac:dyDescent="0.2">
      <c r="A29" s="1998"/>
      <c r="B29" s="2008"/>
      <c r="C29" s="2437"/>
      <c r="D29" s="2437"/>
      <c r="E29" s="845"/>
      <c r="F29" s="2437"/>
      <c r="G29" s="2437"/>
      <c r="H29" s="2437"/>
      <c r="I29" s="838"/>
      <c r="J29" s="838"/>
      <c r="K29" s="838"/>
      <c r="L29" s="838"/>
      <c r="M29" s="838"/>
      <c r="N29" s="1999"/>
    </row>
    <row r="30" spans="1:14" x14ac:dyDescent="0.2">
      <c r="A30" s="1998"/>
      <c r="B30" s="2008"/>
      <c r="C30" s="1961" t="s">
        <v>1544</v>
      </c>
      <c r="D30" s="838"/>
      <c r="E30" s="1960"/>
      <c r="F30" s="2419" t="s">
        <v>1493</v>
      </c>
      <c r="G30" s="2419"/>
      <c r="H30" s="2419"/>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0" t="s">
        <v>2024</v>
      </c>
      <c r="D34" s="2441"/>
      <c r="E34" s="2441"/>
      <c r="F34" s="2441"/>
      <c r="G34" s="2441"/>
      <c r="H34" s="2441"/>
      <c r="I34" s="2441"/>
      <c r="J34" s="2441"/>
      <c r="K34" s="2017"/>
      <c r="L34" s="838"/>
      <c r="M34" s="838"/>
      <c r="N34" s="1999"/>
    </row>
    <row r="35" spans="1:14" x14ac:dyDescent="0.2">
      <c r="A35" s="1998"/>
      <c r="B35" s="838"/>
      <c r="C35" s="2441"/>
      <c r="D35" s="2441"/>
      <c r="E35" s="2441"/>
      <c r="F35" s="2441"/>
      <c r="G35" s="2441"/>
      <c r="H35" s="2441"/>
      <c r="I35" s="2441"/>
      <c r="J35" s="244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0" t="s">
        <v>2025</v>
      </c>
      <c r="D37" s="2441"/>
      <c r="E37" s="2441"/>
      <c r="F37" s="2441"/>
      <c r="G37" s="2441"/>
      <c r="H37" s="2441"/>
      <c r="I37" s="2441"/>
      <c r="J37" s="2441"/>
      <c r="K37" s="2017"/>
      <c r="L37" s="2019"/>
      <c r="M37" s="838"/>
      <c r="N37" s="1999"/>
    </row>
    <row r="38" spans="1:14" x14ac:dyDescent="0.2">
      <c r="A38" s="1998"/>
      <c r="B38" s="838"/>
      <c r="C38" s="2441"/>
      <c r="D38" s="2441"/>
      <c r="E38" s="2441"/>
      <c r="F38" s="2441"/>
      <c r="G38" s="2441"/>
      <c r="H38" s="2441"/>
      <c r="I38" s="2441"/>
      <c r="J38" s="244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2" t="s">
        <v>2026</v>
      </c>
      <c r="D40" s="2443"/>
      <c r="E40" s="2443"/>
      <c r="F40" s="2443"/>
      <c r="G40" s="2443"/>
      <c r="H40" s="2443"/>
      <c r="I40" s="2443"/>
      <c r="J40" s="244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0" t="str">
        <f>J6</f>
        <v xml:space="preserve">   Thomasboro CCSD 130</v>
      </c>
      <c r="M52" s="2420"/>
      <c r="N52" s="2450"/>
    </row>
    <row r="53" spans="1:14" x14ac:dyDescent="0.2">
      <c r="A53" s="1983"/>
      <c r="B53" s="1984"/>
      <c r="C53" s="1984"/>
      <c r="D53" s="1984"/>
      <c r="E53" s="1984"/>
      <c r="F53" s="1984"/>
      <c r="G53" s="1984"/>
      <c r="H53" s="1984"/>
      <c r="I53" s="1984"/>
      <c r="J53" s="1984"/>
      <c r="K53" s="1925" t="s">
        <v>369</v>
      </c>
      <c r="L53" s="2425">
        <f>J7</f>
        <v>9010130004</v>
      </c>
      <c r="M53" s="2425"/>
      <c r="N53" s="245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2"/>
      <c r="B55" s="2453"/>
      <c r="C55" s="2453"/>
      <c r="D55" s="1971"/>
      <c r="E55" s="1971"/>
      <c r="F55" s="1971"/>
      <c r="G55" s="2454" t="s">
        <v>2030</v>
      </c>
      <c r="H55" s="2454"/>
      <c r="I55" s="2454"/>
      <c r="J55" s="2454"/>
      <c r="K55" s="2454"/>
      <c r="L55" s="2454"/>
      <c r="M55" s="2454"/>
      <c r="N55" s="2455"/>
    </row>
    <row r="56" spans="1:14" ht="63.75" x14ac:dyDescent="0.2">
      <c r="A56" s="2456" t="s">
        <v>2031</v>
      </c>
      <c r="B56" s="2457"/>
      <c r="C56" s="2458"/>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9" t="s">
        <v>296</v>
      </c>
      <c r="B57" s="2460"/>
      <c r="C57" s="246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8" t="s">
        <v>2041</v>
      </c>
      <c r="B58" s="2439"/>
      <c r="C58" s="2439"/>
      <c r="D58" s="1968">
        <v>2362</v>
      </c>
      <c r="E58" s="1978">
        <f>'Expenditures 15-22'!K320</f>
        <v>12304</v>
      </c>
      <c r="F58" s="1973"/>
      <c r="G58" s="2032"/>
      <c r="H58" s="2033"/>
      <c r="I58" s="2033"/>
      <c r="J58" s="2033"/>
      <c r="K58" s="2033"/>
      <c r="L58" s="2033"/>
      <c r="M58" s="2033">
        <v>12304</v>
      </c>
      <c r="N58" s="1976">
        <f>IF((SUM(G58:M58))=E58,SUM(G58:M58),"Column N does not agree with Column E")</f>
        <v>12304</v>
      </c>
    </row>
    <row r="59" spans="1:14" ht="24.75" customHeight="1" x14ac:dyDescent="0.2">
      <c r="A59" s="2461" t="s">
        <v>297</v>
      </c>
      <c r="B59" s="2462"/>
      <c r="C59" s="2462"/>
      <c r="D59" s="1968">
        <v>2363</v>
      </c>
      <c r="E59" s="1978">
        <f>'Expenditures 15-22'!K321</f>
        <v>78</v>
      </c>
      <c r="F59" s="1973"/>
      <c r="G59" s="2032"/>
      <c r="H59" s="2033"/>
      <c r="I59" s="2033"/>
      <c r="J59" s="2033"/>
      <c r="K59" s="2033"/>
      <c r="L59" s="2033"/>
      <c r="M59" s="2033">
        <v>78</v>
      </c>
      <c r="N59" s="1976">
        <f>IF((SUM(G59:M59))=E59,SUM(G59:M59),"Column N does not agree with Column E")</f>
        <v>78</v>
      </c>
    </row>
    <row r="60" spans="1:14" ht="24" customHeight="1" x14ac:dyDescent="0.2">
      <c r="A60" s="2461" t="s">
        <v>236</v>
      </c>
      <c r="B60" s="2462"/>
      <c r="C60" s="2462"/>
      <c r="D60" s="1968">
        <v>2364</v>
      </c>
      <c r="E60" s="1978">
        <f>'Expenditures 15-22'!K322</f>
        <v>1100</v>
      </c>
      <c r="F60" s="1973"/>
      <c r="G60" s="2032"/>
      <c r="H60" s="2033"/>
      <c r="I60" s="2033"/>
      <c r="J60" s="2033"/>
      <c r="K60" s="2033"/>
      <c r="L60" s="2033"/>
      <c r="M60" s="2033">
        <v>1100</v>
      </c>
      <c r="N60" s="1976">
        <f t="shared" ref="N60:N67" si="4">IF((SUM(G60:M60))=E60,SUM(G60:M60),"Column N does not agree with Column E")</f>
        <v>1100</v>
      </c>
    </row>
    <row r="61" spans="1:14" ht="24.75" customHeight="1" x14ac:dyDescent="0.2">
      <c r="A61" s="2461" t="s">
        <v>697</v>
      </c>
      <c r="B61" s="2462"/>
      <c r="C61" s="2462"/>
      <c r="D61" s="1968">
        <v>2365</v>
      </c>
      <c r="E61" s="1978">
        <f>'Expenditures 15-22'!K323</f>
        <v>994</v>
      </c>
      <c r="F61" s="1973"/>
      <c r="G61" s="2032"/>
      <c r="H61" s="2033"/>
      <c r="I61" s="2033"/>
      <c r="J61" s="2033"/>
      <c r="K61" s="2033"/>
      <c r="L61" s="2033"/>
      <c r="M61" s="2033">
        <v>994</v>
      </c>
      <c r="N61" s="1976">
        <f t="shared" si="4"/>
        <v>994</v>
      </c>
    </row>
    <row r="62" spans="1:14" ht="24" customHeight="1" x14ac:dyDescent="0.2">
      <c r="A62" s="2461" t="s">
        <v>237</v>
      </c>
      <c r="B62" s="2462"/>
      <c r="C62" s="2462"/>
      <c r="D62" s="1968">
        <v>2366</v>
      </c>
      <c r="E62" s="1978">
        <f>'Expenditures 15-22'!K324</f>
        <v>0</v>
      </c>
      <c r="F62" s="1973"/>
      <c r="G62" s="2032"/>
      <c r="H62" s="2033"/>
      <c r="I62" s="2033"/>
      <c r="J62" s="2033"/>
      <c r="K62" s="2033"/>
      <c r="L62" s="2033"/>
      <c r="M62" s="2033"/>
      <c r="N62" s="1976">
        <f t="shared" si="4"/>
        <v>0</v>
      </c>
    </row>
    <row r="63" spans="1:14" ht="24" customHeight="1" x14ac:dyDescent="0.2">
      <c r="A63" s="2438" t="s">
        <v>1022</v>
      </c>
      <c r="B63" s="2439"/>
      <c r="C63" s="2439"/>
      <c r="D63" s="1968">
        <v>2367</v>
      </c>
      <c r="E63" s="1978">
        <f>'Expenditures 15-22'!K325</f>
        <v>1812</v>
      </c>
      <c r="F63" s="1973"/>
      <c r="G63" s="2032"/>
      <c r="H63" s="2033"/>
      <c r="I63" s="2033"/>
      <c r="J63" s="2033"/>
      <c r="K63" s="2033"/>
      <c r="L63" s="2033"/>
      <c r="M63" s="2033">
        <v>1812</v>
      </c>
      <c r="N63" s="1976">
        <f t="shared" si="4"/>
        <v>1812</v>
      </c>
    </row>
    <row r="64" spans="1:14" ht="24" customHeight="1" x14ac:dyDescent="0.2">
      <c r="A64" s="2461" t="s">
        <v>1023</v>
      </c>
      <c r="B64" s="2462"/>
      <c r="C64" s="2462"/>
      <c r="D64" s="1968">
        <v>2368</v>
      </c>
      <c r="E64" s="1978">
        <f>'Expenditures 15-22'!K326</f>
        <v>0</v>
      </c>
      <c r="F64" s="1973"/>
      <c r="G64" s="2032"/>
      <c r="H64" s="2033"/>
      <c r="I64" s="2033"/>
      <c r="J64" s="2033"/>
      <c r="K64" s="2033"/>
      <c r="L64" s="2033"/>
      <c r="M64" s="2033"/>
      <c r="N64" s="1976">
        <f t="shared" si="4"/>
        <v>0</v>
      </c>
    </row>
    <row r="65" spans="1:14" ht="24" customHeight="1" x14ac:dyDescent="0.2">
      <c r="A65" s="2461" t="s">
        <v>965</v>
      </c>
      <c r="B65" s="2462"/>
      <c r="C65" s="2462"/>
      <c r="D65" s="1968">
        <v>2369</v>
      </c>
      <c r="E65" s="1978">
        <f>'Expenditures 15-22'!K327</f>
        <v>3200</v>
      </c>
      <c r="F65" s="1973"/>
      <c r="G65" s="2032"/>
      <c r="H65" s="2033"/>
      <c r="I65" s="2033"/>
      <c r="J65" s="2033"/>
      <c r="K65" s="2033"/>
      <c r="L65" s="2033"/>
      <c r="M65" s="2033">
        <v>3200</v>
      </c>
      <c r="N65" s="1976">
        <f t="shared" si="4"/>
        <v>3200</v>
      </c>
    </row>
    <row r="66" spans="1:14" ht="24" customHeight="1" x14ac:dyDescent="0.2">
      <c r="A66" s="2461" t="s">
        <v>469</v>
      </c>
      <c r="B66" s="2462"/>
      <c r="C66" s="2462"/>
      <c r="D66" s="1968">
        <v>2371</v>
      </c>
      <c r="E66" s="1978">
        <f>'Expenditures 15-22'!K328</f>
        <v>15848</v>
      </c>
      <c r="F66" s="1973"/>
      <c r="G66" s="2032"/>
      <c r="H66" s="2033"/>
      <c r="I66" s="2033"/>
      <c r="J66" s="2033"/>
      <c r="K66" s="2033"/>
      <c r="L66" s="2033"/>
      <c r="M66" s="2033">
        <v>15848</v>
      </c>
      <c r="N66" s="1976">
        <f t="shared" si="4"/>
        <v>15848</v>
      </c>
    </row>
    <row r="67" spans="1:14" ht="24.75" customHeight="1" x14ac:dyDescent="0.2">
      <c r="A67" s="2463" t="s">
        <v>2042</v>
      </c>
      <c r="B67" s="2464"/>
      <c r="C67" s="2464"/>
      <c r="D67" s="1970">
        <v>2372</v>
      </c>
      <c r="E67" s="1979">
        <f>'Expenditures 15-22'!K329</f>
        <v>0</v>
      </c>
      <c r="F67" s="1973"/>
      <c r="G67" s="2034"/>
      <c r="H67" s="2035"/>
      <c r="I67" s="2035"/>
      <c r="J67" s="2035"/>
      <c r="K67" s="2035"/>
      <c r="L67" s="2035"/>
      <c r="M67" s="2035"/>
      <c r="N67" s="1976">
        <f t="shared" si="4"/>
        <v>0</v>
      </c>
    </row>
    <row r="68" spans="1:14" x14ac:dyDescent="0.2">
      <c r="A68" s="2465" t="s">
        <v>1151</v>
      </c>
      <c r="B68" s="2466"/>
      <c r="C68" s="2466"/>
      <c r="D68" s="1971"/>
      <c r="E68" s="1975">
        <f>SUM(E57:E67)</f>
        <v>35336</v>
      </c>
      <c r="F68" s="1974"/>
      <c r="G68" s="1975">
        <f t="shared" ref="G68:N68" si="5">SUM(G57:G67)</f>
        <v>0</v>
      </c>
      <c r="H68" s="1975">
        <f t="shared" si="5"/>
        <v>0</v>
      </c>
      <c r="I68" s="1975">
        <f t="shared" si="5"/>
        <v>0</v>
      </c>
      <c r="J68" s="1975">
        <f t="shared" si="5"/>
        <v>0</v>
      </c>
      <c r="K68" s="1975">
        <f t="shared" si="5"/>
        <v>0</v>
      </c>
      <c r="L68" s="1975">
        <f t="shared" si="5"/>
        <v>0</v>
      </c>
      <c r="M68" s="1975">
        <f t="shared" si="5"/>
        <v>35336</v>
      </c>
      <c r="N68" s="1989">
        <f t="shared" si="5"/>
        <v>35336</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4"/>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2070</v>
      </c>
    </row>
    <row r="6" spans="1:2" x14ac:dyDescent="0.2">
      <c r="A6" s="847"/>
      <c r="B6" s="307" t="s">
        <v>2071</v>
      </c>
    </row>
    <row r="7" spans="1:2" x14ac:dyDescent="0.2">
      <c r="A7" s="847"/>
      <c r="B7" s="307" t="s">
        <v>2072</v>
      </c>
    </row>
    <row r="8" spans="1:2" x14ac:dyDescent="0.2">
      <c r="A8" s="847"/>
    </row>
    <row r="9" spans="1:2" x14ac:dyDescent="0.2">
      <c r="A9" s="847">
        <v>2</v>
      </c>
      <c r="B9" s="307" t="s">
        <v>2073</v>
      </c>
    </row>
    <row r="10" spans="1:2" x14ac:dyDescent="0.2">
      <c r="A10" s="847"/>
      <c r="B10" s="307" t="s">
        <v>2074</v>
      </c>
    </row>
    <row r="11" spans="1:2" x14ac:dyDescent="0.2">
      <c r="A11" s="847"/>
      <c r="B11" s="307" t="s">
        <v>2075</v>
      </c>
    </row>
    <row r="12" spans="1:2" x14ac:dyDescent="0.2">
      <c r="A12" s="847"/>
      <c r="B12" s="307" t="s">
        <v>2076</v>
      </c>
    </row>
    <row r="13" spans="1:2" x14ac:dyDescent="0.2">
      <c r="A13" s="847"/>
    </row>
    <row r="14" spans="1:2" x14ac:dyDescent="0.2">
      <c r="A14" s="847">
        <v>3</v>
      </c>
      <c r="B14" s="307" t="s">
        <v>2077</v>
      </c>
    </row>
    <row r="15" spans="1:2" x14ac:dyDescent="0.2">
      <c r="A15" s="847"/>
      <c r="B15" s="307" t="s">
        <v>2078</v>
      </c>
    </row>
    <row r="16" spans="1:2" x14ac:dyDescent="0.2">
      <c r="A16" s="847"/>
    </row>
    <row r="17" spans="1:2" x14ac:dyDescent="0.2">
      <c r="A17" s="847">
        <v>4</v>
      </c>
      <c r="B17" s="307" t="s">
        <v>2079</v>
      </c>
    </row>
    <row r="18" spans="1:2" x14ac:dyDescent="0.2">
      <c r="A18" s="848"/>
      <c r="B18" s="307" t="s">
        <v>2080</v>
      </c>
    </row>
    <row r="19" spans="1:2" x14ac:dyDescent="0.2">
      <c r="A19" s="848"/>
      <c r="B19" s="307" t="s">
        <v>2068</v>
      </c>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c r="B73" s="253" t="str">
        <f>COVER!A17</f>
        <v xml:space="preserve">   Thomasboro CCSD 130</v>
      </c>
    </row>
    <row r="74" spans="1:2" x14ac:dyDescent="0.2">
      <c r="B74" s="849">
        <f>COVER!A13</f>
        <v>9010130004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22"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1536308</v>
      </c>
      <c r="C8" s="1813">
        <f>'Acct Summary 7-8'!D8</f>
        <v>129430</v>
      </c>
      <c r="D8" s="1813">
        <f>'Acct Summary 7-8'!F8</f>
        <v>70940</v>
      </c>
      <c r="E8" s="1813">
        <f>'Acct Summary 7-8'!I8</f>
        <v>10948</v>
      </c>
      <c r="F8" s="1813">
        <f>SUM(B8:E8)</f>
        <v>1747626</v>
      </c>
    </row>
    <row r="9" spans="1:8" s="858" customFormat="1" ht="14.25" customHeight="1" thickBot="1" x14ac:dyDescent="0.25">
      <c r="A9" s="857" t="s">
        <v>1353</v>
      </c>
      <c r="B9" s="1814">
        <f>'Acct Summary 7-8'!C17</f>
        <v>1634237</v>
      </c>
      <c r="C9" s="1814">
        <f>'Acct Summary 7-8'!D17</f>
        <v>140290</v>
      </c>
      <c r="D9" s="1814">
        <f>'Acct Summary 7-8'!F17</f>
        <v>59793</v>
      </c>
      <c r="E9" s="1813"/>
      <c r="F9" s="1813">
        <f>SUM(B9:E9)</f>
        <v>1834320</v>
      </c>
    </row>
    <row r="10" spans="1:8" s="858" customFormat="1" ht="14.25" thickTop="1" thickBot="1" x14ac:dyDescent="0.25">
      <c r="A10" s="859" t="s">
        <v>1354</v>
      </c>
      <c r="B10" s="1815">
        <f>(B8-B9)</f>
        <v>-97929</v>
      </c>
      <c r="C10" s="1815">
        <f>(C8-C9)</f>
        <v>-10860</v>
      </c>
      <c r="D10" s="1815">
        <f>(D8-D9)</f>
        <v>11147</v>
      </c>
      <c r="E10" s="1814">
        <f>(E8-E9)</f>
        <v>10948</v>
      </c>
      <c r="F10" s="1816">
        <f>SUM(F8-F9)</f>
        <v>-86694</v>
      </c>
    </row>
    <row r="11" spans="1:8" s="858" customFormat="1" ht="14.25" thickTop="1" thickBot="1" x14ac:dyDescent="0.25">
      <c r="A11" s="860" t="s">
        <v>1903</v>
      </c>
      <c r="B11" s="1817">
        <f>'Acct Summary 7-8'!C81</f>
        <v>869818</v>
      </c>
      <c r="C11" s="1817">
        <f>'Acct Summary 7-8'!D81</f>
        <v>203446</v>
      </c>
      <c r="D11" s="1817">
        <f>'Acct Summary 7-8'!F81</f>
        <v>291564</v>
      </c>
      <c r="E11" s="1817">
        <f>'Acct Summary 7-8'!I81</f>
        <v>540285</v>
      </c>
      <c r="F11" s="1818">
        <f>SUM(B11:E11)</f>
        <v>1905113</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9010130004</v>
      </c>
      <c r="E2" s="1542">
        <v>2020</v>
      </c>
      <c r="F2" s="1542">
        <v>1</v>
      </c>
      <c r="G2" s="1899">
        <v>101000300</v>
      </c>
    </row>
    <row r="3" spans="1:7" ht="15" x14ac:dyDescent="0.25">
      <c r="A3" t="s">
        <v>950</v>
      </c>
      <c r="B3" s="135" t="str">
        <f>COVER!A15</f>
        <v>CHAMPAIGN</v>
      </c>
      <c r="E3" s="1830" t="s">
        <v>1971</v>
      </c>
      <c r="F3" s="1830" t="s">
        <v>1970</v>
      </c>
      <c r="G3" s="1899">
        <v>101000400</v>
      </c>
    </row>
    <row r="4" spans="1:7" ht="15" x14ac:dyDescent="0.25">
      <c r="A4" t="s">
        <v>1000</v>
      </c>
      <c r="B4" s="135" t="str">
        <f>COVER!A17</f>
        <v xml:space="preserve">   Thomasboro CCSD 130</v>
      </c>
      <c r="E4" s="1828">
        <v>44119</v>
      </c>
      <c r="F4" s="1829">
        <v>44151</v>
      </c>
      <c r="G4" s="1899">
        <v>101000600</v>
      </c>
    </row>
    <row r="5" spans="1:7" ht="15" x14ac:dyDescent="0.25">
      <c r="A5" t="s">
        <v>699</v>
      </c>
      <c r="B5" s="135" t="str">
        <f>COVER!A38</f>
        <v>Bonnie McArthuer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35004</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869818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869818</v>
      </c>
      <c r="D92" s="2" t="str">
        <f t="shared" si="0"/>
        <v>Error?</v>
      </c>
      <c r="G92" s="1899">
        <v>102640600</v>
      </c>
    </row>
    <row r="93" spans="1:7" ht="15" x14ac:dyDescent="0.25">
      <c r="A93" s="5">
        <v>32</v>
      </c>
      <c r="B93" s="1832">
        <f>'Assets-Liab 5-6'!C41</f>
        <v>869818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203446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203446</v>
      </c>
      <c r="D123" s="2" t="str">
        <f t="shared" si="0"/>
        <v>Error?</v>
      </c>
      <c r="G123" s="1899">
        <v>203000400</v>
      </c>
    </row>
    <row r="124" spans="1:7" ht="15" x14ac:dyDescent="0.25">
      <c r="A124" s="5">
        <v>63</v>
      </c>
      <c r="B124" s="1832">
        <f>'Assets-Liab 5-6'!D41</f>
        <v>203446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14185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11619</v>
      </c>
      <c r="D140" s="2" t="str">
        <f t="shared" si="1"/>
        <v>Error?</v>
      </c>
    </row>
    <row r="141" spans="1:7" x14ac:dyDescent="0.2">
      <c r="A141" s="5">
        <v>80</v>
      </c>
      <c r="B141" s="1832">
        <f>'Assets-Liab 5-6'!E41</f>
        <v>14185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291564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291564</v>
      </c>
      <c r="D170" s="2" t="str">
        <f t="shared" si="1"/>
        <v>Error?</v>
      </c>
    </row>
    <row r="171" spans="1:4" x14ac:dyDescent="0.2">
      <c r="A171" s="5">
        <v>110</v>
      </c>
      <c r="B171" s="1832">
        <f>'Assets-Liab 5-6'!F41</f>
        <v>291564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14100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-13439</v>
      </c>
      <c r="D189" s="2" t="str">
        <f t="shared" si="1"/>
        <v>Error?</v>
      </c>
    </row>
    <row r="190" spans="1:4" x14ac:dyDescent="0.2">
      <c r="A190" s="5">
        <v>129</v>
      </c>
      <c r="B190" s="1832">
        <f>'Assets-Liab 5-6'!G41</f>
        <v>14100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480917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127764</v>
      </c>
      <c r="D212" s="2" t="str">
        <f t="shared" si="2"/>
        <v>Error?</v>
      </c>
    </row>
    <row r="213" spans="1:4" x14ac:dyDescent="0.2">
      <c r="A213" s="12">
        <v>152</v>
      </c>
      <c r="B213" s="1832">
        <f>'Assets-Liab 5-6'!H41</f>
        <v>480917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5000</v>
      </c>
      <c r="D273" s="2" t="str">
        <f t="shared" si="3"/>
        <v>Error?</v>
      </c>
    </row>
    <row r="274" spans="1:4" x14ac:dyDescent="0.2">
      <c r="A274" s="5">
        <v>213</v>
      </c>
      <c r="B274" s="1832">
        <f>'Assets-Liab 5-6'!M17</f>
        <v>2630033</v>
      </c>
      <c r="D274" s="2" t="str">
        <f t="shared" si="3"/>
        <v>Error?</v>
      </c>
    </row>
    <row r="275" spans="1:4" x14ac:dyDescent="0.2">
      <c r="A275" s="5">
        <v>214</v>
      </c>
      <c r="B275" s="1832">
        <f>'Assets-Liab 5-6'!M18</f>
        <v>0</v>
      </c>
      <c r="D275" s="2" t="str">
        <f t="shared" si="3"/>
        <v>Error?</v>
      </c>
    </row>
    <row r="276" spans="1:4" x14ac:dyDescent="0.2">
      <c r="A276" s="5">
        <v>215</v>
      </c>
      <c r="B276" s="1832">
        <f>'Assets-Liab 5-6'!M19</f>
        <v>1434542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4069575</v>
      </c>
      <c r="C279" s="2" t="s">
        <v>569</v>
      </c>
      <c r="D279" s="2" t="str">
        <f t="shared" si="3"/>
        <v>Error?</v>
      </c>
    </row>
    <row r="280" spans="1:4" x14ac:dyDescent="0.2">
      <c r="A280" s="5">
        <v>219</v>
      </c>
      <c r="B280" s="1832">
        <f>'Assets-Liab 5-6'!M40</f>
        <v>4069575</v>
      </c>
      <c r="D280" s="2" t="str">
        <f t="shared" si="3"/>
        <v>Error?</v>
      </c>
    </row>
    <row r="281" spans="1:4" x14ac:dyDescent="0.2">
      <c r="A281" s="5">
        <v>220</v>
      </c>
      <c r="B281" s="1832">
        <f>'Assets-Liab 5-6'!M41</f>
        <v>4069575</v>
      </c>
      <c r="C281" s="2" t="s">
        <v>569</v>
      </c>
      <c r="D281" s="2" t="str">
        <f t="shared" si="3"/>
        <v>Error?</v>
      </c>
    </row>
    <row r="282" spans="1:4" x14ac:dyDescent="0.2">
      <c r="A282" s="5">
        <v>221</v>
      </c>
      <c r="B282" s="1832">
        <f>'Assets-Liab 5-6'!N21</f>
        <v>14185</v>
      </c>
      <c r="D282" s="2" t="str">
        <f t="shared" si="3"/>
        <v>Error?</v>
      </c>
    </row>
    <row r="283" spans="1:4" x14ac:dyDescent="0.2">
      <c r="A283" s="5">
        <v>222</v>
      </c>
      <c r="B283" s="1832">
        <f>'Assets-Liab 5-6'!N22</f>
        <v>511815</v>
      </c>
      <c r="D283" s="2" t="str">
        <f t="shared" si="3"/>
        <v>Error?</v>
      </c>
    </row>
    <row r="284" spans="1:4" x14ac:dyDescent="0.2">
      <c r="A284" s="5">
        <v>223</v>
      </c>
      <c r="B284" s="1832">
        <f>'Assets-Liab 5-6'!N23</f>
        <v>526000</v>
      </c>
      <c r="C284" s="2" t="s">
        <v>569</v>
      </c>
      <c r="D284" s="2" t="str">
        <f t="shared" si="3"/>
        <v>Error?</v>
      </c>
    </row>
    <row r="285" spans="1:4" x14ac:dyDescent="0.2">
      <c r="A285" s="5">
        <v>224</v>
      </c>
      <c r="B285" s="1832">
        <f>'Assets-Liab 5-6'!N36</f>
        <v>526000</v>
      </c>
      <c r="D285" s="2" t="str">
        <f t="shared" si="3"/>
        <v>Error?</v>
      </c>
    </row>
    <row r="286" spans="1:4" x14ac:dyDescent="0.2">
      <c r="A286" s="10">
        <v>225</v>
      </c>
      <c r="B286" s="1832"/>
      <c r="D286" s="2" t="str">
        <f t="shared" si="3"/>
        <v>OK</v>
      </c>
    </row>
    <row r="287" spans="1:4" x14ac:dyDescent="0.2">
      <c r="A287" s="5">
        <v>226</v>
      </c>
      <c r="B287" s="1832">
        <f>'Assets-Liab 5-6'!N37</f>
        <v>526000</v>
      </c>
      <c r="C287" s="2" t="s">
        <v>569</v>
      </c>
      <c r="D287" s="2" t="str">
        <f t="shared" si="3"/>
        <v>Error?</v>
      </c>
    </row>
    <row r="288" spans="1:4" x14ac:dyDescent="0.2">
      <c r="A288" s="5">
        <v>227</v>
      </c>
      <c r="B288" s="1832">
        <f>'Assets-Liab 5-6'!N41</f>
        <v>526000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81000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536587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9925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745428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24000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24068</v>
      </c>
      <c r="D725" s="2" t="str">
        <f t="shared" si="10"/>
        <v>Error?</v>
      </c>
    </row>
    <row r="726" spans="1:4" x14ac:dyDescent="0.2">
      <c r="A726" s="5">
        <v>665</v>
      </c>
      <c r="B726" s="1832">
        <f>'Expenditures 15-22'!C41</f>
        <v>37677</v>
      </c>
      <c r="D726" s="2" t="str">
        <f t="shared" si="10"/>
        <v>Error?</v>
      </c>
    </row>
    <row r="727" spans="1:4" x14ac:dyDescent="0.2">
      <c r="A727" s="5">
        <v>666</v>
      </c>
      <c r="B727" s="1832">
        <f>'Expenditures 15-22'!C42</f>
        <v>85745</v>
      </c>
      <c r="C727" s="2" t="s">
        <v>569</v>
      </c>
      <c r="D727" s="2" t="str">
        <f t="shared" si="10"/>
        <v>Error?</v>
      </c>
    </row>
    <row r="728" spans="1:4" x14ac:dyDescent="0.2">
      <c r="A728" s="5">
        <v>667</v>
      </c>
      <c r="B728" s="1832">
        <f>'Expenditures 15-22'!C44</f>
        <v>8525</v>
      </c>
      <c r="D728" s="2" t="str">
        <f t="shared" si="10"/>
        <v>Error?</v>
      </c>
    </row>
    <row r="729" spans="1:4" x14ac:dyDescent="0.2">
      <c r="A729" s="5">
        <v>668</v>
      </c>
      <c r="B729" s="1832">
        <f>'Expenditures 15-22'!C45</f>
        <v>800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9325</v>
      </c>
      <c r="C731" s="2" t="s">
        <v>569</v>
      </c>
      <c r="D731" s="2" t="str">
        <f t="shared" si="10"/>
        <v>Error?</v>
      </c>
    </row>
    <row r="732" spans="1:4" x14ac:dyDescent="0.2">
      <c r="A732" s="5">
        <v>671</v>
      </c>
      <c r="B732" s="1832">
        <f>'Expenditures 15-22'!C49</f>
        <v>3838</v>
      </c>
      <c r="D732" s="2" t="str">
        <f t="shared" si="10"/>
        <v>Error?</v>
      </c>
    </row>
    <row r="733" spans="1:4" x14ac:dyDescent="0.2">
      <c r="A733" s="5">
        <v>672</v>
      </c>
      <c r="B733" s="1832">
        <f>'Expenditures 15-22'!C50</f>
        <v>114238</v>
      </c>
      <c r="D733" s="2" t="str">
        <f t="shared" si="10"/>
        <v>Error?</v>
      </c>
    </row>
    <row r="734" spans="1:4" x14ac:dyDescent="0.2">
      <c r="A734" s="5">
        <v>673</v>
      </c>
      <c r="B734" s="1832">
        <f>'Expenditures 15-22'!C53</f>
        <v>118076</v>
      </c>
      <c r="C734" s="2" t="s">
        <v>569</v>
      </c>
      <c r="D734" s="2" t="str">
        <f t="shared" si="10"/>
        <v>Error?</v>
      </c>
    </row>
    <row r="735" spans="1:4" x14ac:dyDescent="0.2">
      <c r="A735" s="5">
        <v>674</v>
      </c>
      <c r="B735" s="1832">
        <f>'Expenditures 15-22'!C55</f>
        <v>101958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101958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44308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19878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64186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379290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1124718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103347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138403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3267</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3150</v>
      </c>
      <c r="D784" s="2" t="str">
        <f t="shared" si="11"/>
        <v>Error?</v>
      </c>
    </row>
    <row r="785" spans="1:4" x14ac:dyDescent="0.2">
      <c r="A785" s="5">
        <v>724</v>
      </c>
      <c r="B785" s="1832">
        <f>'Expenditures 15-22'!D42</f>
        <v>6417</v>
      </c>
      <c r="C785" s="2" t="s">
        <v>569</v>
      </c>
      <c r="D785" s="2" t="str">
        <f t="shared" si="11"/>
        <v>Error?</v>
      </c>
    </row>
    <row r="786" spans="1:4" x14ac:dyDescent="0.2">
      <c r="A786" s="5">
        <v>725</v>
      </c>
      <c r="B786" s="1832">
        <f>'Expenditures 15-22'!D44</f>
        <v>99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14738</v>
      </c>
      <c r="D791" s="2" t="str">
        <f t="shared" si="11"/>
        <v>Error?</v>
      </c>
    </row>
    <row r="792" spans="1:4" x14ac:dyDescent="0.2">
      <c r="A792" s="5">
        <v>731</v>
      </c>
      <c r="B792" s="1832">
        <f>'Expenditures 15-22'!D53</f>
        <v>14738</v>
      </c>
      <c r="C792" s="2" t="s">
        <v>569</v>
      </c>
      <c r="D792" s="2" t="str">
        <f t="shared" si="11"/>
        <v>Error?</v>
      </c>
    </row>
    <row r="793" spans="1:4" x14ac:dyDescent="0.2">
      <c r="A793" s="5">
        <v>732</v>
      </c>
      <c r="B793" s="1832">
        <f>'Expenditures 15-22'!D55</f>
        <v>19725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19725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5380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5380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46359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184762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463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1237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90110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40735</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40735</v>
      </c>
      <c r="C843" s="2" t="s">
        <v>569</v>
      </c>
      <c r="D843" s="2" t="str">
        <f t="shared" si="12"/>
        <v>Error?</v>
      </c>
    </row>
    <row r="844" spans="1:4" x14ac:dyDescent="0.2">
      <c r="A844" s="5">
        <v>783</v>
      </c>
      <c r="B844" s="1832">
        <f>'Expenditures 15-22'!E44</f>
        <v>8546</v>
      </c>
      <c r="D844" s="2" t="str">
        <f t="shared" si="12"/>
        <v>Error?</v>
      </c>
    </row>
    <row r="845" spans="1:4" x14ac:dyDescent="0.2">
      <c r="A845" s="5">
        <v>784</v>
      </c>
      <c r="B845" s="1832">
        <f>'Expenditures 15-22'!E45</f>
        <v>31984</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40530</v>
      </c>
      <c r="C847" s="2" t="s">
        <v>569</v>
      </c>
      <c r="D847" s="2" t="str">
        <f t="shared" si="12"/>
        <v>Error?</v>
      </c>
    </row>
    <row r="848" spans="1:4" x14ac:dyDescent="0.2">
      <c r="A848" s="5">
        <v>787</v>
      </c>
      <c r="B848" s="1832">
        <f>'Expenditures 15-22'!E49</f>
        <v>11873</v>
      </c>
      <c r="D848" s="2" t="str">
        <f t="shared" si="12"/>
        <v>Error?</v>
      </c>
    </row>
    <row r="849" spans="1:4" x14ac:dyDescent="0.2">
      <c r="A849" s="5">
        <v>788</v>
      </c>
      <c r="B849" s="1832">
        <f>'Expenditures 15-22'!E50</f>
        <v>2364</v>
      </c>
      <c r="D849" s="2" t="str">
        <f t="shared" si="12"/>
        <v>Error?</v>
      </c>
    </row>
    <row r="850" spans="1:4" x14ac:dyDescent="0.2">
      <c r="A850" s="5">
        <v>789</v>
      </c>
      <c r="B850" s="1832">
        <f>'Expenditures 15-22'!E53</f>
        <v>14237</v>
      </c>
      <c r="C850" s="2" t="s">
        <v>569</v>
      </c>
      <c r="D850" s="2" t="str">
        <f t="shared" si="12"/>
        <v>Error?</v>
      </c>
    </row>
    <row r="851" spans="1:4" x14ac:dyDescent="0.2">
      <c r="A851" s="5">
        <v>790</v>
      </c>
      <c r="B851" s="1832">
        <f>'Expenditures 15-22'!E55</f>
        <v>4717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4717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4591</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1347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5938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106157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196267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3175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1360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9448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100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104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4972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4972</v>
      </c>
      <c r="C905" s="2" t="s">
        <v>569</v>
      </c>
      <c r="D905" s="2" t="str">
        <f t="shared" si="13"/>
        <v>Error?</v>
      </c>
    </row>
    <row r="906" spans="1:4" x14ac:dyDescent="0.2">
      <c r="A906" s="5">
        <v>845</v>
      </c>
      <c r="B906" s="1832">
        <f>'Expenditures 15-22'!F49</f>
        <v>218</v>
      </c>
      <c r="D906" s="2" t="str">
        <f t="shared" si="13"/>
        <v>Error?</v>
      </c>
    </row>
    <row r="907" spans="1:4" x14ac:dyDescent="0.2">
      <c r="A907" s="5">
        <v>846</v>
      </c>
      <c r="B907" s="1832">
        <f>'Expenditures 15-22'!F50</f>
        <v>715</v>
      </c>
      <c r="D907" s="2" t="str">
        <f t="shared" si="13"/>
        <v>Error?</v>
      </c>
    </row>
    <row r="908" spans="1:4" x14ac:dyDescent="0.2">
      <c r="A908" s="5">
        <v>847</v>
      </c>
      <c r="B908" s="1832">
        <f>'Expenditures 15-22'!F53</f>
        <v>933</v>
      </c>
      <c r="C908" s="2" t="s">
        <v>569</v>
      </c>
      <c r="D908" s="2" t="str">
        <f t="shared" si="13"/>
        <v>Error?</v>
      </c>
    </row>
    <row r="909" spans="1:4" x14ac:dyDescent="0.2">
      <c r="A909" s="5">
        <v>848</v>
      </c>
      <c r="B909" s="1832">
        <f>'Expenditures 15-22'!F55</f>
        <v>2854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2854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1340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54377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55717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64580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74028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708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708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463</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463</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463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1171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630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10669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4154</v>
      </c>
      <c r="D1016" s="2" t="str">
        <f t="shared" si="14"/>
        <v>Error?</v>
      </c>
    </row>
    <row r="1017" spans="1:4" x14ac:dyDescent="0.2">
      <c r="A1017" s="5">
        <v>956</v>
      </c>
      <c r="B1017" s="1832">
        <f>'Expenditures 15-22'!H42</f>
        <v>4154</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105</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105</v>
      </c>
      <c r="C1021" s="2" t="s">
        <v>569</v>
      </c>
      <c r="D1021" s="2" t="str">
        <f t="shared" si="14"/>
        <v>Error?</v>
      </c>
    </row>
    <row r="1022" spans="1:4" x14ac:dyDescent="0.2">
      <c r="A1022" s="5">
        <v>961</v>
      </c>
      <c r="B1022" s="1832">
        <f>'Expenditures 15-22'!H49</f>
        <v>1822</v>
      </c>
      <c r="D1022" s="2" t="str">
        <f t="shared" si="14"/>
        <v>Error?</v>
      </c>
    </row>
    <row r="1023" spans="1:4" x14ac:dyDescent="0.2">
      <c r="A1023" s="5">
        <v>962</v>
      </c>
      <c r="B1023" s="1832">
        <f>'Expenditures 15-22'!H50</f>
        <v>961</v>
      </c>
      <c r="D1023" s="2" t="str">
        <f t="shared" ref="D1023:D1086" si="15">IF(ISBLANK(B1023),"OK",IF(A1023-B1023=0,"OK","Error?"))</f>
        <v>Error?</v>
      </c>
    </row>
    <row r="1024" spans="1:4" x14ac:dyDescent="0.2">
      <c r="A1024" s="5">
        <v>963</v>
      </c>
      <c r="B1024" s="1832">
        <f>'Expenditures 15-22'!H53</f>
        <v>2783</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7042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35580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53291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644280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13160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994766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27267</v>
      </c>
      <c r="C1110" s="2" t="s">
        <v>569</v>
      </c>
      <c r="D1110" s="2" t="str">
        <f t="shared" si="16"/>
        <v>Error?</v>
      </c>
    </row>
    <row r="1111" spans="1:4" x14ac:dyDescent="0.2">
      <c r="A1111" s="5">
        <v>1050</v>
      </c>
      <c r="B1111" s="1832">
        <f>'Expenditures 15-22'!K38</f>
        <v>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64903</v>
      </c>
      <c r="C1113" s="2" t="s">
        <v>569</v>
      </c>
      <c r="D1113" s="2" t="str">
        <f t="shared" si="16"/>
        <v>Error?</v>
      </c>
    </row>
    <row r="1114" spans="1:4" x14ac:dyDescent="0.2">
      <c r="A1114" s="5">
        <v>1053</v>
      </c>
      <c r="B1114" s="1832">
        <f>'Expenditures 15-22'!K41</f>
        <v>44981</v>
      </c>
      <c r="C1114" s="2" t="s">
        <v>569</v>
      </c>
      <c r="D1114" s="2" t="str">
        <f t="shared" si="16"/>
        <v>Error?</v>
      </c>
    </row>
    <row r="1115" spans="1:4" x14ac:dyDescent="0.2">
      <c r="A1115" s="5">
        <v>1054</v>
      </c>
      <c r="B1115" s="1832">
        <f>'Expenditures 15-22'!K42</f>
        <v>137155</v>
      </c>
      <c r="C1115" s="2" t="s">
        <v>569</v>
      </c>
      <c r="D1115" s="2" t="str">
        <f t="shared" si="16"/>
        <v>Error?</v>
      </c>
    </row>
    <row r="1116" spans="1:4" x14ac:dyDescent="0.2">
      <c r="A1116" s="5">
        <v>1055</v>
      </c>
      <c r="B1116" s="1832">
        <f>'Expenditures 15-22'!K44</f>
        <v>17170</v>
      </c>
      <c r="C1116" s="2" t="s">
        <v>569</v>
      </c>
      <c r="D1116" s="2" t="str">
        <f t="shared" si="16"/>
        <v>Error?</v>
      </c>
    </row>
    <row r="1117" spans="1:4" x14ac:dyDescent="0.2">
      <c r="A1117" s="5">
        <v>1056</v>
      </c>
      <c r="B1117" s="1832">
        <f>'Expenditures 15-22'!K45</f>
        <v>38324</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55494</v>
      </c>
      <c r="C1119" s="2" t="s">
        <v>569</v>
      </c>
      <c r="D1119" s="2" t="str">
        <f t="shared" si="16"/>
        <v>Error?</v>
      </c>
    </row>
    <row r="1120" spans="1:4" x14ac:dyDescent="0.2">
      <c r="A1120" s="5">
        <v>1059</v>
      </c>
      <c r="B1120" s="1832">
        <f>'Expenditures 15-22'!K49</f>
        <v>17751</v>
      </c>
      <c r="C1120" s="2" t="s">
        <v>569</v>
      </c>
      <c r="D1120" s="2" t="str">
        <f t="shared" si="16"/>
        <v>Error?</v>
      </c>
    </row>
    <row r="1121" spans="1:4" x14ac:dyDescent="0.2">
      <c r="A1121" s="5">
        <v>1060</v>
      </c>
      <c r="B1121" s="1832">
        <f>'Expenditures 15-22'!K50</f>
        <v>133016</v>
      </c>
      <c r="C1121" s="2" t="s">
        <v>569</v>
      </c>
      <c r="D1121" s="2" t="str">
        <f t="shared" si="16"/>
        <v>Error?</v>
      </c>
    </row>
    <row r="1122" spans="1:4" x14ac:dyDescent="0.2">
      <c r="A1122" s="5">
        <v>1061</v>
      </c>
      <c r="B1122" s="1832">
        <f>'Expenditures 15-22'!K53</f>
        <v>150767</v>
      </c>
      <c r="C1122" s="2" t="s">
        <v>569</v>
      </c>
      <c r="D1122" s="2" t="str">
        <f t="shared" si="16"/>
        <v>Error?</v>
      </c>
    </row>
    <row r="1123" spans="1:4" x14ac:dyDescent="0.2">
      <c r="A1123" s="5">
        <v>1062</v>
      </c>
      <c r="B1123" s="1832">
        <f>'Expenditures 15-22'!K55</f>
        <v>129254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129254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55619</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75602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131221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603891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35580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1634237</v>
      </c>
      <c r="C1152" s="2" t="s">
        <v>569</v>
      </c>
      <c r="D1152" s="2" t="str">
        <f t="shared" si="17"/>
        <v>Error?</v>
      </c>
    </row>
    <row r="1153" spans="1:4" x14ac:dyDescent="0.2">
      <c r="A1153" s="5">
        <v>1092</v>
      </c>
      <c r="B1153" s="1832">
        <f>'Expenditures 15-22'!K115</f>
        <v>-97929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43280</v>
      </c>
      <c r="D1221" s="2" t="str">
        <f t="shared" si="18"/>
        <v>Error?</v>
      </c>
    </row>
    <row r="1222" spans="1:4" x14ac:dyDescent="0.2">
      <c r="A1222" s="10">
        <v>1161</v>
      </c>
      <c r="B1222" s="1832"/>
      <c r="D1222" s="2" t="str">
        <f t="shared" si="18"/>
        <v>OK</v>
      </c>
    </row>
    <row r="1223" spans="1:4" x14ac:dyDescent="0.2">
      <c r="A1223" s="5">
        <v>1162</v>
      </c>
      <c r="B1223" s="1832">
        <f>'Expenditures 15-22'!C127</f>
        <v>43280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43280</v>
      </c>
      <c r="C1225" s="2" t="s">
        <v>569</v>
      </c>
      <c r="D1225" s="2" t="str">
        <f t="shared" si="18"/>
        <v>Error?</v>
      </c>
    </row>
    <row r="1226" spans="1:4" x14ac:dyDescent="0.2">
      <c r="A1226" s="5">
        <v>1165</v>
      </c>
      <c r="B1226" s="1832">
        <f>'Expenditures 15-22'!C151</f>
        <v>43280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51596</v>
      </c>
      <c r="D1237" s="2" t="str">
        <f t="shared" si="18"/>
        <v>Error?</v>
      </c>
    </row>
    <row r="1238" spans="1:4" x14ac:dyDescent="0.2">
      <c r="A1238" s="10">
        <v>1177</v>
      </c>
      <c r="B1238" s="1832"/>
      <c r="D1238" s="2" t="str">
        <f t="shared" si="18"/>
        <v>OK</v>
      </c>
    </row>
    <row r="1239" spans="1:4" x14ac:dyDescent="0.2">
      <c r="A1239" s="5">
        <v>1178</v>
      </c>
      <c r="B1239" s="1832">
        <f>'Expenditures 15-22'!E127</f>
        <v>51596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51596</v>
      </c>
      <c r="C1241" s="2" t="s">
        <v>569</v>
      </c>
      <c r="D1241" s="2" t="str">
        <f t="shared" si="18"/>
        <v>Error?</v>
      </c>
    </row>
    <row r="1242" spans="1:4" x14ac:dyDescent="0.2">
      <c r="A1242" s="5">
        <v>1181</v>
      </c>
      <c r="B1242" s="1832">
        <f>'Expenditures 15-22'!E151</f>
        <v>51596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45344</v>
      </c>
      <c r="D1245" s="2" t="str">
        <f t="shared" si="18"/>
        <v>Error?</v>
      </c>
    </row>
    <row r="1246" spans="1:4" x14ac:dyDescent="0.2">
      <c r="A1246" s="10">
        <v>1185</v>
      </c>
      <c r="B1246" s="1832"/>
      <c r="D1246" s="2" t="str">
        <f t="shared" si="18"/>
        <v>OK</v>
      </c>
    </row>
    <row r="1247" spans="1:4" x14ac:dyDescent="0.2">
      <c r="A1247" s="5">
        <v>1186</v>
      </c>
      <c r="B1247" s="1832">
        <f>'Expenditures 15-22'!F127</f>
        <v>45344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45344</v>
      </c>
      <c r="C1249" s="2" t="s">
        <v>569</v>
      </c>
      <c r="D1249" s="2" t="str">
        <f t="shared" si="18"/>
        <v>Error?</v>
      </c>
    </row>
    <row r="1250" spans="1:4" x14ac:dyDescent="0.2">
      <c r="A1250" s="5">
        <v>1189</v>
      </c>
      <c r="B1250" s="1832">
        <f>'Expenditures 15-22'!F151</f>
        <v>45344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70</v>
      </c>
      <c r="D1262" s="2" t="str">
        <f t="shared" si="18"/>
        <v>Error?</v>
      </c>
    </row>
    <row r="1263" spans="1:4" x14ac:dyDescent="0.2">
      <c r="A1263" s="10">
        <v>1202</v>
      </c>
      <c r="B1263" s="1832"/>
      <c r="D1263" s="2" t="str">
        <f t="shared" si="18"/>
        <v>OK</v>
      </c>
    </row>
    <row r="1264" spans="1:4" x14ac:dyDescent="0.2">
      <c r="A1264" s="5">
        <v>1203</v>
      </c>
      <c r="B1264" s="1832">
        <f>'Expenditures 15-22'!H127</f>
        <v>70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70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70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140290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140290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140290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140290</v>
      </c>
      <c r="C1288" s="2" t="s">
        <v>569</v>
      </c>
      <c r="D1288" s="2" t="str">
        <f t="shared" si="19"/>
        <v>Error?</v>
      </c>
    </row>
    <row r="1289" spans="1:4" x14ac:dyDescent="0.2">
      <c r="A1289" s="5">
        <v>1228</v>
      </c>
      <c r="B1289" s="1832">
        <f>'Expenditures 15-22'!K152</f>
        <v>-10860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33213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59000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92213</v>
      </c>
      <c r="C1317" s="2" t="s">
        <v>569</v>
      </c>
      <c r="D1317" s="2" t="str">
        <f t="shared" si="19"/>
        <v>Error?</v>
      </c>
    </row>
    <row r="1318" spans="1:4" x14ac:dyDescent="0.2">
      <c r="A1318" s="5">
        <v>1257</v>
      </c>
      <c r="B1318" s="1832">
        <f>'Expenditures 15-22'!H174</f>
        <v>92213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33213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59000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92213</v>
      </c>
      <c r="C1331" s="2" t="s">
        <v>569</v>
      </c>
      <c r="D1331" s="2" t="str">
        <f t="shared" si="19"/>
        <v>Error?</v>
      </c>
    </row>
    <row r="1332" spans="1:4" x14ac:dyDescent="0.2">
      <c r="A1332" s="5">
        <v>1271</v>
      </c>
      <c r="B1332" s="1832">
        <f>'Expenditures 15-22'!K174</f>
        <v>92213</v>
      </c>
      <c r="C1332" s="2" t="s">
        <v>569</v>
      </c>
      <c r="D1332" s="2" t="str">
        <f t="shared" si="19"/>
        <v>Error?</v>
      </c>
    </row>
    <row r="1333" spans="1:4" x14ac:dyDescent="0.2">
      <c r="A1333" s="5">
        <v>1272</v>
      </c>
      <c r="B1333" s="1832">
        <f>'Expenditures 15-22'!K175</f>
        <v>-9928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59793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59793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59793</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59793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59793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59793</v>
      </c>
      <c r="C1388" s="2" t="s">
        <v>569</v>
      </c>
      <c r="D1388" s="2" t="str">
        <f t="shared" si="20"/>
        <v>Error?</v>
      </c>
    </row>
    <row r="1389" spans="1:4" x14ac:dyDescent="0.2">
      <c r="A1389" s="5">
        <v>1328</v>
      </c>
      <c r="B1389" s="1832">
        <f>'Expenditures 15-22'!K211</f>
        <v>11147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102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17342</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348</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4925</v>
      </c>
      <c r="D1416" s="2" t="str">
        <f t="shared" si="21"/>
        <v>Error?</v>
      </c>
    </row>
    <row r="1417" spans="1:4" x14ac:dyDescent="0.2">
      <c r="A1417" s="5">
        <v>1356</v>
      </c>
      <c r="B1417" s="1832">
        <f>'Expenditures 15-22'!D238</f>
        <v>5273</v>
      </c>
      <c r="C1417" s="2" t="s">
        <v>569</v>
      </c>
      <c r="D1417" s="2" t="str">
        <f t="shared" si="21"/>
        <v>Error?</v>
      </c>
    </row>
    <row r="1418" spans="1:4" x14ac:dyDescent="0.2">
      <c r="A1418" s="5">
        <v>1357</v>
      </c>
      <c r="B1418" s="1832">
        <f>'Expenditures 15-22'!D240</f>
        <v>114</v>
      </c>
      <c r="D1418" s="2" t="str">
        <f t="shared" si="21"/>
        <v>Error?</v>
      </c>
    </row>
    <row r="1419" spans="1:4" x14ac:dyDescent="0.2">
      <c r="A1419" s="5">
        <v>1358</v>
      </c>
      <c r="B1419" s="1832">
        <f>'Expenditures 15-22'!D241</f>
        <v>12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126</v>
      </c>
      <c r="C1421" s="2" t="s">
        <v>569</v>
      </c>
      <c r="D1421" s="2" t="str">
        <f t="shared" si="21"/>
        <v>Error?</v>
      </c>
    </row>
    <row r="1422" spans="1:4" x14ac:dyDescent="0.2">
      <c r="A1422" s="5">
        <v>1361</v>
      </c>
      <c r="B1422" s="1832">
        <f>'Expenditures 15-22'!D245</f>
        <v>55</v>
      </c>
      <c r="D1422" s="2" t="str">
        <f t="shared" si="21"/>
        <v>Error?</v>
      </c>
    </row>
    <row r="1423" spans="1:4" x14ac:dyDescent="0.2">
      <c r="A1423" s="5">
        <v>1362</v>
      </c>
      <c r="B1423" s="1832">
        <f>'Expenditures 15-22'!D246</f>
        <v>1656</v>
      </c>
      <c r="D1423" s="2" t="str">
        <f t="shared" si="21"/>
        <v>Error?</v>
      </c>
    </row>
    <row r="1424" spans="1:4" x14ac:dyDescent="0.2">
      <c r="A1424" s="5">
        <v>1363</v>
      </c>
      <c r="B1424" s="1832">
        <f>'Expenditures 15-22'!D257</f>
        <v>1711</v>
      </c>
      <c r="C1424" s="2" t="s">
        <v>569</v>
      </c>
      <c r="D1424" s="2" t="str">
        <f t="shared" si="21"/>
        <v>Error?</v>
      </c>
    </row>
    <row r="1425" spans="1:4" x14ac:dyDescent="0.2">
      <c r="A1425" s="5">
        <v>1364</v>
      </c>
      <c r="B1425" s="1832">
        <f>'Expenditures 15-22'!D259</f>
        <v>4557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4557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5144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5122</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1905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12171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23838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41180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102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17342</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348</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4925</v>
      </c>
      <c r="C1480" s="2" t="s">
        <v>569</v>
      </c>
      <c r="D1480" s="2" t="str">
        <f t="shared" si="22"/>
        <v>Error?</v>
      </c>
    </row>
    <row r="1481" spans="1:4" x14ac:dyDescent="0.2">
      <c r="A1481" s="5">
        <v>1420</v>
      </c>
      <c r="B1481" s="1832">
        <f>'Expenditures 15-22'!K238</f>
        <v>5273</v>
      </c>
      <c r="C1481" s="2" t="s">
        <v>569</v>
      </c>
      <c r="D1481" s="2" t="str">
        <f t="shared" si="22"/>
        <v>Error?</v>
      </c>
    </row>
    <row r="1482" spans="1:4" x14ac:dyDescent="0.2">
      <c r="A1482" s="5">
        <v>1421</v>
      </c>
      <c r="B1482" s="1832">
        <f>'Expenditures 15-22'!K240</f>
        <v>114</v>
      </c>
      <c r="C1482" s="2" t="s">
        <v>569</v>
      </c>
      <c r="D1482" s="2" t="str">
        <f t="shared" si="22"/>
        <v>Error?</v>
      </c>
    </row>
    <row r="1483" spans="1:4" x14ac:dyDescent="0.2">
      <c r="A1483" s="5">
        <v>1422</v>
      </c>
      <c r="B1483" s="1832">
        <f>'Expenditures 15-22'!K241</f>
        <v>12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126</v>
      </c>
      <c r="C1485" s="2" t="s">
        <v>569</v>
      </c>
      <c r="D1485" s="2" t="str">
        <f t="shared" si="22"/>
        <v>Error?</v>
      </c>
    </row>
    <row r="1486" spans="1:4" x14ac:dyDescent="0.2">
      <c r="A1486" s="5">
        <v>1425</v>
      </c>
      <c r="B1486" s="1832">
        <f>'Expenditures 15-22'!K245</f>
        <v>55</v>
      </c>
      <c r="C1486" s="2" t="s">
        <v>569</v>
      </c>
      <c r="D1486" s="2" t="str">
        <f t="shared" si="22"/>
        <v>Error?</v>
      </c>
    </row>
    <row r="1487" spans="1:4" x14ac:dyDescent="0.2">
      <c r="A1487" s="5">
        <v>1426</v>
      </c>
      <c r="B1487" s="1832">
        <f>'Expenditures 15-22'!K246</f>
        <v>1656</v>
      </c>
      <c r="C1487" s="2" t="s">
        <v>569</v>
      </c>
      <c r="D1487" s="2" t="str">
        <f t="shared" si="22"/>
        <v>Error?</v>
      </c>
    </row>
    <row r="1488" spans="1:4" x14ac:dyDescent="0.2">
      <c r="A1488" s="5">
        <v>1427</v>
      </c>
      <c r="B1488" s="1832">
        <f>'Expenditures 15-22'!K257</f>
        <v>1711</v>
      </c>
      <c r="C1488" s="2" t="s">
        <v>569</v>
      </c>
      <c r="D1488" s="2" t="str">
        <f t="shared" si="22"/>
        <v>Error?</v>
      </c>
    </row>
    <row r="1489" spans="1:4" x14ac:dyDescent="0.2">
      <c r="A1489" s="5">
        <v>1428</v>
      </c>
      <c r="B1489" s="1832">
        <f>'Expenditures 15-22'!K259</f>
        <v>4557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4557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5144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5122</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1905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12171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23838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41180</v>
      </c>
      <c r="C1517" s="2" t="s">
        <v>569</v>
      </c>
      <c r="D1517" s="2" t="str">
        <f t="shared" si="22"/>
        <v>Error?</v>
      </c>
    </row>
    <row r="1518" spans="1:4" x14ac:dyDescent="0.2">
      <c r="A1518" s="5">
        <v>1457</v>
      </c>
      <c r="B1518" s="1832">
        <f>'Expenditures 15-22'!K296</f>
        <v>2043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59818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59818</v>
      </c>
      <c r="C1547" s="2" t="s">
        <v>569</v>
      </c>
      <c r="D1547" s="2" t="str">
        <f t="shared" si="23"/>
        <v>Error?</v>
      </c>
    </row>
    <row r="1548" spans="1:4" x14ac:dyDescent="0.2">
      <c r="A1548" s="5">
        <v>1487</v>
      </c>
      <c r="B1548" s="1832">
        <f>'Expenditures 15-22'!G312</f>
        <v>59818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59818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59818</v>
      </c>
      <c r="C1559" s="2" t="s">
        <v>569</v>
      </c>
      <c r="D1559" s="2" t="str">
        <f t="shared" si="23"/>
        <v>Error?</v>
      </c>
    </row>
    <row r="1560" spans="1:4" x14ac:dyDescent="0.2">
      <c r="A1560" s="5">
        <v>1499</v>
      </c>
      <c r="B1560" s="1832">
        <f>'Expenditures 15-22'!K312</f>
        <v>59818</v>
      </c>
      <c r="C1560" s="2" t="s">
        <v>569</v>
      </c>
      <c r="D1560" s="2" t="str">
        <f t="shared" si="23"/>
        <v>Error?</v>
      </c>
    </row>
    <row r="1561" spans="1:4" x14ac:dyDescent="0.2">
      <c r="A1561" s="5">
        <v>1500</v>
      </c>
      <c r="B1561" s="1832">
        <f>'Expenditures 15-22'!K313</f>
        <v>62587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886747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869818</v>
      </c>
      <c r="C1630" s="2" t="s">
        <v>569</v>
      </c>
      <c r="D1630" s="2" t="str">
        <f t="shared" si="24"/>
        <v>Error?</v>
      </c>
    </row>
    <row r="1631" spans="1:4" x14ac:dyDescent="0.2">
      <c r="A1631" s="5">
        <v>1570</v>
      </c>
      <c r="B1631" s="1832">
        <f>'Acct Summary 7-8'!D79</f>
        <v>214306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203446</v>
      </c>
      <c r="C1644" s="2" t="s">
        <v>569</v>
      </c>
      <c r="D1644" s="2" t="str">
        <f t="shared" si="24"/>
        <v>Error?</v>
      </c>
    </row>
    <row r="1645" spans="1:4" x14ac:dyDescent="0.2">
      <c r="A1645" s="5">
        <v>1584</v>
      </c>
      <c r="B1645" s="1832">
        <f>'Acct Summary 7-8'!E79</f>
        <v>24113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14185</v>
      </c>
      <c r="C1658" s="2" t="s">
        <v>569</v>
      </c>
      <c r="D1658" s="2" t="str">
        <f t="shared" si="24"/>
        <v>Error?</v>
      </c>
    </row>
    <row r="1659" spans="1:4" x14ac:dyDescent="0.2">
      <c r="A1659" s="5">
        <v>1598</v>
      </c>
      <c r="B1659" s="1832">
        <f>'Acct Summary 7-8'!F79</f>
        <v>280417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291564</v>
      </c>
      <c r="C1672" s="2" t="s">
        <v>569</v>
      </c>
      <c r="D1672" s="2" t="str">
        <f t="shared" si="25"/>
        <v>Error?</v>
      </c>
    </row>
    <row r="1673" spans="1:4" x14ac:dyDescent="0.2">
      <c r="A1673" s="5">
        <v>1612</v>
      </c>
      <c r="B1673" s="1832">
        <f>'Acct Summary 7-8'!G79</f>
        <v>12057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14100</v>
      </c>
      <c r="C1686" s="2" t="s">
        <v>569</v>
      </c>
      <c r="D1686" s="2" t="str">
        <f t="shared" si="25"/>
        <v>Error?</v>
      </c>
    </row>
    <row r="1687" spans="1:4" x14ac:dyDescent="0.2">
      <c r="A1687" s="5">
        <v>1626</v>
      </c>
      <c r="B1687" s="1832">
        <f>'Acct Summary 7-8'!H79</f>
        <v>418330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480917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456361</v>
      </c>
      <c r="C1744" s="2" t="s">
        <v>569</v>
      </c>
      <c r="D1744" s="2" t="str">
        <f t="shared" si="26"/>
        <v>Error?</v>
      </c>
    </row>
    <row r="1745" spans="1:5" x14ac:dyDescent="0.2">
      <c r="A1745" s="5">
        <v>1684</v>
      </c>
      <c r="B1745" s="1832">
        <f>'Tax Sched 23'!B5</f>
        <v>55430</v>
      </c>
      <c r="C1745" s="2" t="s">
        <v>569</v>
      </c>
      <c r="D1745" s="2" t="str">
        <f t="shared" si="26"/>
        <v>Error?</v>
      </c>
    </row>
    <row r="1746" spans="1:5" x14ac:dyDescent="0.2">
      <c r="A1746" s="5">
        <v>1685</v>
      </c>
      <c r="B1746" s="1832">
        <f>'Tax Sched 23'!B6</f>
        <v>82285</v>
      </c>
      <c r="C1746" s="2" t="s">
        <v>569</v>
      </c>
      <c r="D1746" s="2" t="str">
        <f t="shared" si="26"/>
        <v>Error?</v>
      </c>
    </row>
    <row r="1747" spans="1:5" x14ac:dyDescent="0.2">
      <c r="A1747" s="5">
        <v>1686</v>
      </c>
      <c r="B1747" s="1832">
        <f>'Tax Sched 23'!B7</f>
        <v>26669</v>
      </c>
      <c r="C1747" s="2" t="s">
        <v>569</v>
      </c>
      <c r="D1747" s="2" t="str">
        <f t="shared" si="26"/>
        <v>Error?</v>
      </c>
    </row>
    <row r="1748" spans="1:5" x14ac:dyDescent="0.2">
      <c r="A1748" s="5">
        <v>1687</v>
      </c>
      <c r="B1748" s="1832">
        <f>'Tax Sched 23'!B8</f>
        <v>14253</v>
      </c>
      <c r="C1748" s="2" t="s">
        <v>569</v>
      </c>
      <c r="D1748" s="2" t="str">
        <f t="shared" si="26"/>
        <v>Error?</v>
      </c>
    </row>
    <row r="1749" spans="1:5" x14ac:dyDescent="0.2">
      <c r="A1749" s="5">
        <v>1688</v>
      </c>
      <c r="B1749" s="1832">
        <f>'Tax Sched 23'!B10</f>
        <v>10948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35276</v>
      </c>
      <c r="C1752" s="2" t="s">
        <v>569</v>
      </c>
      <c r="D1752" s="2" t="str">
        <f t="shared" si="26"/>
        <v>Error?</v>
      </c>
    </row>
    <row r="1753" spans="1:5" x14ac:dyDescent="0.2">
      <c r="A1753" s="5">
        <v>1692</v>
      </c>
      <c r="B1753" s="1832">
        <f>'Tax Sched 23'!B12</f>
        <v>24</v>
      </c>
      <c r="C1753" s="2" t="s">
        <v>569</v>
      </c>
      <c r="D1753" s="2" t="str">
        <f t="shared" si="26"/>
        <v>Error?</v>
      </c>
    </row>
    <row r="1754" spans="1:5" x14ac:dyDescent="0.2">
      <c r="A1754" s="5">
        <v>1693</v>
      </c>
      <c r="B1754" s="1832">
        <f>'Tax Sched 23'!B14</f>
        <v>4431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701671</v>
      </c>
      <c r="C1759" s="2" t="s">
        <v>569</v>
      </c>
      <c r="D1759" s="2" t="str">
        <f t="shared" si="26"/>
        <v>Error?</v>
      </c>
    </row>
    <row r="1760" spans="1:5" x14ac:dyDescent="0.2">
      <c r="A1760" s="5">
        <v>1699</v>
      </c>
      <c r="B1760" s="1832">
        <f>'Tax Sched 23'!D4</f>
        <v>415357</v>
      </c>
      <c r="C1760" s="2" t="s">
        <v>569</v>
      </c>
      <c r="D1760" s="2" t="str">
        <f t="shared" si="26"/>
        <v>Error?</v>
      </c>
    </row>
    <row r="1761" spans="1:7" x14ac:dyDescent="0.2">
      <c r="A1761" s="5">
        <v>1700</v>
      </c>
      <c r="B1761" s="1832">
        <f>'Tax Sched 23'!D5</f>
        <v>50342</v>
      </c>
      <c r="C1761" s="2" t="s">
        <v>569</v>
      </c>
      <c r="D1761" s="2" t="str">
        <f t="shared" si="26"/>
        <v>Error?</v>
      </c>
    </row>
    <row r="1762" spans="1:7" s="8" customFormat="1" x14ac:dyDescent="0.2">
      <c r="A1762" s="5">
        <v>1701</v>
      </c>
      <c r="B1762" s="1832">
        <f>'Tax Sched 23'!D6</f>
        <v>75131</v>
      </c>
      <c r="C1762" s="2" t="s">
        <v>569</v>
      </c>
      <c r="D1762" s="2" t="str">
        <f t="shared" si="26"/>
        <v>Error?</v>
      </c>
      <c r="E1762" s="9"/>
      <c r="G1762"/>
    </row>
    <row r="1763" spans="1:7" x14ac:dyDescent="0.2">
      <c r="A1763" s="5">
        <v>1702</v>
      </c>
      <c r="B1763" s="1832">
        <f>'Tax Sched 23'!D7</f>
        <v>24157</v>
      </c>
      <c r="C1763" s="2" t="s">
        <v>569</v>
      </c>
      <c r="D1763" s="2" t="str">
        <f t="shared" si="26"/>
        <v>Error?</v>
      </c>
    </row>
    <row r="1764" spans="1:7" x14ac:dyDescent="0.2">
      <c r="A1764" s="5">
        <v>1703</v>
      </c>
      <c r="B1764" s="1832">
        <f>'Tax Sched 23'!D8</f>
        <v>12580</v>
      </c>
      <c r="C1764" s="2" t="s">
        <v>569</v>
      </c>
      <c r="D1764" s="2" t="str">
        <f t="shared" si="26"/>
        <v>Error?</v>
      </c>
    </row>
    <row r="1765" spans="1:7" x14ac:dyDescent="0.2">
      <c r="A1765" s="5">
        <v>1704</v>
      </c>
      <c r="B1765" s="1832">
        <f>'Tax Sched 23'!D10</f>
        <v>9985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32616</v>
      </c>
      <c r="C1768" s="2" t="s">
        <v>569</v>
      </c>
      <c r="D1768" s="2" t="str">
        <f t="shared" si="26"/>
        <v>Error?</v>
      </c>
    </row>
    <row r="1769" spans="1:7" x14ac:dyDescent="0.2">
      <c r="A1769" s="5">
        <v>1708</v>
      </c>
      <c r="B1769" s="1832">
        <f>'Tax Sched 23'!D12</f>
        <v>22</v>
      </c>
      <c r="C1769" s="2" t="s">
        <v>569</v>
      </c>
      <c r="D1769" s="2" t="str">
        <f t="shared" si="26"/>
        <v>Error?</v>
      </c>
    </row>
    <row r="1770" spans="1:7" x14ac:dyDescent="0.2">
      <c r="A1770" s="5">
        <v>1709</v>
      </c>
      <c r="B1770" s="1832">
        <f>'Tax Sched 23'!D14</f>
        <v>4011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638787</v>
      </c>
      <c r="C1775" s="2" t="s">
        <v>569</v>
      </c>
      <c r="D1775" s="2" t="str">
        <f t="shared" si="26"/>
        <v>Error?</v>
      </c>
    </row>
    <row r="1776" spans="1:7" x14ac:dyDescent="0.2">
      <c r="A1776" s="5">
        <v>1715</v>
      </c>
      <c r="B1776" s="1832">
        <f>'Tax Sched 23'!C4</f>
        <v>41004</v>
      </c>
      <c r="D1776" s="2" t="str">
        <f t="shared" si="26"/>
        <v>Error?</v>
      </c>
    </row>
    <row r="1777" spans="1:4" x14ac:dyDescent="0.2">
      <c r="A1777" s="5">
        <v>1716</v>
      </c>
      <c r="B1777" s="1832">
        <f>'Tax Sched 23'!C5</f>
        <v>5088</v>
      </c>
      <c r="D1777" s="2" t="str">
        <f t="shared" si="26"/>
        <v>Error?</v>
      </c>
    </row>
    <row r="1778" spans="1:4" x14ac:dyDescent="0.2">
      <c r="A1778" s="5">
        <v>1717</v>
      </c>
      <c r="B1778" s="1832">
        <f>'Tax Sched 23'!C6</f>
        <v>7154</v>
      </c>
      <c r="D1778" s="2" t="str">
        <f t="shared" si="26"/>
        <v>Error?</v>
      </c>
    </row>
    <row r="1779" spans="1:4" x14ac:dyDescent="0.2">
      <c r="A1779" s="5">
        <v>1718</v>
      </c>
      <c r="B1779" s="1832">
        <f>'Tax Sched 23'!C7</f>
        <v>2512</v>
      </c>
      <c r="D1779" s="2" t="str">
        <f t="shared" si="26"/>
        <v>Error?</v>
      </c>
    </row>
    <row r="1780" spans="1:4" x14ac:dyDescent="0.2">
      <c r="A1780" s="5">
        <v>1719</v>
      </c>
      <c r="B1780" s="1832">
        <f>'Tax Sched 23'!C8</f>
        <v>1673</v>
      </c>
      <c r="D1780" s="2" t="str">
        <f t="shared" si="26"/>
        <v>Error?</v>
      </c>
    </row>
    <row r="1781" spans="1:4" x14ac:dyDescent="0.2">
      <c r="A1781" s="5">
        <v>1720</v>
      </c>
      <c r="B1781" s="1832">
        <f>'Tax Sched 23'!C10</f>
        <v>963</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2660</v>
      </c>
      <c r="D1784" s="2" t="str">
        <f t="shared" si="26"/>
        <v>Error?</v>
      </c>
    </row>
    <row r="1785" spans="1:4" x14ac:dyDescent="0.2">
      <c r="A1785" s="5">
        <v>1724</v>
      </c>
      <c r="B1785" s="1832">
        <f>'Tax Sched 23'!C12</f>
        <v>2</v>
      </c>
      <c r="D1785" s="2" t="str">
        <f t="shared" si="26"/>
        <v>Error?</v>
      </c>
    </row>
    <row r="1786" spans="1:4" x14ac:dyDescent="0.2">
      <c r="A1786" s="5">
        <v>1725</v>
      </c>
      <c r="B1786" s="1832">
        <f>'Tax Sched 23'!C14</f>
        <v>420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62884</v>
      </c>
      <c r="C1791" s="2" t="s">
        <v>569</v>
      </c>
      <c r="D1791" s="2" t="str">
        <f t="shared" ref="D1791:D1854" si="27">IF(ISBLANK(B1791),"OK",IF(A1791-B1791=0,"OK","Error?"))</f>
        <v>Error?</v>
      </c>
    </row>
    <row r="1792" spans="1:4" x14ac:dyDescent="0.2">
      <c r="A1792" s="5">
        <v>1731</v>
      </c>
      <c r="B1792" s="1832">
        <f>'Tax Sched 23'!F4</f>
        <v>492814</v>
      </c>
      <c r="C1792" s="2" t="s">
        <v>569</v>
      </c>
      <c r="D1792" s="2" t="str">
        <f t="shared" si="27"/>
        <v>Error?</v>
      </c>
    </row>
    <row r="1793" spans="1:4" x14ac:dyDescent="0.2">
      <c r="A1793" s="5">
        <v>1732</v>
      </c>
      <c r="B1793" s="1832">
        <f>'Tax Sched 23'!F5</f>
        <v>61151</v>
      </c>
      <c r="C1793" s="2" t="s">
        <v>569</v>
      </c>
      <c r="D1793" s="2" t="str">
        <f t="shared" si="27"/>
        <v>Error?</v>
      </c>
    </row>
    <row r="1794" spans="1:4" x14ac:dyDescent="0.2">
      <c r="A1794" s="5">
        <v>1733</v>
      </c>
      <c r="B1794" s="1832">
        <f>'Tax Sched 23'!F6</f>
        <v>85982</v>
      </c>
      <c r="C1794" s="2" t="s">
        <v>569</v>
      </c>
      <c r="D1794" s="2" t="str">
        <f t="shared" si="27"/>
        <v>Error?</v>
      </c>
    </row>
    <row r="1795" spans="1:4" x14ac:dyDescent="0.2">
      <c r="A1795" s="5">
        <v>1734</v>
      </c>
      <c r="B1795" s="1832">
        <f>'Tax Sched 23'!F7</f>
        <v>30191</v>
      </c>
      <c r="C1795" s="2" t="s">
        <v>569</v>
      </c>
      <c r="D1795" s="2" t="str">
        <f t="shared" si="27"/>
        <v>Error?</v>
      </c>
    </row>
    <row r="1796" spans="1:4" x14ac:dyDescent="0.2">
      <c r="A1796" s="5">
        <v>1735</v>
      </c>
      <c r="B1796" s="1832">
        <f>'Tax Sched 23'!F8</f>
        <v>20110</v>
      </c>
      <c r="C1796" s="2" t="s">
        <v>569</v>
      </c>
      <c r="D1796" s="2" t="str">
        <f t="shared" si="27"/>
        <v>Error?</v>
      </c>
    </row>
    <row r="1797" spans="1:4" x14ac:dyDescent="0.2">
      <c r="A1797" s="5">
        <v>1736</v>
      </c>
      <c r="B1797" s="1832">
        <f>'Tax Sched 23'!F10</f>
        <v>11566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31968</v>
      </c>
      <c r="C1800" s="2" t="s">
        <v>569</v>
      </c>
      <c r="D1800" s="2" t="str">
        <f t="shared" si="27"/>
        <v>Error?</v>
      </c>
    </row>
    <row r="1801" spans="1:4" x14ac:dyDescent="0.2">
      <c r="A1801" s="5">
        <v>1740</v>
      </c>
      <c r="B1801" s="1832">
        <f>'Tax Sched 23'!F12</f>
        <v>27</v>
      </c>
      <c r="C1801" s="2" t="s">
        <v>569</v>
      </c>
      <c r="D1801" s="2" t="str">
        <f t="shared" si="27"/>
        <v>Error?</v>
      </c>
    </row>
    <row r="1802" spans="1:4" x14ac:dyDescent="0.2">
      <c r="A1802" s="5">
        <v>1741</v>
      </c>
      <c r="B1802" s="1832">
        <f>'Tax Sched 23'!F14</f>
        <v>5040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755775</v>
      </c>
      <c r="C1807" s="2" t="s">
        <v>569</v>
      </c>
      <c r="D1807" s="2" t="str">
        <f t="shared" si="27"/>
        <v>Error?</v>
      </c>
    </row>
    <row r="1808" spans="1:4" x14ac:dyDescent="0.2">
      <c r="A1808" s="5">
        <v>1747</v>
      </c>
      <c r="B1808" s="1832">
        <f>'Tax Sched 23'!E4</f>
        <v>533818</v>
      </c>
      <c r="D1808" s="2" t="str">
        <f t="shared" si="27"/>
        <v>Error?</v>
      </c>
    </row>
    <row r="1809" spans="1:4" x14ac:dyDescent="0.2">
      <c r="A1809" s="5">
        <v>1748</v>
      </c>
      <c r="B1809" s="1832">
        <f>'Tax Sched 23'!E5</f>
        <v>66239</v>
      </c>
      <c r="D1809" s="2" t="str">
        <f t="shared" si="27"/>
        <v>Error?</v>
      </c>
    </row>
    <row r="1810" spans="1:4" x14ac:dyDescent="0.2">
      <c r="A1810" s="5">
        <v>1749</v>
      </c>
      <c r="B1810" s="1832">
        <f>'Tax Sched 23'!E6</f>
        <v>93136</v>
      </c>
      <c r="D1810" s="2" t="str">
        <f t="shared" si="27"/>
        <v>Error?</v>
      </c>
    </row>
    <row r="1811" spans="1:4" x14ac:dyDescent="0.2">
      <c r="A1811" s="5">
        <v>1750</v>
      </c>
      <c r="B1811" s="1832">
        <f>'Tax Sched 23'!E7</f>
        <v>32703</v>
      </c>
      <c r="D1811" s="2" t="str">
        <f t="shared" si="27"/>
        <v>Error?</v>
      </c>
    </row>
    <row r="1812" spans="1:4" x14ac:dyDescent="0.2">
      <c r="A1812" s="5">
        <v>1751</v>
      </c>
      <c r="B1812" s="1832">
        <f>'Tax Sched 23'!E8</f>
        <v>21783</v>
      </c>
      <c r="D1812" s="2" t="str">
        <f t="shared" si="27"/>
        <v>Error?</v>
      </c>
    </row>
    <row r="1813" spans="1:4" x14ac:dyDescent="0.2">
      <c r="A1813" s="5">
        <v>1752</v>
      </c>
      <c r="B1813" s="1832">
        <f>'Tax Sched 23'!E10</f>
        <v>12529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34628</v>
      </c>
      <c r="D1816" s="2" t="str">
        <f t="shared" si="27"/>
        <v>Error?</v>
      </c>
    </row>
    <row r="1817" spans="1:4" x14ac:dyDescent="0.2">
      <c r="A1817" s="5">
        <v>1756</v>
      </c>
      <c r="B1817" s="1832">
        <f>'Tax Sched 23'!E12</f>
        <v>29</v>
      </c>
      <c r="D1817" s="2" t="str">
        <f t="shared" si="27"/>
        <v>Error?</v>
      </c>
    </row>
    <row r="1818" spans="1:4" x14ac:dyDescent="0.2">
      <c r="A1818" s="5">
        <v>1757</v>
      </c>
      <c r="B1818" s="1832">
        <f>'Tax Sched 23'!E14</f>
        <v>5460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818659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585000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4431</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4431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4431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5000</v>
      </c>
      <c r="D2008" s="2" t="str">
        <f t="shared" si="30"/>
        <v>Error?</v>
      </c>
    </row>
    <row r="2009" spans="1:4" x14ac:dyDescent="0.2">
      <c r="A2009" s="5">
        <v>1948</v>
      </c>
      <c r="B2009" s="1832">
        <f>'Cap Outlay Deprec 26'!C8</f>
        <v>890563</v>
      </c>
      <c r="D2009" s="2" t="str">
        <f t="shared" si="30"/>
        <v>Error?</v>
      </c>
    </row>
    <row r="2010" spans="1:4" x14ac:dyDescent="0.2">
      <c r="A2010" s="5">
        <v>1949</v>
      </c>
      <c r="B2010" s="1832">
        <f>'Cap Outlay Deprec 26'!C10</f>
        <v>1679652</v>
      </c>
      <c r="D2010" s="2" t="str">
        <f t="shared" si="30"/>
        <v>Error?</v>
      </c>
    </row>
    <row r="2011" spans="1:4" x14ac:dyDescent="0.2">
      <c r="A2011" s="5">
        <v>1950</v>
      </c>
      <c r="B2011" s="1832">
        <f>'Cap Outlay Deprec 26'!C12</f>
        <v>1101880</v>
      </c>
      <c r="D2011" s="2" t="str">
        <f t="shared" si="30"/>
        <v>Error?</v>
      </c>
    </row>
    <row r="2012" spans="1:4" x14ac:dyDescent="0.2">
      <c r="A2012" s="5">
        <v>1951</v>
      </c>
      <c r="B2012" s="1832">
        <f>'Cap Outlay Deprec 26'!C13</f>
        <v>332662</v>
      </c>
      <c r="D2012" s="2" t="str">
        <f t="shared" si="30"/>
        <v>Error?</v>
      </c>
    </row>
    <row r="2013" spans="1:4" x14ac:dyDescent="0.2">
      <c r="A2013" s="5">
        <v>1952</v>
      </c>
      <c r="B2013" s="1832">
        <f>'Cap Outlay Deprec 26'!C16</f>
        <v>4009757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59818</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59818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5000</v>
      </c>
      <c r="C2026" s="2" t="s">
        <v>569</v>
      </c>
      <c r="D2026" s="2" t="str">
        <f t="shared" si="30"/>
        <v>Error?</v>
      </c>
    </row>
    <row r="2027" spans="1:4" x14ac:dyDescent="0.2">
      <c r="A2027" s="5">
        <v>1966</v>
      </c>
      <c r="B2027" s="1832">
        <f>'Cap Outlay Deprec 26'!F8</f>
        <v>890563</v>
      </c>
      <c r="C2027" s="2" t="s">
        <v>569</v>
      </c>
      <c r="D2027" s="2" t="str">
        <f t="shared" si="30"/>
        <v>Error?</v>
      </c>
    </row>
    <row r="2028" spans="1:4" x14ac:dyDescent="0.2">
      <c r="A2028" s="5">
        <v>1967</v>
      </c>
      <c r="B2028" s="1832">
        <f>'Cap Outlay Deprec 26'!F10</f>
        <v>1739470</v>
      </c>
      <c r="C2028" s="2" t="s">
        <v>569</v>
      </c>
      <c r="D2028" s="2" t="str">
        <f t="shared" si="30"/>
        <v>Error?</v>
      </c>
    </row>
    <row r="2029" spans="1:4" x14ac:dyDescent="0.2">
      <c r="A2029" s="5">
        <v>1968</v>
      </c>
      <c r="B2029" s="1832">
        <f>'Cap Outlay Deprec 26'!F12</f>
        <v>1101880</v>
      </c>
      <c r="C2029" s="2" t="s">
        <v>569</v>
      </c>
      <c r="D2029" s="2" t="str">
        <f t="shared" si="30"/>
        <v>Error?</v>
      </c>
    </row>
    <row r="2030" spans="1:4" x14ac:dyDescent="0.2">
      <c r="A2030" s="5">
        <v>1969</v>
      </c>
      <c r="B2030" s="1832">
        <f>'Cap Outlay Deprec 26'!F13</f>
        <v>332662</v>
      </c>
      <c r="C2030" s="2" t="s">
        <v>569</v>
      </c>
      <c r="D2030" s="2" t="str">
        <f t="shared" si="30"/>
        <v>Error?</v>
      </c>
    </row>
    <row r="2031" spans="1:4" x14ac:dyDescent="0.2">
      <c r="A2031" s="5">
        <v>1970</v>
      </c>
      <c r="B2031" s="1832">
        <f>'Cap Outlay Deprec 26'!F16</f>
        <v>4069575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798464</v>
      </c>
      <c r="D2033" s="2" t="str">
        <f t="shared" si="30"/>
        <v>Error?</v>
      </c>
    </row>
    <row r="2034" spans="1:4" x14ac:dyDescent="0.2">
      <c r="A2034" s="5">
        <v>1973</v>
      </c>
      <c r="B2034" s="1832">
        <f>'Cap Outlay Deprec 26'!H10</f>
        <v>1102034</v>
      </c>
      <c r="D2034" s="2" t="str">
        <f t="shared" si="30"/>
        <v>Error?</v>
      </c>
    </row>
    <row r="2035" spans="1:4" x14ac:dyDescent="0.2">
      <c r="A2035" s="5">
        <v>1974</v>
      </c>
      <c r="B2035" s="1832">
        <f>'Cap Outlay Deprec 26'!H12</f>
        <v>1010019</v>
      </c>
      <c r="D2035" s="2" t="str">
        <f t="shared" si="30"/>
        <v>Error?</v>
      </c>
    </row>
    <row r="2036" spans="1:4" x14ac:dyDescent="0.2">
      <c r="A2036" s="5">
        <v>1975</v>
      </c>
      <c r="B2036" s="1832">
        <f>'Cap Outlay Deprec 26'!H13</f>
        <v>332662</v>
      </c>
      <c r="D2036" s="2" t="str">
        <f t="shared" si="30"/>
        <v>Error?</v>
      </c>
    </row>
    <row r="2037" spans="1:4" x14ac:dyDescent="0.2">
      <c r="A2037" s="5">
        <v>1976</v>
      </c>
      <c r="B2037" s="1832">
        <f>'Cap Outlay Deprec 26'!H16</f>
        <v>3243179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17811</v>
      </c>
      <c r="D2039" s="2" t="str">
        <f t="shared" si="30"/>
        <v>Error?</v>
      </c>
    </row>
    <row r="2040" spans="1:4" x14ac:dyDescent="0.2">
      <c r="A2040" s="5">
        <v>1979</v>
      </c>
      <c r="B2040" s="1832">
        <f>'Cap Outlay Deprec 26'!I10</f>
        <v>68319</v>
      </c>
      <c r="D2040" s="2" t="str">
        <f t="shared" si="30"/>
        <v>Error?</v>
      </c>
    </row>
    <row r="2041" spans="1:4" x14ac:dyDescent="0.2">
      <c r="A2041" s="5">
        <v>1980</v>
      </c>
      <c r="B2041" s="1832">
        <f>'Cap Outlay Deprec 26'!I12</f>
        <v>20638</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106768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816275</v>
      </c>
      <c r="C2051" s="2" t="s">
        <v>569</v>
      </c>
      <c r="D2051" s="2" t="str">
        <f t="shared" si="31"/>
        <v>Error?</v>
      </c>
    </row>
    <row r="2052" spans="1:4" x14ac:dyDescent="0.2">
      <c r="A2052" s="5">
        <v>1991</v>
      </c>
      <c r="B2052" s="1832">
        <f>'Cap Outlay Deprec 26'!K10</f>
        <v>1170353</v>
      </c>
      <c r="C2052" s="2" t="s">
        <v>569</v>
      </c>
      <c r="D2052" s="2" t="str">
        <f t="shared" si="31"/>
        <v>Error?</v>
      </c>
    </row>
    <row r="2053" spans="1:4" x14ac:dyDescent="0.2">
      <c r="A2053" s="5">
        <v>1992</v>
      </c>
      <c r="B2053" s="1832">
        <f>'Cap Outlay Deprec 26'!K12</f>
        <v>1030657</v>
      </c>
      <c r="C2053" s="2" t="s">
        <v>569</v>
      </c>
      <c r="D2053" s="2" t="str">
        <f t="shared" si="31"/>
        <v>Error?</v>
      </c>
    </row>
    <row r="2054" spans="1:4" x14ac:dyDescent="0.2">
      <c r="A2054" s="5">
        <v>1993</v>
      </c>
      <c r="B2054" s="1832">
        <f>'Cap Outlay Deprec 26'!K13</f>
        <v>332662</v>
      </c>
      <c r="C2054" s="2" t="s">
        <v>569</v>
      </c>
      <c r="D2054" s="2" t="str">
        <f t="shared" si="31"/>
        <v>Error?</v>
      </c>
    </row>
    <row r="2055" spans="1:4" x14ac:dyDescent="0.2">
      <c r="A2055" s="5">
        <v>1994</v>
      </c>
      <c r="B2055" s="1832">
        <f>'Cap Outlay Deprec 26'!K16</f>
        <v>3349947</v>
      </c>
      <c r="C2055" s="2" t="s">
        <v>569</v>
      </c>
      <c r="D2055" s="2" t="str">
        <f t="shared" si="31"/>
        <v>Error?</v>
      </c>
    </row>
    <row r="2056" spans="1:4" x14ac:dyDescent="0.2">
      <c r="A2056" s="5">
        <v>1995</v>
      </c>
      <c r="B2056" s="1832">
        <f>'Cap Outlay Deprec 26'!L5</f>
        <v>5000</v>
      </c>
      <c r="C2056" s="2" t="s">
        <v>569</v>
      </c>
      <c r="D2056" s="2" t="str">
        <f t="shared" si="31"/>
        <v>Error?</v>
      </c>
    </row>
    <row r="2057" spans="1:4" x14ac:dyDescent="0.2">
      <c r="A2057" s="5">
        <v>1996</v>
      </c>
      <c r="B2057" s="1832">
        <f>'Cap Outlay Deprec 26'!L8</f>
        <v>74288</v>
      </c>
      <c r="C2057" s="2" t="s">
        <v>569</v>
      </c>
      <c r="D2057" s="2" t="str">
        <f t="shared" si="31"/>
        <v>Error?</v>
      </c>
    </row>
    <row r="2058" spans="1:4" x14ac:dyDescent="0.2">
      <c r="A2058" s="5">
        <v>1997</v>
      </c>
      <c r="B2058" s="1832">
        <f>'Cap Outlay Deprec 26'!L10</f>
        <v>569117</v>
      </c>
      <c r="C2058" s="2" t="s">
        <v>569</v>
      </c>
      <c r="D2058" s="2" t="str">
        <f t="shared" si="31"/>
        <v>Error?</v>
      </c>
    </row>
    <row r="2059" spans="1:4" x14ac:dyDescent="0.2">
      <c r="A2059" s="5">
        <v>1998</v>
      </c>
      <c r="B2059" s="1832">
        <f>'Cap Outlay Deprec 26'!L12</f>
        <v>71223</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719628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35580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35580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81000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27539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2566</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353153</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583176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686043</v>
      </c>
      <c r="C2553" s="2" t="s">
        <v>569</v>
      </c>
      <c r="D2553" s="2" t="str">
        <f t="shared" si="38"/>
        <v>Error?</v>
      </c>
    </row>
    <row r="2554" spans="1:4" x14ac:dyDescent="0.2">
      <c r="A2554" s="5">
        <v>2493</v>
      </c>
      <c r="B2554" s="1832">
        <f>'Acct Summary 7-8'!C7</f>
        <v>267089</v>
      </c>
      <c r="C2554" s="2" t="s">
        <v>569</v>
      </c>
      <c r="D2554" s="2" t="str">
        <f t="shared" si="38"/>
        <v>Error?</v>
      </c>
    </row>
    <row r="2555" spans="1:4" x14ac:dyDescent="0.2">
      <c r="A2555" s="5">
        <v>2494</v>
      </c>
      <c r="B2555" s="1832">
        <f>'Acct Summary 7-8'!C8</f>
        <v>1536308</v>
      </c>
      <c r="C2555" s="2" t="s">
        <v>569</v>
      </c>
      <c r="D2555" s="2" t="str">
        <f t="shared" si="38"/>
        <v>Error?</v>
      </c>
    </row>
    <row r="2556" spans="1:4" x14ac:dyDescent="0.2">
      <c r="A2556" s="5">
        <v>2495</v>
      </c>
      <c r="B2556" s="1832">
        <f>'Acct Summary 7-8'!C12</f>
        <v>994766</v>
      </c>
      <c r="C2556" s="2" t="s">
        <v>569</v>
      </c>
      <c r="D2556" s="2" t="str">
        <f t="shared" si="38"/>
        <v>Error?</v>
      </c>
    </row>
    <row r="2557" spans="1:4" x14ac:dyDescent="0.2">
      <c r="A2557" s="5">
        <v>2496</v>
      </c>
      <c r="B2557" s="1832">
        <f>'Acct Summary 7-8'!C13</f>
        <v>603891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35580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1634237</v>
      </c>
      <c r="C2561" s="2" t="s">
        <v>569</v>
      </c>
      <c r="D2561" s="2" t="str">
        <f t="shared" si="39"/>
        <v>Error?</v>
      </c>
    </row>
    <row r="2562" spans="1:4" x14ac:dyDescent="0.2">
      <c r="A2562" s="5">
        <v>2501</v>
      </c>
      <c r="B2562" s="1832">
        <f>'Acct Summary 7-8'!C20</f>
        <v>-97929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55430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74000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129430</v>
      </c>
      <c r="C2568" s="2" t="s">
        <v>569</v>
      </c>
      <c r="D2568" s="2" t="str">
        <f t="shared" si="39"/>
        <v>Error?</v>
      </c>
    </row>
    <row r="2569" spans="1:4" x14ac:dyDescent="0.2">
      <c r="A2569" s="5">
        <v>2508</v>
      </c>
      <c r="B2569" s="1832">
        <f>'Acct Summary 7-8'!D13</f>
        <v>140290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140290</v>
      </c>
      <c r="C2573" s="2" t="s">
        <v>569</v>
      </c>
      <c r="D2573" s="2" t="str">
        <f t="shared" si="39"/>
        <v>Error?</v>
      </c>
    </row>
    <row r="2574" spans="1:4" x14ac:dyDescent="0.2">
      <c r="A2574" s="5">
        <v>2513</v>
      </c>
      <c r="B2574" s="1832">
        <f>'Acct Summary 7-8'!D20</f>
        <v>-10860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26669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44271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70940</v>
      </c>
      <c r="C2595" s="2" t="s">
        <v>569</v>
      </c>
      <c r="D2595" s="2" t="str">
        <f t="shared" si="39"/>
        <v>Error?</v>
      </c>
    </row>
    <row r="2596" spans="1:4" x14ac:dyDescent="0.2">
      <c r="A2596" s="5">
        <v>2535</v>
      </c>
      <c r="B2596" s="1832">
        <f>'Acct Summary 7-8'!F13</f>
        <v>59793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59793</v>
      </c>
      <c r="C2600" s="2" t="s">
        <v>569</v>
      </c>
      <c r="D2600" s="2" t="str">
        <f t="shared" si="39"/>
        <v>Error?</v>
      </c>
    </row>
    <row r="2601" spans="1:4" x14ac:dyDescent="0.2">
      <c r="A2601" s="5">
        <v>2540</v>
      </c>
      <c r="B2601" s="1832">
        <f>'Acct Summary 7-8'!F20</f>
        <v>11147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30723</v>
      </c>
      <c r="C2603" s="2" t="s">
        <v>569</v>
      </c>
      <c r="D2603" s="2" t="str">
        <f t="shared" si="39"/>
        <v>Error?</v>
      </c>
    </row>
    <row r="2604" spans="1:4" x14ac:dyDescent="0.2">
      <c r="A2604" s="5">
        <v>2543</v>
      </c>
      <c r="B2604" s="1832">
        <f>'Acct Summary 7-8'!G6</f>
        <v>12500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43223</v>
      </c>
      <c r="C2606" s="2" t="s">
        <v>569</v>
      </c>
      <c r="D2606" s="2" t="str">
        <f t="shared" si="39"/>
        <v>Error?</v>
      </c>
    </row>
    <row r="2607" spans="1:4" x14ac:dyDescent="0.2">
      <c r="A2607" s="5">
        <v>2546</v>
      </c>
      <c r="B2607" s="1832">
        <f>'Acct Summary 7-8'!G12</f>
        <v>17342</v>
      </c>
      <c r="C2607" s="2" t="s">
        <v>569</v>
      </c>
      <c r="D2607" s="2" t="str">
        <f t="shared" si="39"/>
        <v>Error?</v>
      </c>
    </row>
    <row r="2608" spans="1:4" x14ac:dyDescent="0.2">
      <c r="A2608" s="5">
        <v>2547</v>
      </c>
      <c r="B2608" s="1832">
        <f>'Acct Summary 7-8'!G13</f>
        <v>23838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41180</v>
      </c>
      <c r="C2612" s="2" t="s">
        <v>569</v>
      </c>
      <c r="D2612" s="2" t="str">
        <f t="shared" si="39"/>
        <v>Error?</v>
      </c>
    </row>
    <row r="2613" spans="1:4" x14ac:dyDescent="0.2">
      <c r="A2613" s="5">
        <v>2552</v>
      </c>
      <c r="B2613" s="1832">
        <f>'Acct Summary 7-8'!G20</f>
        <v>2043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82285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82285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92213</v>
      </c>
      <c r="C2634" s="2" t="s">
        <v>569</v>
      </c>
      <c r="D2634" s="2" t="str">
        <f t="shared" si="40"/>
        <v>Error?</v>
      </c>
    </row>
    <row r="2635" spans="1:4" x14ac:dyDescent="0.2">
      <c r="A2635" s="5">
        <v>2574</v>
      </c>
      <c r="B2635" s="1832">
        <f>'Acct Summary 7-8'!E17</f>
        <v>92213</v>
      </c>
      <c r="C2635" s="2" t="s">
        <v>569</v>
      </c>
      <c r="D2635" s="2" t="str">
        <f t="shared" si="40"/>
        <v>Error?</v>
      </c>
    </row>
    <row r="2636" spans="1:4" x14ac:dyDescent="0.2">
      <c r="A2636" s="5">
        <v>2575</v>
      </c>
      <c r="B2636" s="1832">
        <f>'Acct Summary 7-8'!E20</f>
        <v>-9928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122405</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122405</v>
      </c>
      <c r="C2658" s="2" t="s">
        <v>569</v>
      </c>
      <c r="D2658" s="2" t="str">
        <f t="shared" si="40"/>
        <v>Error?</v>
      </c>
    </row>
    <row r="2659" spans="1:4" x14ac:dyDescent="0.2">
      <c r="A2659" s="5">
        <v>2598</v>
      </c>
      <c r="B2659" s="1832">
        <f>'Acct Summary 7-8'!H13</f>
        <v>59818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59818</v>
      </c>
      <c r="C2661" s="2" t="s">
        <v>569</v>
      </c>
      <c r="D2661" s="2" t="str">
        <f t="shared" si="40"/>
        <v>Error?</v>
      </c>
    </row>
    <row r="2662" spans="1:4" x14ac:dyDescent="0.2">
      <c r="A2662" s="5">
        <v>2601</v>
      </c>
      <c r="B2662" s="1832">
        <f>'Acct Summary 7-8'!H20</f>
        <v>62587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540285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67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540285</v>
      </c>
      <c r="D2912" s="2" t="str">
        <f t="shared" si="44"/>
        <v>Error?</v>
      </c>
    </row>
    <row r="2913" spans="1:4" x14ac:dyDescent="0.2">
      <c r="A2913" s="5">
        <v>2852</v>
      </c>
      <c r="B2913" s="1832">
        <f>'Assets-Liab 5-6'!I41</f>
        <v>540285</v>
      </c>
      <c r="C2913" s="2" t="s">
        <v>569</v>
      </c>
      <c r="D2913" s="2" t="str">
        <f t="shared" si="44"/>
        <v>Error?</v>
      </c>
    </row>
    <row r="2914" spans="1:4" x14ac:dyDescent="0.2">
      <c r="A2914" s="5">
        <v>2853</v>
      </c>
      <c r="B2914" s="1832">
        <f>'Assets-Liab 5-6'!L33</f>
        <v>67</v>
      </c>
      <c r="D2914" s="2" t="str">
        <f t="shared" si="44"/>
        <v>Error?</v>
      </c>
    </row>
    <row r="2915" spans="1:4" x14ac:dyDescent="0.2">
      <c r="A2915" s="10">
        <v>2854</v>
      </c>
      <c r="B2915" s="1832"/>
      <c r="D2915" s="2" t="str">
        <f t="shared" si="44"/>
        <v>OK</v>
      </c>
    </row>
    <row r="2916" spans="1:4" x14ac:dyDescent="0.2">
      <c r="A2916" s="5">
        <v>2855</v>
      </c>
      <c r="B2916" s="1832">
        <f>'Assets-Liab 5-6'!L34</f>
        <v>67</v>
      </c>
      <c r="C2916" s="2" t="s">
        <v>569</v>
      </c>
      <c r="D2916" s="2" t="str">
        <f t="shared" si="44"/>
        <v>Error?</v>
      </c>
    </row>
    <row r="2917" spans="1:4" x14ac:dyDescent="0.2">
      <c r="A2917" s="5">
        <v>2856</v>
      </c>
      <c r="B2917" s="1832">
        <f>'Assets-Liab 5-6'!L41</f>
        <v>67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35580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35580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48440</v>
      </c>
      <c r="D3055" s="2" t="str">
        <f t="shared" si="46"/>
        <v>Error?</v>
      </c>
    </row>
    <row r="3056" spans="1:4" x14ac:dyDescent="0.2">
      <c r="A3056" s="5">
        <v>2995</v>
      </c>
      <c r="B3056" s="1832">
        <f>'Expenditures 15-22'!D10</f>
        <v>10995</v>
      </c>
      <c r="D3056" s="2" t="str">
        <f t="shared" si="46"/>
        <v>Error?</v>
      </c>
    </row>
    <row r="3057" spans="1:4" x14ac:dyDescent="0.2">
      <c r="A3057" s="5">
        <v>2996</v>
      </c>
      <c r="B3057" s="1832">
        <f>'Expenditures 15-22'!E10</f>
        <v>13022</v>
      </c>
      <c r="D3057" s="2" t="str">
        <f t="shared" si="46"/>
        <v>Error?</v>
      </c>
    </row>
    <row r="3058" spans="1:4" x14ac:dyDescent="0.2">
      <c r="A3058" s="5">
        <v>2997</v>
      </c>
      <c r="B3058" s="1832">
        <f>'Expenditures 15-22'!F10</f>
        <v>4864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77321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1401</v>
      </c>
      <c r="D3064" s="2" t="str">
        <f t="shared" si="46"/>
        <v>Error?</v>
      </c>
    </row>
    <row r="3065" spans="1:4" x14ac:dyDescent="0.2">
      <c r="A3065" s="5">
        <v>3004</v>
      </c>
      <c r="B3065" s="1832">
        <f>'Expenditures 15-22'!K219</f>
        <v>1401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10948</v>
      </c>
      <c r="C3225" s="2" t="s">
        <v>569</v>
      </c>
      <c r="D3225" s="2" t="str">
        <f t="shared" si="49"/>
        <v>Error?</v>
      </c>
    </row>
    <row r="3226" spans="1:4" x14ac:dyDescent="0.2">
      <c r="A3226" s="5">
        <v>3165</v>
      </c>
      <c r="B3226" s="1832">
        <f>'Acct Summary 7-8'!I8</f>
        <v>10948</v>
      </c>
      <c r="C3226" s="2" t="s">
        <v>569</v>
      </c>
      <c r="D3226" s="2" t="str">
        <f t="shared" si="49"/>
        <v>Error?</v>
      </c>
    </row>
    <row r="3227" spans="1:4" x14ac:dyDescent="0.2">
      <c r="A3227" s="5">
        <v>3166</v>
      </c>
      <c r="B3227" s="1832">
        <f>'Acct Summary 7-8'!I20</f>
        <v>10948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81000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81000</v>
      </c>
      <c r="C3232" s="2" t="s">
        <v>569</v>
      </c>
      <c r="D3232" s="2" t="str">
        <f t="shared" si="49"/>
        <v>Error?</v>
      </c>
    </row>
    <row r="3233" spans="1:4" x14ac:dyDescent="0.2">
      <c r="A3233" s="5">
        <v>3172</v>
      </c>
      <c r="B3233" s="1832">
        <f>'Acct Summary 7-8'!C78</f>
        <v>-16929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-10860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11147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2043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-9928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62587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81000</v>
      </c>
      <c r="C3318" s="2" t="s">
        <v>569</v>
      </c>
      <c r="D3318" s="2" t="str">
        <f t="shared" si="50"/>
        <v>Error?</v>
      </c>
    </row>
    <row r="3319" spans="1:4" x14ac:dyDescent="0.2">
      <c r="A3319" s="5">
        <v>3258</v>
      </c>
      <c r="B3319" s="1832">
        <f>'Acct Summary 7-8'!I77</f>
        <v>-81000</v>
      </c>
      <c r="C3319" s="2" t="s">
        <v>569</v>
      </c>
      <c r="D3319" s="2" t="str">
        <f t="shared" si="50"/>
        <v>Error?</v>
      </c>
    </row>
    <row r="3320" spans="1:4" x14ac:dyDescent="0.2">
      <c r="A3320" s="5">
        <v>3259</v>
      </c>
      <c r="B3320" s="1832">
        <f>'Acct Summary 7-8'!I78</f>
        <v>-70052</v>
      </c>
      <c r="C3320" s="2" t="s">
        <v>569</v>
      </c>
      <c r="D3320" s="2" t="str">
        <f t="shared" si="50"/>
        <v>Error?</v>
      </c>
    </row>
    <row r="3321" spans="1:4" x14ac:dyDescent="0.2">
      <c r="A3321" s="5">
        <v>3260</v>
      </c>
      <c r="B3321" s="1832">
        <f>'Acct Summary 7-8'!I79</f>
        <v>610337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540285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150476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24053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75388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10039</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260005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10184</v>
      </c>
      <c r="D3387" s="2" t="str">
        <f t="shared" si="51"/>
        <v>Error?</v>
      </c>
    </row>
    <row r="3388" spans="1:4" x14ac:dyDescent="0.2">
      <c r="A3388" s="5">
        <v>3327</v>
      </c>
      <c r="B3388" s="1832">
        <f>'Expenditures 15-22'!D217</f>
        <v>5655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10184</v>
      </c>
      <c r="C3390" s="2" t="s">
        <v>569</v>
      </c>
      <c r="D3390" s="2" t="str">
        <f t="shared" si="51"/>
        <v>Error?</v>
      </c>
    </row>
    <row r="3391" spans="1:4" x14ac:dyDescent="0.2">
      <c r="A3391" s="5">
        <v>3330</v>
      </c>
      <c r="B3391" s="1832">
        <f>'Expenditures 15-22'!K217</f>
        <v>5655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869818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203446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14185</v>
      </c>
      <c r="D3417" s="2" t="str">
        <f t="shared" si="52"/>
        <v>Error?</v>
      </c>
    </row>
    <row r="3418" spans="1:4" x14ac:dyDescent="0.2">
      <c r="A3418" s="10">
        <v>3357</v>
      </c>
      <c r="B3418" s="1832"/>
      <c r="D3418" s="2" t="str">
        <f t="shared" si="52"/>
        <v>OK</v>
      </c>
    </row>
    <row r="3419" spans="1:4" x14ac:dyDescent="0.2">
      <c r="A3419" s="5">
        <v>3358</v>
      </c>
      <c r="B3419" s="1832">
        <f>'Assets-Liab 5-6'!F4</f>
        <v>291564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14100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480917</v>
      </c>
      <c r="D3425" s="2" t="str">
        <f t="shared" si="52"/>
        <v>Error?</v>
      </c>
    </row>
    <row r="3426" spans="1:4" x14ac:dyDescent="0.2">
      <c r="A3426" s="10">
        <v>3365</v>
      </c>
      <c r="B3426" s="1832"/>
      <c r="D3426" s="2" t="str">
        <f t="shared" si="52"/>
        <v>OK</v>
      </c>
    </row>
    <row r="3427" spans="1:4" x14ac:dyDescent="0.2">
      <c r="A3427" s="5">
        <v>3366</v>
      </c>
      <c r="B3427" s="1832">
        <f>'Assets-Liab 5-6'!I4</f>
        <v>540285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67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15970</v>
      </c>
      <c r="C3446" s="2" t="s">
        <v>569</v>
      </c>
      <c r="D3446" s="2" t="str">
        <f t="shared" si="52"/>
        <v>Error?</v>
      </c>
    </row>
    <row r="3447" spans="1:4" x14ac:dyDescent="0.2">
      <c r="A3447" s="5">
        <v>3386</v>
      </c>
      <c r="B3447" s="1832">
        <f>'Tax Sched 23'!D16</f>
        <v>14564</v>
      </c>
      <c r="C3447" s="2" t="s">
        <v>569</v>
      </c>
      <c r="D3447" s="2" t="str">
        <f t="shared" si="52"/>
        <v>Error?</v>
      </c>
    </row>
    <row r="3448" spans="1:4" x14ac:dyDescent="0.2">
      <c r="A3448" s="5">
        <v>3387</v>
      </c>
      <c r="B3448" s="1832">
        <f>'Tax Sched 23'!C16</f>
        <v>1406</v>
      </c>
      <c r="D3448" s="2" t="str">
        <f t="shared" si="52"/>
        <v>Error?</v>
      </c>
    </row>
    <row r="3449" spans="1:4" x14ac:dyDescent="0.2">
      <c r="A3449" s="5">
        <v>3388</v>
      </c>
      <c r="B3449" s="1832">
        <f>'Tax Sched 23'!F16</f>
        <v>16899</v>
      </c>
      <c r="C3449" s="2" t="s">
        <v>569</v>
      </c>
      <c r="D3449" s="2" t="str">
        <f t="shared" si="52"/>
        <v>Error?</v>
      </c>
    </row>
    <row r="3450" spans="1:4" x14ac:dyDescent="0.2">
      <c r="A3450" s="5">
        <v>3389</v>
      </c>
      <c r="B3450" s="1832">
        <f>'Tax Sched 23'!E16</f>
        <v>18305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32641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32641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32641</v>
      </c>
      <c r="D3567" s="2" t="str">
        <f t="shared" si="54"/>
        <v>Error?</v>
      </c>
    </row>
    <row r="3568" spans="1:4" x14ac:dyDescent="0.2">
      <c r="A3568" s="5">
        <v>3507</v>
      </c>
      <c r="B3568" s="1832">
        <f>'Assets-Liab 5-6'!K41</f>
        <v>32641</v>
      </c>
      <c r="C3568" s="2" t="s">
        <v>569</v>
      </c>
      <c r="D3568" s="2" t="str">
        <f t="shared" si="54"/>
        <v>Error?</v>
      </c>
    </row>
    <row r="3569" spans="1:4" x14ac:dyDescent="0.2">
      <c r="A3569" s="5">
        <v>3508</v>
      </c>
      <c r="B3569" s="1832">
        <f>'Acct Summary 7-8'!K4</f>
        <v>24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24</v>
      </c>
      <c r="C3588" s="2" t="s">
        <v>569</v>
      </c>
      <c r="D3588" s="2" t="str">
        <f t="shared" si="55"/>
        <v>Error?</v>
      </c>
    </row>
    <row r="3589" spans="1:4" x14ac:dyDescent="0.2">
      <c r="A3589" s="5">
        <v>3528</v>
      </c>
      <c r="B3589" s="1832">
        <f>'Acct Summary 7-8'!K79</f>
        <v>32617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32641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24</v>
      </c>
      <c r="C3725" s="2" t="s">
        <v>569</v>
      </c>
      <c r="D3725" s="2" t="str">
        <f t="shared" si="57"/>
        <v>Error?</v>
      </c>
    </row>
    <row r="3726" spans="1:4" x14ac:dyDescent="0.2">
      <c r="A3726" s="5">
        <v>3665</v>
      </c>
      <c r="B3726" s="1832">
        <f>'Tax Sched 23'!D13</f>
        <v>22</v>
      </c>
      <c r="C3726" s="2" t="s">
        <v>569</v>
      </c>
      <c r="D3726" s="2" t="str">
        <f t="shared" si="57"/>
        <v>Error?</v>
      </c>
    </row>
    <row r="3727" spans="1:4" x14ac:dyDescent="0.2">
      <c r="A3727" s="5">
        <v>3666</v>
      </c>
      <c r="B3727" s="1832">
        <f>'Tax Sched 23'!C13</f>
        <v>2</v>
      </c>
      <c r="D3727" s="2" t="str">
        <f t="shared" si="57"/>
        <v>Error?</v>
      </c>
    </row>
    <row r="3728" spans="1:4" x14ac:dyDescent="0.2">
      <c r="A3728" s="5">
        <v>3667</v>
      </c>
      <c r="B3728" s="1832">
        <f>'Tax Sched 23'!F13</f>
        <v>27</v>
      </c>
      <c r="C3728" s="2" t="s">
        <v>569</v>
      </c>
      <c r="D3728" s="2" t="str">
        <f t="shared" si="57"/>
        <v>Error?</v>
      </c>
    </row>
    <row r="3729" spans="1:4" x14ac:dyDescent="0.2">
      <c r="A3729" s="5">
        <v>3668</v>
      </c>
      <c r="B3729" s="1832">
        <f>'Tax Sched 23'!E13</f>
        <v>29</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752694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2289002</v>
      </c>
      <c r="C4122" s="2" t="s">
        <v>569</v>
      </c>
      <c r="D4122" s="2" t="str">
        <f t="shared" si="63"/>
        <v>Error?</v>
      </c>
    </row>
    <row r="4123" spans="1:4" x14ac:dyDescent="0.2">
      <c r="A4123" s="5">
        <v>4062</v>
      </c>
      <c r="B4123" s="1832">
        <f>'Acct Summary 7-8'!D10</f>
        <v>129430</v>
      </c>
      <c r="C4123" s="2" t="s">
        <v>569</v>
      </c>
      <c r="D4123" s="2" t="str">
        <f t="shared" si="63"/>
        <v>Error?</v>
      </c>
    </row>
    <row r="4124" spans="1:4" x14ac:dyDescent="0.2">
      <c r="A4124" s="5">
        <v>4063</v>
      </c>
      <c r="B4124" s="1832">
        <f>'Acct Summary 7-8'!E10</f>
        <v>82285</v>
      </c>
      <c r="C4124" s="2" t="s">
        <v>569</v>
      </c>
      <c r="D4124" s="2" t="str">
        <f t="shared" si="63"/>
        <v>Error?</v>
      </c>
    </row>
    <row r="4125" spans="1:4" x14ac:dyDescent="0.2">
      <c r="A4125" s="5">
        <v>4064</v>
      </c>
      <c r="B4125" s="1832">
        <f>'Acct Summary 7-8'!F10</f>
        <v>70940</v>
      </c>
      <c r="C4125" s="2" t="s">
        <v>569</v>
      </c>
      <c r="D4125" s="2" t="str">
        <f t="shared" si="63"/>
        <v>Error?</v>
      </c>
    </row>
    <row r="4126" spans="1:4" x14ac:dyDescent="0.2">
      <c r="A4126" s="5">
        <v>4065</v>
      </c>
      <c r="B4126" s="1832">
        <f>'Acct Summary 7-8'!G10</f>
        <v>43223</v>
      </c>
      <c r="C4126" s="2" t="s">
        <v>569</v>
      </c>
      <c r="D4126" s="2" t="str">
        <f t="shared" si="63"/>
        <v>Error?</v>
      </c>
    </row>
    <row r="4127" spans="1:4" x14ac:dyDescent="0.2">
      <c r="A4127" s="5">
        <v>4066</v>
      </c>
      <c r="B4127" s="1832">
        <f>'Acct Summary 7-8'!H10</f>
        <v>122405</v>
      </c>
      <c r="C4127" s="2" t="s">
        <v>569</v>
      </c>
      <c r="D4127" s="2" t="str">
        <f t="shared" si="63"/>
        <v>Error?</v>
      </c>
    </row>
    <row r="4128" spans="1:4" x14ac:dyDescent="0.2">
      <c r="A4128" s="5">
        <v>4067</v>
      </c>
      <c r="B4128" s="1832">
        <f>'Acct Summary 7-8'!I10</f>
        <v>10948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24</v>
      </c>
      <c r="C4130" s="2" t="s">
        <v>569</v>
      </c>
      <c r="D4130" s="2" t="str">
        <f t="shared" si="63"/>
        <v>Error?</v>
      </c>
    </row>
    <row r="4131" spans="1:4" x14ac:dyDescent="0.2">
      <c r="A4131" s="5">
        <v>4070</v>
      </c>
      <c r="B4131" s="1832">
        <f>'Acct Summary 7-8'!C18</f>
        <v>752694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2386931</v>
      </c>
      <c r="C4136" s="2" t="s">
        <v>569</v>
      </c>
      <c r="D4136" s="2" t="str">
        <f t="shared" si="63"/>
        <v>Error?</v>
      </c>
    </row>
    <row r="4137" spans="1:4" x14ac:dyDescent="0.2">
      <c r="A4137" s="5">
        <v>4076</v>
      </c>
      <c r="B4137" s="1832">
        <f>'Acct Summary 7-8'!D19</f>
        <v>140290</v>
      </c>
      <c r="C4137" s="2" t="s">
        <v>569</v>
      </c>
      <c r="D4137" s="2" t="str">
        <f t="shared" si="63"/>
        <v>Error?</v>
      </c>
    </row>
    <row r="4138" spans="1:4" x14ac:dyDescent="0.2">
      <c r="A4138" s="5">
        <v>4077</v>
      </c>
      <c r="B4138" s="1832">
        <f>'Acct Summary 7-8'!E19</f>
        <v>92213</v>
      </c>
      <c r="C4138" s="2" t="s">
        <v>569</v>
      </c>
      <c r="D4138" s="2" t="str">
        <f t="shared" si="63"/>
        <v>Error?</v>
      </c>
    </row>
    <row r="4139" spans="1:4" x14ac:dyDescent="0.2">
      <c r="A4139" s="5">
        <v>4078</v>
      </c>
      <c r="B4139" s="1832">
        <f>'Acct Summary 7-8'!F19</f>
        <v>59793</v>
      </c>
      <c r="C4139" s="2" t="s">
        <v>569</v>
      </c>
      <c r="D4139" s="2" t="str">
        <f t="shared" si="63"/>
        <v>Error?</v>
      </c>
    </row>
    <row r="4140" spans="1:4" x14ac:dyDescent="0.2">
      <c r="A4140" s="5">
        <v>4079</v>
      </c>
      <c r="B4140" s="1832">
        <f>'Acct Summary 7-8'!G19</f>
        <v>41180</v>
      </c>
      <c r="C4140" s="2" t="s">
        <v>569</v>
      </c>
      <c r="D4140" s="2" t="str">
        <f t="shared" si="63"/>
        <v>Error?</v>
      </c>
    </row>
    <row r="4141" spans="1:4" x14ac:dyDescent="0.2">
      <c r="A4141" s="5">
        <v>4080</v>
      </c>
      <c r="B4141" s="1832">
        <f>'Acct Summary 7-8'!H19</f>
        <v>59818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526000</v>
      </c>
      <c r="C4171" s="2" t="s">
        <v>569</v>
      </c>
      <c r="D4171" s="2" t="str">
        <f t="shared" si="64"/>
        <v>Error?</v>
      </c>
    </row>
    <row r="4172" spans="1:4" x14ac:dyDescent="0.2">
      <c r="A4172" s="5">
        <v>4111</v>
      </c>
      <c r="B4172" s="1832">
        <f>'Short-Term Long-Term Debt 24'!J49</f>
        <v>511815</v>
      </c>
      <c r="C4172" s="2" t="s">
        <v>569</v>
      </c>
      <c r="D4172" s="2" t="str">
        <f t="shared" si="64"/>
        <v>Error?</v>
      </c>
    </row>
    <row r="4173" spans="1:4" x14ac:dyDescent="0.2">
      <c r="A4173" s="5">
        <v>4112</v>
      </c>
      <c r="B4173" s="1832">
        <f>'Short-Term Long-Term Debt 24'!H49</f>
        <v>59000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1857.6</v>
      </c>
      <c r="C4265" s="2" t="s">
        <v>569</v>
      </c>
      <c r="D4265" s="2" t="str">
        <f t="shared" si="65"/>
        <v>Error?</v>
      </c>
      <c r="E4265" s="125"/>
    </row>
    <row r="4266" spans="1:5" x14ac:dyDescent="0.2">
      <c r="A4266" s="12">
        <v>4205</v>
      </c>
      <c r="B4266" s="1832">
        <f>('FP Info 3'!F10)*100000</f>
        <v>230.50000000000003</v>
      </c>
      <c r="C4266" s="2" t="s">
        <v>569</v>
      </c>
      <c r="D4266" s="2" t="str">
        <f t="shared" si="65"/>
        <v>Error?</v>
      </c>
      <c r="E4266" s="125"/>
    </row>
    <row r="4267" spans="1:5" x14ac:dyDescent="0.2">
      <c r="A4267" s="12">
        <v>4206</v>
      </c>
      <c r="B4267" s="1832">
        <f>('FP Info 3'!H10)*100000</f>
        <v>138</v>
      </c>
      <c r="C4267" s="2" t="s">
        <v>569</v>
      </c>
      <c r="D4267" s="2" t="str">
        <f t="shared" si="65"/>
        <v>Error?</v>
      </c>
      <c r="E4267" s="125"/>
    </row>
    <row r="4268" spans="1:5" x14ac:dyDescent="0.2">
      <c r="A4268" s="12">
        <v>4207</v>
      </c>
      <c r="B4268" s="1832">
        <f>('FP Info 3'!J10)*100000</f>
        <v>2226</v>
      </c>
      <c r="C4268" s="2" t="s">
        <v>569</v>
      </c>
      <c r="D4268" s="2" t="str">
        <f t="shared" si="65"/>
        <v>Error?</v>
      </c>
    </row>
    <row r="4269" spans="1:5" x14ac:dyDescent="0.2">
      <c r="A4269" s="12">
        <v>4208</v>
      </c>
      <c r="B4269" s="1832">
        <f>'FP Info 3'!J16</f>
        <v>1905113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18130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5161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10964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43.6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28736968</v>
      </c>
      <c r="D4995" s="2" t="str">
        <f t="shared" si="77"/>
        <v>Error?</v>
      </c>
    </row>
    <row r="4996" spans="1:4" x14ac:dyDescent="0.2">
      <c r="A4996" s="12">
        <v>4935</v>
      </c>
      <c r="B4996" s="1832">
        <f>'FP Info 3'!H31</f>
        <v>1982850.7920000001</v>
      </c>
      <c r="D4996" s="2" t="str">
        <f t="shared" si="77"/>
        <v>Error?</v>
      </c>
    </row>
    <row r="4997" spans="1:4" x14ac:dyDescent="0.2">
      <c r="A4997" s="12">
        <v>4936</v>
      </c>
      <c r="B4997" s="1832">
        <f>'FP Info 3'!H37</f>
        <v>526000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456361</v>
      </c>
      <c r="D5061" s="2" t="str">
        <f t="shared" si="78"/>
        <v>Error?</v>
      </c>
    </row>
    <row r="5062" spans="1:4" x14ac:dyDescent="0.2">
      <c r="A5062" s="10">
        <v>5001</v>
      </c>
      <c r="B5062" s="1832"/>
      <c r="D5062" s="2" t="str">
        <f t="shared" si="78"/>
        <v>OK</v>
      </c>
    </row>
    <row r="5063" spans="1:4" x14ac:dyDescent="0.2">
      <c r="A5063" s="5">
        <v>5002</v>
      </c>
      <c r="B5063" s="1832">
        <f>'Revenues 9-14'!C7</f>
        <v>4431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460816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15662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15662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36380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36380</v>
      </c>
      <c r="C5090" s="2" t="s">
        <v>569</v>
      </c>
      <c r="D5090" s="2" t="str">
        <f t="shared" si="78"/>
        <v>Error?</v>
      </c>
    </row>
    <row r="5091" spans="1:4" x14ac:dyDescent="0.2">
      <c r="A5091" s="5">
        <v>5030</v>
      </c>
      <c r="B5091" s="1832">
        <f>'Revenues 9-14'!C70</f>
        <v>2022</v>
      </c>
      <c r="D5091" s="2" t="str">
        <f t="shared" si="78"/>
        <v>Error?</v>
      </c>
    </row>
    <row r="5092" spans="1:4" x14ac:dyDescent="0.2">
      <c r="A5092" s="5">
        <v>5031</v>
      </c>
      <c r="B5092" s="1832">
        <f>'Revenues 9-14'!C71</f>
        <v>202</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691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8133</v>
      </c>
      <c r="C5096" s="2" t="s">
        <v>569</v>
      </c>
      <c r="D5096" s="2" t="str">
        <f t="shared" si="78"/>
        <v>Error?</v>
      </c>
    </row>
    <row r="5097" spans="1:4" x14ac:dyDescent="0.2">
      <c r="A5097" s="5">
        <v>5036</v>
      </c>
      <c r="B5097" s="1832">
        <f>'Revenues 9-14'!C77</f>
        <v>2348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2080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4428</v>
      </c>
      <c r="C5102" s="2" t="s">
        <v>569</v>
      </c>
      <c r="D5102" s="2" t="str">
        <f t="shared" si="78"/>
        <v>Error?</v>
      </c>
    </row>
    <row r="5103" spans="1:4" x14ac:dyDescent="0.2">
      <c r="A5103" s="5">
        <v>5042</v>
      </c>
      <c r="B5103" s="1832">
        <f>'Revenues 9-14'!C84</f>
        <v>5100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5100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33882</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18775</v>
      </c>
      <c r="D5119" s="2" t="str">
        <f t="shared" ref="D5119:D5182" si="79">IF(ISBLANK(B5119),"OK",IF(A5119-B5119=0,"OK","Error?"))</f>
        <v>Error?</v>
      </c>
    </row>
    <row r="5120" spans="1:4" x14ac:dyDescent="0.2">
      <c r="A5120" s="5">
        <v>5059</v>
      </c>
      <c r="B5120" s="1832">
        <f>'Revenues 9-14'!C108</f>
        <v>52657</v>
      </c>
      <c r="C5120" s="2" t="s">
        <v>569</v>
      </c>
      <c r="D5120" s="2" t="str">
        <f t="shared" si="79"/>
        <v>Error?</v>
      </c>
    </row>
    <row r="5121" spans="1:4" x14ac:dyDescent="0.2">
      <c r="A5121" s="5">
        <v>5060</v>
      </c>
      <c r="B5121" s="1832">
        <f>'Revenues 9-14'!C109</f>
        <v>583176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681993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681993</v>
      </c>
      <c r="C5132" s="2" t="s">
        <v>569</v>
      </c>
      <c r="D5132" s="2" t="str">
        <f t="shared" si="79"/>
        <v>Error?</v>
      </c>
    </row>
    <row r="5133" spans="1:4" x14ac:dyDescent="0.2">
      <c r="A5133" s="5">
        <v>5072</v>
      </c>
      <c r="B5133" s="1832">
        <f>'Revenues 9-14'!C125</f>
        <v>3174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3174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876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4050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686043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38646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19760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58406</v>
      </c>
      <c r="C5246" s="2" t="s">
        <v>569</v>
      </c>
      <c r="D5246" s="2" t="str">
        <f t="shared" si="80"/>
        <v>Error?</v>
      </c>
    </row>
    <row r="5247" spans="1:4" x14ac:dyDescent="0.2">
      <c r="A5247" s="5">
        <v>5186</v>
      </c>
      <c r="B5247" s="1832">
        <f>'Revenues 9-14'!C200</f>
        <v>129051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5161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129051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1893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43484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45377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267089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267089</v>
      </c>
      <c r="C5326" s="2" t="s">
        <v>569</v>
      </c>
      <c r="D5326" s="2" t="str">
        <f t="shared" si="82"/>
        <v>Error?</v>
      </c>
    </row>
    <row r="5327" spans="1:5" x14ac:dyDescent="0.2">
      <c r="A5327" s="5">
        <v>5266</v>
      </c>
      <c r="B5327" s="1832">
        <f>'Revenues 9-14'!C268</f>
        <v>1536308</v>
      </c>
      <c r="C5327" s="2" t="s">
        <v>569</v>
      </c>
      <c r="D5327" s="2" t="str">
        <f t="shared" si="82"/>
        <v>Error?</v>
      </c>
    </row>
    <row r="5328" spans="1:5" x14ac:dyDescent="0.2">
      <c r="A5328" s="5">
        <v>5267</v>
      </c>
      <c r="B5328" s="1832">
        <f>'Revenues 9-14'!D5</f>
        <v>55430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55430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55430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74000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74000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74000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129430</v>
      </c>
      <c r="C5508" s="2" t="s">
        <v>569</v>
      </c>
      <c r="D5508" s="2" t="str">
        <f t="shared" si="85"/>
        <v>Error?</v>
      </c>
    </row>
    <row r="5509" spans="1:4" x14ac:dyDescent="0.2">
      <c r="A5509" s="5">
        <v>5448</v>
      </c>
      <c r="B5509" s="1832">
        <f>'Revenues 9-14'!E5</f>
        <v>82285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82285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82285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82285</v>
      </c>
      <c r="C5552" s="2" t="s">
        <v>569</v>
      </c>
      <c r="D5552" s="2" t="str">
        <f t="shared" si="85"/>
        <v>Error?</v>
      </c>
    </row>
    <row r="5553" spans="1:4" x14ac:dyDescent="0.2">
      <c r="A5553" s="5">
        <v>5492</v>
      </c>
      <c r="B5553" s="1832">
        <f>'Revenues 9-14'!F5</f>
        <v>26669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26669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26669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29786</v>
      </c>
      <c r="D5615" s="2" t="str">
        <f t="shared" si="86"/>
        <v>Error?</v>
      </c>
    </row>
    <row r="5616" spans="1:4" x14ac:dyDescent="0.2">
      <c r="A5616" s="10">
        <v>5555</v>
      </c>
      <c r="B5616" s="1832"/>
      <c r="D5616" s="2" t="str">
        <f t="shared" si="86"/>
        <v>OK</v>
      </c>
    </row>
    <row r="5617" spans="1:5" x14ac:dyDescent="0.2">
      <c r="A5617" s="5">
        <v>5556</v>
      </c>
      <c r="B5617" s="1832">
        <f>'Revenues 9-14'!F153</f>
        <v>4485</v>
      </c>
      <c r="D5617" s="2" t="str">
        <f t="shared" si="86"/>
        <v>Error?</v>
      </c>
    </row>
    <row r="5618" spans="1:5" x14ac:dyDescent="0.2">
      <c r="A5618" s="5">
        <v>5557</v>
      </c>
      <c r="B5618" s="1832">
        <f>'Revenues 9-14'!F155</f>
        <v>34271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34271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44271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70940</v>
      </c>
      <c r="C5720" s="2" t="s">
        <v>569</v>
      </c>
      <c r="D5720" s="2" t="str">
        <f t="shared" si="88"/>
        <v>Error?</v>
      </c>
    </row>
    <row r="5721" spans="1:4" x14ac:dyDescent="0.2">
      <c r="A5721" s="5">
        <v>5660</v>
      </c>
      <c r="B5721" s="1832">
        <f>'Revenues 9-14'!G5</f>
        <v>14253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15970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30223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500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12500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12500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12500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43223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122405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122405</v>
      </c>
      <c r="C5915" s="2" t="s">
        <v>569</v>
      </c>
      <c r="D5915" s="2" t="str">
        <f t="shared" si="91"/>
        <v>Error?</v>
      </c>
    </row>
    <row r="5916" spans="1:4" x14ac:dyDescent="0.2">
      <c r="A5916" s="5">
        <v>5855</v>
      </c>
      <c r="B5916" s="1832">
        <f>'Revenues 9-14'!I5</f>
        <v>10948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10948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10948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24</v>
      </c>
      <c r="C6023" s="2" t="s">
        <v>569</v>
      </c>
      <c r="D6023" s="2" t="str">
        <f t="shared" si="93"/>
        <v>Error?</v>
      </c>
    </row>
    <row r="6024" spans="1:5" x14ac:dyDescent="0.2">
      <c r="A6024" s="5">
        <v>5963</v>
      </c>
      <c r="B6024" s="1832">
        <f>'Revenues 9-14'!G109</f>
        <v>30723</v>
      </c>
      <c r="C6024" s="2" t="s">
        <v>569</v>
      </c>
      <c r="D6024" s="2" t="str">
        <f t="shared" si="93"/>
        <v>Error?</v>
      </c>
    </row>
    <row r="6025" spans="1:5" x14ac:dyDescent="0.2">
      <c r="A6025" s="5">
        <v>5964</v>
      </c>
      <c r="B6025" s="1832">
        <f>'Revenues 9-14'!H109</f>
        <v>122405</v>
      </c>
      <c r="C6025" s="2" t="s">
        <v>569</v>
      </c>
      <c r="D6025" s="2" t="str">
        <f t="shared" si="93"/>
        <v>Error?</v>
      </c>
    </row>
    <row r="6026" spans="1:5" x14ac:dyDescent="0.2">
      <c r="A6026" s="5">
        <v>5965</v>
      </c>
      <c r="B6026" s="1832">
        <f>'Revenues 9-14'!I109</f>
        <v>10948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5218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154.1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30649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30649</v>
      </c>
      <c r="D6215" s="2" t="str">
        <f t="shared" si="96"/>
        <v>Error?</v>
      </c>
      <c r="E6215" s="2" t="s">
        <v>189</v>
      </c>
    </row>
    <row r="6216" spans="1:5" x14ac:dyDescent="0.2">
      <c r="A6216">
        <v>6155</v>
      </c>
      <c r="B6216" s="1832">
        <f>'Assets-Liab 5-6'!J41</f>
        <v>30649</v>
      </c>
      <c r="D6216" s="2" t="str">
        <f t="shared" si="96"/>
        <v>Error?</v>
      </c>
      <c r="E6216" s="2" t="s">
        <v>189</v>
      </c>
    </row>
    <row r="6217" spans="1:5" x14ac:dyDescent="0.2">
      <c r="A6217">
        <v>6156</v>
      </c>
      <c r="B6217" s="1832">
        <f>'Assets-Liab 5-6'!J4</f>
        <v>30649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35276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35276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35276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35336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35336</v>
      </c>
      <c r="D6229" s="2" t="str">
        <f t="shared" si="96"/>
        <v>Error?</v>
      </c>
      <c r="E6229" s="2" t="s">
        <v>189</v>
      </c>
    </row>
    <row r="6230" spans="1:5" x14ac:dyDescent="0.2">
      <c r="A6230">
        <v>6169</v>
      </c>
      <c r="B6230" s="1832">
        <f>'Acct Summary 7-8'!J20</f>
        <v>-60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-60</v>
      </c>
      <c r="D6263" s="2" t="str">
        <f t="shared" si="96"/>
        <v>Error?</v>
      </c>
      <c r="E6263" s="2" t="s">
        <v>189</v>
      </c>
    </row>
    <row r="6264" spans="1:5" x14ac:dyDescent="0.2">
      <c r="A6264">
        <v>6203</v>
      </c>
      <c r="B6264" s="1832">
        <f>'Acct Summary 7-8'!J79</f>
        <v>30709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30649</v>
      </c>
      <c r="D6266" s="2" t="str">
        <f t="shared" si="96"/>
        <v>Error?</v>
      </c>
      <c r="E6266" s="2" t="s">
        <v>189</v>
      </c>
    </row>
    <row r="6267" spans="1:5" x14ac:dyDescent="0.2">
      <c r="A6267">
        <v>6206</v>
      </c>
      <c r="B6267" s="1832">
        <f>'Acct Summary 7-8'!C82</f>
        <v>-16929</v>
      </c>
      <c r="D6267" s="2" t="str">
        <f t="shared" si="96"/>
        <v>Error?</v>
      </c>
      <c r="E6267" s="2" t="s">
        <v>189</v>
      </c>
    </row>
    <row r="6268" spans="1:5" x14ac:dyDescent="0.2">
      <c r="A6268">
        <v>6207</v>
      </c>
      <c r="B6268" s="1832">
        <f>'Acct Summary 7-8'!D82</f>
        <v>-10860</v>
      </c>
      <c r="D6268" s="2" t="str">
        <f t="shared" si="96"/>
        <v>Error?</v>
      </c>
      <c r="E6268" s="2" t="s">
        <v>189</v>
      </c>
    </row>
    <row r="6269" spans="1:5" x14ac:dyDescent="0.2">
      <c r="A6269">
        <v>6208</v>
      </c>
      <c r="B6269" s="1832">
        <f>'Acct Summary 7-8'!E82</f>
        <v>-9928</v>
      </c>
      <c r="D6269" s="2" t="str">
        <f t="shared" si="96"/>
        <v>Error?</v>
      </c>
      <c r="E6269" s="2" t="s">
        <v>189</v>
      </c>
    </row>
    <row r="6270" spans="1:5" x14ac:dyDescent="0.2">
      <c r="A6270">
        <v>6209</v>
      </c>
      <c r="B6270" s="1832">
        <f>'Acct Summary 7-8'!F82</f>
        <v>11147</v>
      </c>
      <c r="D6270" s="2" t="str">
        <f t="shared" si="96"/>
        <v>Error?</v>
      </c>
      <c r="E6270" s="2" t="s">
        <v>189</v>
      </c>
    </row>
    <row r="6271" spans="1:5" x14ac:dyDescent="0.2">
      <c r="A6271">
        <v>6210</v>
      </c>
      <c r="B6271" s="1832">
        <f>'Acct Summary 7-8'!G82</f>
        <v>2043</v>
      </c>
      <c r="D6271" s="2" t="str">
        <f t="shared" ref="D6271:D6334" si="97">IF(ISBLANK(B6271),"OK",IF(A6271-B6271=0,"OK","Error?"))</f>
        <v>Error?</v>
      </c>
      <c r="E6271" s="2" t="s">
        <v>189</v>
      </c>
    </row>
    <row r="6272" spans="1:5" x14ac:dyDescent="0.2">
      <c r="A6272">
        <v>6211</v>
      </c>
      <c r="B6272" s="1832">
        <f>'Acct Summary 7-8'!H82</f>
        <v>62587</v>
      </c>
      <c r="D6272" s="2" t="str">
        <f t="shared" si="97"/>
        <v>Error?</v>
      </c>
      <c r="E6272" s="2" t="s">
        <v>189</v>
      </c>
    </row>
    <row r="6273" spans="1:5" x14ac:dyDescent="0.2">
      <c r="A6273">
        <v>6212</v>
      </c>
      <c r="B6273" s="1832">
        <f>'Acct Summary 7-8'!I82</f>
        <v>-70052</v>
      </c>
      <c r="D6273" s="2" t="str">
        <f t="shared" si="97"/>
        <v>Error?</v>
      </c>
      <c r="E6273" s="2" t="s">
        <v>189</v>
      </c>
    </row>
    <row r="6274" spans="1:5" x14ac:dyDescent="0.2">
      <c r="A6274">
        <v>6213</v>
      </c>
      <c r="B6274" s="1832">
        <f>'Acct Summary 7-8'!J82</f>
        <v>-60</v>
      </c>
      <c r="D6274" s="2" t="str">
        <f t="shared" si="97"/>
        <v>Error?</v>
      </c>
      <c r="E6274" s="2" t="s">
        <v>189</v>
      </c>
    </row>
    <row r="6275" spans="1:5" x14ac:dyDescent="0.2">
      <c r="A6275">
        <v>6214</v>
      </c>
      <c r="B6275" s="1832">
        <f>'Acct Summary 7-8'!K82</f>
        <v>24</v>
      </c>
      <c r="D6275" s="2" t="str">
        <f t="shared" si="97"/>
        <v>Error?</v>
      </c>
      <c r="E6275" s="2" t="s">
        <v>189</v>
      </c>
    </row>
    <row r="6276" spans="1:5" x14ac:dyDescent="0.2">
      <c r="A6276">
        <v>6215</v>
      </c>
      <c r="B6276" s="1832">
        <f>'Acct Summary 7-8'!C83</f>
        <v>-1.9462692195378804E-2</v>
      </c>
      <c r="D6276" s="2" t="str">
        <f t="shared" si="97"/>
        <v>Error?</v>
      </c>
      <c r="E6276" s="2" t="s">
        <v>189</v>
      </c>
    </row>
    <row r="6277" spans="1:5" x14ac:dyDescent="0.2">
      <c r="A6277">
        <v>6216</v>
      </c>
      <c r="B6277" s="1832">
        <f>'Acct Summary 7-8'!D83</f>
        <v>-5.3380258152040345E-2</v>
      </c>
      <c r="D6277" s="2" t="str">
        <f t="shared" si="97"/>
        <v>Error?</v>
      </c>
      <c r="E6277" s="2" t="s">
        <v>189</v>
      </c>
    </row>
    <row r="6278" spans="1:5" x14ac:dyDescent="0.2">
      <c r="A6278">
        <v>6217</v>
      </c>
      <c r="B6278" s="1832">
        <f>'Acct Summary 7-8'!E83</f>
        <v>-0.69989425449418396</v>
      </c>
      <c r="D6278" s="2" t="str">
        <f t="shared" si="97"/>
        <v>Error?</v>
      </c>
      <c r="E6278" s="2" t="s">
        <v>189</v>
      </c>
    </row>
    <row r="6279" spans="1:5" x14ac:dyDescent="0.2">
      <c r="A6279">
        <v>6218</v>
      </c>
      <c r="B6279" s="1832">
        <f>'Acct Summary 7-8'!F83</f>
        <v>3.8231743287923066E-2</v>
      </c>
      <c r="D6279" s="2" t="str">
        <f t="shared" si="97"/>
        <v>Error?</v>
      </c>
      <c r="E6279" s="2" t="s">
        <v>189</v>
      </c>
    </row>
    <row r="6280" spans="1:5" x14ac:dyDescent="0.2">
      <c r="A6280">
        <v>6219</v>
      </c>
      <c r="B6280" s="1832">
        <f>'Acct Summary 7-8'!G83</f>
        <v>0.14489361702127659</v>
      </c>
      <c r="D6280" s="2" t="str">
        <f t="shared" si="97"/>
        <v>Error?</v>
      </c>
      <c r="E6280" s="2" t="s">
        <v>189</v>
      </c>
    </row>
    <row r="6281" spans="1:5" x14ac:dyDescent="0.2">
      <c r="A6281">
        <v>6220</v>
      </c>
      <c r="B6281" s="1832">
        <f>'Acct Summary 7-8'!H83</f>
        <v>0.13014095987457294</v>
      </c>
      <c r="D6281" s="2" t="str">
        <f t="shared" si="97"/>
        <v>Error?</v>
      </c>
      <c r="E6281" s="2" t="s">
        <v>189</v>
      </c>
    </row>
    <row r="6282" spans="1:5" x14ac:dyDescent="0.2">
      <c r="A6282">
        <v>6221</v>
      </c>
      <c r="B6282" s="1832">
        <f>'Acct Summary 7-8'!I83</f>
        <v>-0.12965749558103593</v>
      </c>
      <c r="D6282" s="2" t="str">
        <f t="shared" si="97"/>
        <v>Error?</v>
      </c>
      <c r="E6282" s="2" t="s">
        <v>189</v>
      </c>
    </row>
    <row r="6283" spans="1:5" x14ac:dyDescent="0.2">
      <c r="A6283">
        <v>6222</v>
      </c>
      <c r="B6283" s="1832">
        <f>'Acct Summary 7-8'!J83</f>
        <v>-1.9576495154817451E-3</v>
      </c>
      <c r="D6283" s="2" t="str">
        <f t="shared" si="97"/>
        <v>Error?</v>
      </c>
      <c r="E6283" s="2" t="s">
        <v>189</v>
      </c>
    </row>
    <row r="6284" spans="1:5" x14ac:dyDescent="0.2">
      <c r="A6284">
        <v>6223</v>
      </c>
      <c r="B6284" s="1832">
        <f>'Acct Summary 7-8'!K83</f>
        <v>7.3527159094390494E-4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35276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35276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35276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35336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35276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12304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12304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78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78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1100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1100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994</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994</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1812</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1812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3200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3200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35336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35336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35336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35336</v>
      </c>
      <c r="D7224" s="2" t="str">
        <f t="shared" si="111"/>
        <v>Error?</v>
      </c>
    </row>
    <row r="7225" spans="1:4" x14ac:dyDescent="0.2">
      <c r="A7225">
        <v>7164</v>
      </c>
      <c r="B7225" s="1832">
        <f>'Expenditures 15-22'!K343</f>
        <v>-60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106768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15848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15848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290566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122405</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122405</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4431</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59818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59818</v>
      </c>
      <c r="D7730" s="2" t="str">
        <f t="shared" si="126"/>
        <v>Error?</v>
      </c>
      <c r="E7730" s="2" t="s">
        <v>822</v>
      </c>
    </row>
    <row r="7731" spans="1:6" x14ac:dyDescent="0.2">
      <c r="A7731">
        <v>7670</v>
      </c>
      <c r="B7731" s="1832">
        <f>'Revenues 9-14'!H103</f>
        <v>122405</v>
      </c>
      <c r="D7731" s="2" t="str">
        <f t="shared" si="126"/>
        <v>Error?</v>
      </c>
      <c r="E7731" s="2" t="s">
        <v>822</v>
      </c>
    </row>
    <row r="7732" spans="1:6" x14ac:dyDescent="0.2">
      <c r="A7732">
        <v>7671</v>
      </c>
      <c r="B7732" s="1832">
        <f>'Rest Tax Levies-Tort Im 25'!J24</f>
        <v>353153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353153</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735000</v>
      </c>
      <c r="D7817" s="2" t="str">
        <f t="shared" si="128"/>
        <v>Error?</v>
      </c>
      <c r="E7817" s="4" t="s">
        <v>1966</v>
      </c>
    </row>
    <row r="7818" spans="1:5" x14ac:dyDescent="0.2">
      <c r="A7818">
        <v>7757</v>
      </c>
      <c r="B7818" s="1832">
        <f>'PCTC-OEPP 27-28'!F172</f>
        <v>69411</v>
      </c>
      <c r="D7818" s="2" t="str">
        <f t="shared" si="128"/>
        <v>Error?</v>
      </c>
      <c r="E7818" s="4" t="s">
        <v>1980</v>
      </c>
    </row>
    <row r="7819" spans="1:5" x14ac:dyDescent="0.2">
      <c r="A7819">
        <v>7758</v>
      </c>
      <c r="B7819" s="1832">
        <f>'PCTC-OEPP 27-28'!F173</f>
        <v>1989</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2003049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95751</v>
      </c>
      <c r="D7834" s="2" t="str">
        <f t="shared" si="129"/>
        <v>Error?</v>
      </c>
      <c r="E7834" s="4" t="s">
        <v>1998</v>
      </c>
    </row>
    <row r="7835" spans="1:5" x14ac:dyDescent="0.2">
      <c r="A7835">
        <v>7774</v>
      </c>
      <c r="B7835" s="1832">
        <f>'PCTC-OEPP 27-28'!F78</f>
        <v>1907298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12377.014925373134</v>
      </c>
      <c r="D7837" s="2" t="str">
        <f t="shared" si="129"/>
        <v>Error?</v>
      </c>
      <c r="E7837" s="4" t="s">
        <v>1998</v>
      </c>
    </row>
    <row r="7838" spans="1:5" x14ac:dyDescent="0.2">
      <c r="A7838">
        <v>7777</v>
      </c>
      <c r="B7838" s="1832">
        <f>'PCTC-OEPP 27-28'!F96</f>
        <v>4428</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33882</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3174</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34271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58406</v>
      </c>
      <c r="D7858" s="2" t="str">
        <f t="shared" si="129"/>
        <v>Error?</v>
      </c>
      <c r="E7858" s="4" t="s">
        <v>1998</v>
      </c>
    </row>
    <row r="7859" spans="1:5" x14ac:dyDescent="0.2">
      <c r="A7859">
        <v>7798</v>
      </c>
      <c r="B7859" s="1832">
        <f>'PCTC-OEPP 27-28'!F127</f>
        <v>129051</v>
      </c>
      <c r="D7859" s="2" t="str">
        <f t="shared" si="129"/>
        <v>Error?</v>
      </c>
      <c r="E7859" s="4" t="s">
        <v>1998</v>
      </c>
    </row>
    <row r="7860" spans="1:5" x14ac:dyDescent="0.2">
      <c r="A7860">
        <v>7799</v>
      </c>
      <c r="B7860" s="1832">
        <f>'PCTC-OEPP 27-28'!F128</f>
        <v>5161</v>
      </c>
      <c r="D7860" s="2" t="str">
        <f t="shared" si="129"/>
        <v>Error?</v>
      </c>
      <c r="E7860" s="4" t="s">
        <v>1998</v>
      </c>
    </row>
    <row r="7861" spans="1:5" x14ac:dyDescent="0.2">
      <c r="A7861">
        <v>7800</v>
      </c>
      <c r="B7861" s="1832">
        <f>'PCTC-OEPP 27-28'!F129</f>
        <v>43484</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10964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18130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426460</v>
      </c>
      <c r="D7877" s="2" t="str">
        <f t="shared" si="129"/>
        <v>Error?</v>
      </c>
      <c r="E7877" s="4" t="s">
        <v>1998</v>
      </c>
    </row>
    <row r="7878" spans="1:5" x14ac:dyDescent="0.2">
      <c r="A7878">
        <v>7817</v>
      </c>
      <c r="B7878" s="1832">
        <f>'PCTC-OEPP 27-28'!F176</f>
        <v>1480838</v>
      </c>
      <c r="D7878" s="2" t="str">
        <f t="shared" si="129"/>
        <v>Error?</v>
      </c>
      <c r="E7878" s="4" t="s">
        <v>1998</v>
      </c>
    </row>
    <row r="7879" spans="1:5" x14ac:dyDescent="0.2">
      <c r="A7879">
        <v>7818</v>
      </c>
      <c r="B7879" s="1832">
        <f>'PCTC-OEPP 27-28'!F178</f>
        <v>1587606</v>
      </c>
      <c r="D7879" s="2" t="str">
        <f t="shared" si="129"/>
        <v>Error?</v>
      </c>
      <c r="E7879" s="4" t="s">
        <v>1998</v>
      </c>
    </row>
    <row r="7880" spans="1:5" x14ac:dyDescent="0.2">
      <c r="A7880">
        <v>7819</v>
      </c>
      <c r="B7880" s="1832">
        <f>'PCTC-OEPP 27-28'!F180</f>
        <v>10302.439974042829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Thomasboro CCSD 130</v>
      </c>
      <c r="B7" s="2536"/>
      <c r="C7" s="2536"/>
      <c r="D7" s="2537"/>
      <c r="E7" s="2538">
        <f>COVER!A13</f>
        <v>9010130004</v>
      </c>
      <c r="F7" s="2539"/>
      <c r="G7" s="2545">
        <f>COVER!T23</f>
        <v>65.018319000000005</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RUSSELL LEIGH &amp; ASSOCIATES LLC</v>
      </c>
      <c r="H9" s="2551"/>
      <c r="I9" s="2551"/>
      <c r="J9" s="2551"/>
      <c r="K9" s="2551"/>
      <c r="L9" s="2552"/>
    </row>
    <row r="10" spans="1:29" ht="13.5" customHeight="1" x14ac:dyDescent="0.2">
      <c r="A10" s="2524" t="str">
        <f>COVER!A38</f>
        <v>Bonnie McArthuer</v>
      </c>
      <c r="B10" s="2525"/>
      <c r="C10" s="2525"/>
      <c r="D10" s="2525"/>
      <c r="E10" s="2525"/>
      <c r="F10" s="2526"/>
      <c r="G10" s="2518" t="str">
        <f>COVER!T17</f>
        <v>228 E MAIN ST</v>
      </c>
      <c r="H10" s="2519"/>
      <c r="I10" s="2519"/>
      <c r="J10" s="2519"/>
      <c r="K10" s="2519"/>
      <c r="L10" s="2520"/>
    </row>
    <row r="11" spans="1:29" ht="13.5" customHeight="1" x14ac:dyDescent="0.2">
      <c r="A11" s="963" t="s">
        <v>1502</v>
      </c>
      <c r="B11" s="964"/>
      <c r="C11" s="965"/>
      <c r="D11" s="970"/>
      <c r="E11" s="965"/>
      <c r="F11" s="969"/>
      <c r="G11" s="2518" t="str">
        <f>COVER!T19</f>
        <v>HOOPESTON</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admin@russleigh.com</v>
      </c>
      <c r="J13" s="2531"/>
      <c r="K13" s="2531"/>
      <c r="L13" s="2532"/>
    </row>
    <row r="14" spans="1:29" ht="13.5" customHeight="1" x14ac:dyDescent="0.2">
      <c r="A14" s="2518" t="str">
        <f>COVER!A19</f>
        <v>PO BOX 99</v>
      </c>
      <c r="B14" s="2519"/>
      <c r="C14" s="2519"/>
      <c r="D14" s="2519"/>
      <c r="E14" s="2519"/>
      <c r="F14" s="2520"/>
      <c r="G14" s="974" t="s">
        <v>1175</v>
      </c>
      <c r="H14" s="972"/>
      <c r="I14" s="972"/>
      <c r="J14" s="972"/>
      <c r="K14" s="972"/>
      <c r="L14" s="973"/>
    </row>
    <row r="15" spans="1:29" ht="13.5" customHeight="1" x14ac:dyDescent="0.2">
      <c r="A15" s="2518" t="str">
        <f>COVER!A21</f>
        <v>THOMASBORO</v>
      </c>
      <c r="B15" s="2519"/>
      <c r="C15" s="2519"/>
      <c r="D15" s="2519"/>
      <c r="E15" s="2519"/>
      <c r="F15" s="2520"/>
      <c r="G15" s="2515" t="str">
        <f>COVER!T15</f>
        <v>RUSS LEIGH</v>
      </c>
      <c r="H15" s="2516"/>
      <c r="I15" s="2516"/>
      <c r="J15" s="2516"/>
      <c r="K15" s="2516"/>
      <c r="L15" s="2517"/>
    </row>
    <row r="16" spans="1:29" ht="12.2" customHeight="1" x14ac:dyDescent="0.2">
      <c r="A16" s="2541">
        <f>COVER!A25</f>
        <v>61878</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217-283-9336</v>
      </c>
      <c r="H18" s="2536"/>
      <c r="I18" s="2536"/>
      <c r="J18" s="2536"/>
      <c r="K18" s="2535" t="str">
        <f>COVER!X21</f>
        <v>217-283-9736</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Thomasboro CCSD 130</v>
      </c>
      <c r="B1" s="2558"/>
      <c r="C1" s="2558"/>
      <c r="D1" s="2558"/>
    </row>
    <row r="2" spans="1:11" s="991" customFormat="1" ht="12.75" x14ac:dyDescent="0.2">
      <c r="A2" s="2559">
        <f>'Single Audit Cover'!E7</f>
        <v>9010130004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Thomasboro CCSD 130</v>
      </c>
      <c r="B1" s="2562"/>
      <c r="C1" s="2562"/>
      <c r="D1" s="2562"/>
      <c r="E1" s="2562"/>
    </row>
    <row r="2" spans="1:5" x14ac:dyDescent="0.2">
      <c r="A2" s="2563">
        <f>'Single Audit Cover'!E7</f>
        <v>9010130004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267089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267089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267089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267089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Thomasboro CCSD 130</v>
      </c>
      <c r="C1" s="2566"/>
      <c r="D1" s="2566"/>
      <c r="E1" s="2566"/>
      <c r="F1" s="2566"/>
      <c r="G1" s="2566"/>
      <c r="H1" s="2566"/>
      <c r="I1" s="2566"/>
      <c r="J1" s="2566"/>
      <c r="K1" s="2566"/>
      <c r="L1" s="2566"/>
      <c r="M1" s="2566"/>
    </row>
    <row r="2" spans="2:14" ht="15" x14ac:dyDescent="0.2">
      <c r="B2" s="2567">
        <f>'Single Audit Cover'!E7</f>
        <v>9010130004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Thomasboro CCSD 130</v>
      </c>
      <c r="B1" s="2579"/>
      <c r="C1" s="2579"/>
      <c r="D1" s="2579"/>
      <c r="E1" s="2579"/>
      <c r="F1" s="2579"/>
    </row>
    <row r="2" spans="1:7" ht="13.5" customHeight="1" x14ac:dyDescent="0.2">
      <c r="A2" s="2567">
        <f>'Single Audit Cover'!E7</f>
        <v>9010130004</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3"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35004</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2081</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Thomasboro CCSD 130</v>
      </c>
      <c r="C1" s="2594"/>
      <c r="D1" s="2594"/>
      <c r="E1" s="2594"/>
      <c r="F1" s="2594"/>
      <c r="G1" s="2594"/>
      <c r="H1" s="2594"/>
      <c r="I1" s="2594"/>
      <c r="J1" s="1178"/>
    </row>
    <row r="2" spans="2:10" s="295" customFormat="1" ht="12.75" customHeight="1" x14ac:dyDescent="0.2">
      <c r="B2" s="2595">
        <f>'Single Audit Cover'!E7</f>
        <v>9010130004</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8" t="str">
        <f>"Total Federal Expenditures for 7/1/"&amp;MID('AFR20'!E2,3,2)-1&amp;"-6/30/"&amp;MID('AFR20'!E2,3,2)</f>
        <v>Total Federal Expenditures for 7/1/19-6/30/20</v>
      </c>
      <c r="C45" s="1919"/>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Thomasboro CCSD 130</v>
      </c>
      <c r="C1" s="2593"/>
      <c r="D1" s="2593"/>
      <c r="E1" s="2593"/>
      <c r="F1" s="2593"/>
      <c r="G1" s="2593"/>
      <c r="H1" s="2593"/>
      <c r="I1" s="2593"/>
      <c r="J1" s="2593"/>
      <c r="K1" s="2593"/>
      <c r="L1" s="1144"/>
      <c r="M1" s="1144"/>
    </row>
    <row r="2" spans="1:13" ht="12" customHeight="1" x14ac:dyDescent="0.2">
      <c r="B2" s="2595">
        <f>'Single Audit Cover'!E7</f>
        <v>9010130004</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Thomasboro CCSD 130</v>
      </c>
      <c r="C1" s="2616"/>
      <c r="D1" s="2616"/>
      <c r="E1" s="2616"/>
      <c r="F1" s="2616"/>
      <c r="G1" s="2616"/>
      <c r="H1" s="2616"/>
      <c r="I1" s="2616"/>
      <c r="J1" s="2616"/>
      <c r="K1" s="2616"/>
      <c r="L1" s="1221"/>
    </row>
    <row r="2" spans="1:12" ht="12.75" customHeight="1" x14ac:dyDescent="0.2">
      <c r="B2" s="2617">
        <f>'Single Audit Cover'!E7</f>
        <v>9010130004</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Thomasboro CCSD 130</v>
      </c>
      <c r="C1" s="2593"/>
      <c r="D1" s="2593"/>
      <c r="E1" s="1240"/>
    </row>
    <row r="2" spans="2:5" s="1058" customFormat="1" ht="12.75" customHeight="1" x14ac:dyDescent="0.2">
      <c r="B2" s="2595">
        <f>'Single Audit Cover'!E7</f>
        <v>9010130004</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28736968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1.8575999999999999E-2</v>
      </c>
      <c r="E10" s="333" t="s">
        <v>998</v>
      </c>
      <c r="F10" s="332">
        <v>2.3050000000000002E-3</v>
      </c>
      <c r="G10" s="333" t="s">
        <v>998</v>
      </c>
      <c r="H10" s="332">
        <v>1.3799999999999999E-3</v>
      </c>
      <c r="I10" s="333" t="s">
        <v>999</v>
      </c>
      <c r="J10" s="1424">
        <f>ROUND(D10+F10+H10,5)</f>
        <v>2.2259999999999999E-2</v>
      </c>
      <c r="K10" s="217"/>
      <c r="L10" s="332">
        <v>4.3600000000000003E-4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1747626</v>
      </c>
      <c r="E16" s="1547"/>
      <c r="F16" s="1546">
        <f>SUM('Acct Summary 7-8'!C17,'Acct Summary 7-8'!D17,'Acct Summary 7-8'!F17)</f>
        <v>1834320</v>
      </c>
      <c r="G16" s="1547"/>
      <c r="H16" s="1546">
        <f>SUM(D16-F16)</f>
        <v>-86694</v>
      </c>
      <c r="I16" s="1548"/>
      <c r="J16" s="1546">
        <f>SUM('Acct Summary 7-8'!C81,'Acct Summary 7-8'!D81,'Acct Summary 7-8'!F81,'Acct Summary 7-8'!I81)</f>
        <v>1905113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1982850.7920000001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526000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Thomasboro CCSD 130</v>
      </c>
      <c r="E7" s="368"/>
      <c r="G7" s="247"/>
      <c r="H7" s="364"/>
      <c r="I7" s="364"/>
      <c r="J7" s="364"/>
      <c r="K7" s="364"/>
      <c r="L7" s="307"/>
      <c r="M7" s="307"/>
      <c r="N7" s="307"/>
      <c r="O7" s="307"/>
      <c r="P7" s="307"/>
    </row>
    <row r="8" spans="1:18" ht="12.75" x14ac:dyDescent="0.2">
      <c r="A8" s="307"/>
      <c r="B8" s="307"/>
      <c r="C8" s="366" t="s">
        <v>1115</v>
      </c>
      <c r="D8" s="369">
        <f>COVER!A13</f>
        <v>9010130004</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1905113</v>
      </c>
      <c r="I12" s="380"/>
      <c r="J12" s="380"/>
      <c r="K12" s="1559">
        <f>TRUNC((H12/H13*100000),5)/100000</f>
        <v>1.0901148186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1747626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1834320</v>
      </c>
      <c r="I17" s="380"/>
      <c r="J17" s="389"/>
      <c r="K17" s="1559">
        <f>TRUNC((H17/H18*100000),5)/100000</f>
        <v>1.0496067236</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1747626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19.9592867</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1905113</v>
      </c>
      <c r="I24" s="394"/>
      <c r="J24" s="394"/>
      <c r="K24" s="1555">
        <f>TRUNC(((H24/H25*100000)/100000),2)</f>
        <v>373.89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5095.3333300000004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543732.17153000005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526000</v>
      </c>
      <c r="I32" s="392"/>
      <c r="J32" s="392"/>
      <c r="K32" s="1555">
        <f>TRUNC(100-((((H32/H33*100))*100)/100),2)</f>
        <v>73.47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1982850.7920000001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869818</v>
      </c>
      <c r="D4" s="1573">
        <v>203446</v>
      </c>
      <c r="E4" s="1573">
        <v>14185</v>
      </c>
      <c r="F4" s="1573">
        <v>291564</v>
      </c>
      <c r="G4" s="1573">
        <v>14100</v>
      </c>
      <c r="H4" s="1573">
        <v>480917</v>
      </c>
      <c r="I4" s="1573">
        <v>540285</v>
      </c>
      <c r="J4" s="1574">
        <v>30649</v>
      </c>
      <c r="K4" s="1573">
        <v>32641</v>
      </c>
      <c r="L4" s="1573">
        <v>67</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869818</v>
      </c>
      <c r="D13" s="1587">
        <f t="shared" ref="D13:L13" si="0">SUM(D4:D12)</f>
        <v>203446</v>
      </c>
      <c r="E13" s="1587">
        <f t="shared" si="0"/>
        <v>14185</v>
      </c>
      <c r="F13" s="1587">
        <f t="shared" si="0"/>
        <v>291564</v>
      </c>
      <c r="G13" s="1587">
        <f t="shared" si="0"/>
        <v>14100</v>
      </c>
      <c r="H13" s="1587">
        <f t="shared" si="0"/>
        <v>480917</v>
      </c>
      <c r="I13" s="1587">
        <f t="shared" si="0"/>
        <v>540285</v>
      </c>
      <c r="J13" s="1587">
        <f t="shared" si="0"/>
        <v>30649</v>
      </c>
      <c r="K13" s="1587">
        <f t="shared" si="0"/>
        <v>32641</v>
      </c>
      <c r="L13" s="1587">
        <f t="shared" si="0"/>
        <v>67</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2630033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1434542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14185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511815</v>
      </c>
    </row>
    <row r="23" spans="1:14" ht="13.5" customHeight="1" thickBot="1" x14ac:dyDescent="0.25">
      <c r="A23" s="1426" t="s">
        <v>638</v>
      </c>
      <c r="B23" s="1429"/>
      <c r="C23" s="1575"/>
      <c r="D23" s="1575"/>
      <c r="E23" s="1575"/>
      <c r="F23" s="1575"/>
      <c r="G23" s="1575"/>
      <c r="H23" s="1575"/>
      <c r="I23" s="1575"/>
      <c r="J23" s="1575"/>
      <c r="K23" s="1575"/>
      <c r="L23" s="1575"/>
      <c r="M23" s="1594">
        <f>SUM(M15:M22)</f>
        <v>4069575</v>
      </c>
      <c r="N23" s="1594">
        <f>SUM(N21:N22)</f>
        <v>526000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67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67</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526000</v>
      </c>
    </row>
    <row r="37" spans="1:14" ht="13.5" thickBot="1" x14ac:dyDescent="0.25">
      <c r="A37" s="1426" t="s">
        <v>648</v>
      </c>
      <c r="B37" s="1429"/>
      <c r="C37" s="1582"/>
      <c r="D37" s="1582"/>
      <c r="E37" s="1582"/>
      <c r="F37" s="1582"/>
      <c r="G37" s="1582"/>
      <c r="H37" s="1582"/>
      <c r="I37" s="1582"/>
      <c r="J37" s="1582"/>
      <c r="K37" s="1582"/>
      <c r="L37" s="1585"/>
      <c r="M37" s="1575"/>
      <c r="N37" s="1594">
        <f>SUM(N36:N36)</f>
        <v>526000</v>
      </c>
    </row>
    <row r="38" spans="1:14" s="307" customFormat="1" ht="13.5" customHeight="1" thickTop="1" x14ac:dyDescent="0.2">
      <c r="A38" s="438" t="s">
        <v>417</v>
      </c>
      <c r="B38" s="432">
        <v>714</v>
      </c>
      <c r="C38" s="1573"/>
      <c r="D38" s="1573"/>
      <c r="E38" s="1573">
        <v>2566</v>
      </c>
      <c r="F38" s="1573"/>
      <c r="G38" s="1573">
        <v>27539</v>
      </c>
      <c r="H38" s="1573">
        <v>353153</v>
      </c>
      <c r="I38" s="1573"/>
      <c r="J38" s="1574"/>
      <c r="K38" s="1573"/>
      <c r="L38" s="1586"/>
      <c r="M38" s="1604"/>
      <c r="N38" s="1604"/>
    </row>
    <row r="39" spans="1:14" s="307" customFormat="1" ht="13.5" customHeight="1" x14ac:dyDescent="0.2">
      <c r="A39" s="438" t="s">
        <v>339</v>
      </c>
      <c r="B39" s="432">
        <v>730</v>
      </c>
      <c r="C39" s="1573">
        <v>869818</v>
      </c>
      <c r="D39" s="1573">
        <v>203446</v>
      </c>
      <c r="E39" s="1573">
        <v>11619</v>
      </c>
      <c r="F39" s="1573">
        <v>291564</v>
      </c>
      <c r="G39" s="1573">
        <v>-13439</v>
      </c>
      <c r="H39" s="1573">
        <v>127764</v>
      </c>
      <c r="I39" s="1573">
        <v>540285</v>
      </c>
      <c r="J39" s="1574">
        <v>30649</v>
      </c>
      <c r="K39" s="1573">
        <v>32641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4069575</v>
      </c>
      <c r="N40" s="1604"/>
    </row>
    <row r="41" spans="1:14" ht="13.5" customHeight="1" thickBot="1" x14ac:dyDescent="0.25">
      <c r="A41" s="1426" t="s">
        <v>650</v>
      </c>
      <c r="B41" s="1405"/>
      <c r="C41" s="1594">
        <f>(SUM(C34,C37,C38,C39))</f>
        <v>869818</v>
      </c>
      <c r="D41" s="1594">
        <f t="shared" ref="D41:L41" si="2">SUM(D34,D37,D38:D39)</f>
        <v>203446</v>
      </c>
      <c r="E41" s="1594">
        <f t="shared" si="2"/>
        <v>14185</v>
      </c>
      <c r="F41" s="1594">
        <f t="shared" si="2"/>
        <v>291564</v>
      </c>
      <c r="G41" s="1594">
        <f t="shared" si="2"/>
        <v>14100</v>
      </c>
      <c r="H41" s="1594">
        <f t="shared" si="2"/>
        <v>480917</v>
      </c>
      <c r="I41" s="1594">
        <f t="shared" si="2"/>
        <v>540285</v>
      </c>
      <c r="J41" s="1594">
        <f t="shared" si="2"/>
        <v>30649</v>
      </c>
      <c r="K41" s="1594">
        <f t="shared" si="2"/>
        <v>32641</v>
      </c>
      <c r="L41" s="1594">
        <f t="shared" si="2"/>
        <v>67</v>
      </c>
      <c r="M41" s="1594">
        <f>SUM(M40)</f>
        <v>4069575</v>
      </c>
      <c r="N41" s="1594">
        <f>SUM(N37)</f>
        <v>526000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583176</v>
      </c>
      <c r="D4" s="1606">
        <f>'Revenues 9-14'!D109</f>
        <v>55430</v>
      </c>
      <c r="E4" s="1606">
        <f>'Revenues 9-14'!E109</f>
        <v>82285</v>
      </c>
      <c r="F4" s="1606">
        <f>'Revenues 9-14'!F109</f>
        <v>26669</v>
      </c>
      <c r="G4" s="1606">
        <f>'Revenues 9-14'!G109</f>
        <v>30723</v>
      </c>
      <c r="H4" s="1606">
        <f>'Revenues 9-14'!H109</f>
        <v>122405</v>
      </c>
      <c r="I4" s="1606">
        <f>'Revenues 9-14'!I109</f>
        <v>10948</v>
      </c>
      <c r="J4" s="1606">
        <f>'Revenues 9-14'!J109</f>
        <v>35276</v>
      </c>
      <c r="K4" s="1606">
        <f>'Revenues 9-14'!K109</f>
        <v>24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686043</v>
      </c>
      <c r="D6" s="1607">
        <f>'Revenues 9-14'!D170</f>
        <v>74000</v>
      </c>
      <c r="E6" s="1607">
        <f>'Revenues 9-14'!E170</f>
        <v>0</v>
      </c>
      <c r="F6" s="1607">
        <f>'Revenues 9-14'!F170</f>
        <v>44271</v>
      </c>
      <c r="G6" s="1607">
        <f>'Revenues 9-14'!G170</f>
        <v>12500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267089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1536308</v>
      </c>
      <c r="D8" s="1594">
        <f t="shared" ref="D8:K8" si="0">SUM(D4:D7)</f>
        <v>129430</v>
      </c>
      <c r="E8" s="1594">
        <f t="shared" si="0"/>
        <v>82285</v>
      </c>
      <c r="F8" s="1594">
        <f t="shared" si="0"/>
        <v>70940</v>
      </c>
      <c r="G8" s="1594">
        <f t="shared" si="0"/>
        <v>43223</v>
      </c>
      <c r="H8" s="1594">
        <f t="shared" si="0"/>
        <v>122405</v>
      </c>
      <c r="I8" s="1594">
        <f t="shared" si="0"/>
        <v>10948</v>
      </c>
      <c r="J8" s="1594">
        <f t="shared" si="0"/>
        <v>35276</v>
      </c>
      <c r="K8" s="1594">
        <f t="shared" si="0"/>
        <v>24</v>
      </c>
      <c r="L8" s="325"/>
    </row>
    <row r="9" spans="1:13" ht="15.75" thickTop="1" x14ac:dyDescent="0.2">
      <c r="A9" s="449" t="s">
        <v>1634</v>
      </c>
      <c r="B9" s="450">
        <v>3998</v>
      </c>
      <c r="C9" s="1586">
        <v>752694</v>
      </c>
      <c r="D9" s="1613"/>
      <c r="E9" s="1586"/>
      <c r="F9" s="1586"/>
      <c r="G9" s="1614"/>
      <c r="H9" s="1586"/>
      <c r="I9" s="1609" t="s">
        <v>1159</v>
      </c>
      <c r="J9" s="1583"/>
      <c r="K9" s="1586"/>
      <c r="L9" s="325"/>
    </row>
    <row r="10" spans="1:13" s="452" customFormat="1" ht="13.5" thickBot="1" x14ac:dyDescent="0.25">
      <c r="A10" s="1426" t="s">
        <v>1163</v>
      </c>
      <c r="B10" s="1407"/>
      <c r="C10" s="1594">
        <f>SUM(C8:C9)</f>
        <v>2289002</v>
      </c>
      <c r="D10" s="1594">
        <f t="shared" ref="D10:K10" si="1">SUM(D8:D9)</f>
        <v>129430</v>
      </c>
      <c r="E10" s="1594">
        <f t="shared" si="1"/>
        <v>82285</v>
      </c>
      <c r="F10" s="1594">
        <f t="shared" si="1"/>
        <v>70940</v>
      </c>
      <c r="G10" s="1594">
        <f t="shared" si="1"/>
        <v>43223</v>
      </c>
      <c r="H10" s="1594">
        <f t="shared" si="1"/>
        <v>122405</v>
      </c>
      <c r="I10" s="1594">
        <f t="shared" si="1"/>
        <v>10948</v>
      </c>
      <c r="J10" s="1594">
        <f t="shared" si="1"/>
        <v>35276</v>
      </c>
      <c r="K10" s="1594">
        <f t="shared" si="1"/>
        <v>24</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994766</v>
      </c>
      <c r="D12" s="1616" t="s">
        <v>1159</v>
      </c>
      <c r="E12" s="1575" t="s">
        <v>1159</v>
      </c>
      <c r="F12" s="1575" t="s">
        <v>1159</v>
      </c>
      <c r="G12" s="1606">
        <f>'Expenditures 15-22'!K229</f>
        <v>17342</v>
      </c>
      <c r="H12" s="1617"/>
      <c r="I12" s="1575" t="s">
        <v>1159</v>
      </c>
      <c r="J12" s="1575" t="s">
        <v>1159</v>
      </c>
      <c r="K12" s="1617" t="s">
        <v>1159</v>
      </c>
      <c r="L12" s="325"/>
    </row>
    <row r="13" spans="1:13" ht="15.75" customHeight="1" x14ac:dyDescent="0.2">
      <c r="A13" s="1314" t="s">
        <v>454</v>
      </c>
      <c r="B13" s="1316">
        <v>2000</v>
      </c>
      <c r="C13" s="1607">
        <f>'Expenditures 15-22'!K74</f>
        <v>603891</v>
      </c>
      <c r="D13" s="1607">
        <f>'Expenditures 15-22'!K129</f>
        <v>140290</v>
      </c>
      <c r="E13" s="1576" t="s">
        <v>1159</v>
      </c>
      <c r="F13" s="1607">
        <f>'Expenditures 15-22'!K184</f>
        <v>59793</v>
      </c>
      <c r="G13" s="1607">
        <f>'Expenditures 15-22'!K279</f>
        <v>23838</v>
      </c>
      <c r="H13" s="1607">
        <f>'Expenditures 15-22'!K303</f>
        <v>59818</v>
      </c>
      <c r="I13" s="1575" t="s">
        <v>1159</v>
      </c>
      <c r="J13" s="1607">
        <f>'Expenditures 15-22'!K330</f>
        <v>35336</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35580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92213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1634237</v>
      </c>
      <c r="D17" s="1594">
        <f t="shared" si="2"/>
        <v>140290</v>
      </c>
      <c r="E17" s="1594">
        <f t="shared" si="2"/>
        <v>92213</v>
      </c>
      <c r="F17" s="1594">
        <f t="shared" si="2"/>
        <v>59793</v>
      </c>
      <c r="G17" s="1594">
        <f t="shared" si="2"/>
        <v>41180</v>
      </c>
      <c r="H17" s="1594">
        <f t="shared" si="2"/>
        <v>59818</v>
      </c>
      <c r="I17" s="1575"/>
      <c r="J17" s="1594">
        <f>SUM(J12:J16)</f>
        <v>35336</v>
      </c>
      <c r="K17" s="1594">
        <f>SUM(K12:K16)</f>
        <v>0</v>
      </c>
      <c r="L17" s="325"/>
    </row>
    <row r="18" spans="1:12" ht="15" customHeight="1" thickTop="1" x14ac:dyDescent="0.2">
      <c r="A18" s="1430" t="s">
        <v>1635</v>
      </c>
      <c r="B18" s="1431">
        <v>4180</v>
      </c>
      <c r="C18" s="1606">
        <f t="shared" ref="C18:H18" si="3">C9</f>
        <v>752694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2386931</v>
      </c>
      <c r="D19" s="1594">
        <f t="shared" si="4"/>
        <v>140290</v>
      </c>
      <c r="E19" s="1594">
        <f t="shared" si="4"/>
        <v>92213</v>
      </c>
      <c r="F19" s="1594">
        <f t="shared" si="4"/>
        <v>59793</v>
      </c>
      <c r="G19" s="1594">
        <f t="shared" si="4"/>
        <v>41180</v>
      </c>
      <c r="H19" s="1594">
        <f t="shared" si="4"/>
        <v>59818</v>
      </c>
      <c r="I19" s="1575"/>
      <c r="J19" s="1594">
        <f>SUM(J17:J18)</f>
        <v>35336</v>
      </c>
      <c r="K19" s="1594">
        <f>SUM(K17:K18)</f>
        <v>0</v>
      </c>
      <c r="L19" s="325"/>
    </row>
    <row r="20" spans="1:12" ht="16.5" thickTop="1" thickBot="1" x14ac:dyDescent="0.25">
      <c r="A20" s="2231" t="s">
        <v>1636</v>
      </c>
      <c r="B20" s="2232"/>
      <c r="C20" s="1622">
        <f>C8-C17</f>
        <v>-97929</v>
      </c>
      <c r="D20" s="1622">
        <f t="shared" ref="D20:K20" si="5">D8-D17</f>
        <v>-10860</v>
      </c>
      <c r="E20" s="1622">
        <f t="shared" si="5"/>
        <v>-9928</v>
      </c>
      <c r="F20" s="1622">
        <f t="shared" si="5"/>
        <v>11147</v>
      </c>
      <c r="G20" s="1622">
        <f t="shared" si="5"/>
        <v>2043</v>
      </c>
      <c r="H20" s="1622">
        <f t="shared" si="5"/>
        <v>62587</v>
      </c>
      <c r="I20" s="1622">
        <f t="shared" si="5"/>
        <v>10948</v>
      </c>
      <c r="J20" s="1622">
        <f t="shared" si="5"/>
        <v>-60</v>
      </c>
      <c r="K20" s="1622">
        <f t="shared" si="5"/>
        <v>24</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81000</v>
      </c>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81000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81000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81000</v>
      </c>
      <c r="J76" s="1624">
        <f t="shared" si="7"/>
        <v>0</v>
      </c>
      <c r="K76" s="1624">
        <f t="shared" si="7"/>
        <v>0</v>
      </c>
      <c r="L76" s="453"/>
    </row>
    <row r="77" spans="1:12" ht="14.25" thickTop="1" thickBot="1" x14ac:dyDescent="0.25">
      <c r="A77" s="2223" t="s">
        <v>1167</v>
      </c>
      <c r="B77" s="2224"/>
      <c r="C77" s="1624">
        <f t="shared" ref="C77:K77" si="8">C44-C76</f>
        <v>81000</v>
      </c>
      <c r="D77" s="1624">
        <f t="shared" si="8"/>
        <v>0</v>
      </c>
      <c r="E77" s="1624">
        <f t="shared" si="8"/>
        <v>0</v>
      </c>
      <c r="F77" s="1624">
        <f t="shared" si="8"/>
        <v>0</v>
      </c>
      <c r="G77" s="1624">
        <f t="shared" si="8"/>
        <v>0</v>
      </c>
      <c r="H77" s="1624">
        <f t="shared" si="8"/>
        <v>0</v>
      </c>
      <c r="I77" s="1624">
        <f t="shared" si="8"/>
        <v>-81000</v>
      </c>
      <c r="J77" s="1624">
        <f t="shared" si="8"/>
        <v>0</v>
      </c>
      <c r="K77" s="1624">
        <f t="shared" si="8"/>
        <v>0</v>
      </c>
      <c r="L77" s="325"/>
    </row>
    <row r="78" spans="1:12" ht="21.75" customHeight="1" thickTop="1" thickBot="1" x14ac:dyDescent="0.25">
      <c r="A78" s="2227" t="s">
        <v>593</v>
      </c>
      <c r="B78" s="2228"/>
      <c r="C78" s="1629">
        <f t="shared" ref="C78:K78" si="9">C20+C77</f>
        <v>-16929</v>
      </c>
      <c r="D78" s="1629">
        <f t="shared" si="9"/>
        <v>-10860</v>
      </c>
      <c r="E78" s="1629">
        <f t="shared" si="9"/>
        <v>-9928</v>
      </c>
      <c r="F78" s="1629">
        <f t="shared" si="9"/>
        <v>11147</v>
      </c>
      <c r="G78" s="1629">
        <f t="shared" si="9"/>
        <v>2043</v>
      </c>
      <c r="H78" s="1629">
        <f t="shared" si="9"/>
        <v>62587</v>
      </c>
      <c r="I78" s="1629">
        <f t="shared" si="9"/>
        <v>-70052</v>
      </c>
      <c r="J78" s="1629">
        <f t="shared" si="9"/>
        <v>-60</v>
      </c>
      <c r="K78" s="1629">
        <f t="shared" si="9"/>
        <v>24</v>
      </c>
      <c r="L78" s="457"/>
    </row>
    <row r="79" spans="1:12" ht="13.5" thickTop="1" x14ac:dyDescent="0.2">
      <c r="A79" s="1844" t="str">
        <f>"Fund Balances - July 1, "&amp;'AFR20'!E2-1</f>
        <v>Fund Balances - July 1, 2019</v>
      </c>
      <c r="B79" s="458"/>
      <c r="C79" s="1583">
        <v>886747</v>
      </c>
      <c r="D79" s="1630">
        <v>214306</v>
      </c>
      <c r="E79" s="1630">
        <v>24113</v>
      </c>
      <c r="F79" s="1630">
        <v>280417</v>
      </c>
      <c r="G79" s="1630">
        <v>12057</v>
      </c>
      <c r="H79" s="1630">
        <v>418330</v>
      </c>
      <c r="I79" s="1630">
        <v>610337</v>
      </c>
      <c r="J79" s="1630">
        <v>30709</v>
      </c>
      <c r="K79" s="1630">
        <v>32617</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869818</v>
      </c>
      <c r="D81" s="1594">
        <f>SUM(D78:D80)</f>
        <v>203446</v>
      </c>
      <c r="E81" s="1594">
        <f t="shared" ref="E81:K81" si="10">SUM(E78:E80)</f>
        <v>14185</v>
      </c>
      <c r="F81" s="1594">
        <f t="shared" si="10"/>
        <v>291564</v>
      </c>
      <c r="G81" s="1594">
        <f t="shared" si="10"/>
        <v>14100</v>
      </c>
      <c r="H81" s="1594">
        <f t="shared" si="10"/>
        <v>480917</v>
      </c>
      <c r="I81" s="1594">
        <f t="shared" si="10"/>
        <v>540285</v>
      </c>
      <c r="J81" s="1594">
        <f t="shared" si="10"/>
        <v>30649</v>
      </c>
      <c r="K81" s="1594">
        <f t="shared" si="10"/>
        <v>32641</v>
      </c>
      <c r="L81" s="325"/>
    </row>
    <row r="82" spans="1:12" ht="0.75" customHeight="1" thickTop="1" thickBot="1" x14ac:dyDescent="0.25">
      <c r="A82" s="459" t="s">
        <v>340</v>
      </c>
      <c r="B82" s="460"/>
      <c r="C82" s="461">
        <f>(C81-C79)</f>
        <v>-16929</v>
      </c>
      <c r="D82" s="461">
        <f t="shared" ref="D82:K82" si="11">(D81-D79)</f>
        <v>-10860</v>
      </c>
      <c r="E82" s="461">
        <f t="shared" si="11"/>
        <v>-9928</v>
      </c>
      <c r="F82" s="461">
        <f t="shared" si="11"/>
        <v>11147</v>
      </c>
      <c r="G82" s="461">
        <f t="shared" si="11"/>
        <v>2043</v>
      </c>
      <c r="H82" s="461">
        <f t="shared" si="11"/>
        <v>62587</v>
      </c>
      <c r="I82" s="461">
        <f t="shared" si="11"/>
        <v>-70052</v>
      </c>
      <c r="J82" s="461">
        <f t="shared" si="11"/>
        <v>-60</v>
      </c>
      <c r="K82" s="461">
        <f t="shared" si="11"/>
        <v>24</v>
      </c>
    </row>
    <row r="83" spans="1:12" ht="14.25" hidden="1" thickTop="1" thickBot="1" x14ac:dyDescent="0.25">
      <c r="A83" s="462" t="s">
        <v>341</v>
      </c>
      <c r="B83" s="428"/>
      <c r="C83" s="463">
        <f>C82/C81</f>
        <v>-1.9462692195378804E-2</v>
      </c>
      <c r="D83" s="463">
        <f t="shared" ref="D83:K83" si="12">D82/D81</f>
        <v>-5.3380258152040345E-2</v>
      </c>
      <c r="E83" s="463">
        <f t="shared" si="12"/>
        <v>-0.69989425449418396</v>
      </c>
      <c r="F83" s="463">
        <f t="shared" si="12"/>
        <v>3.8231743287923066E-2</v>
      </c>
      <c r="G83" s="463">
        <f t="shared" si="12"/>
        <v>0.14489361702127659</v>
      </c>
      <c r="H83" s="463">
        <f t="shared" si="12"/>
        <v>0.13014095987457294</v>
      </c>
      <c r="I83" s="463">
        <f t="shared" si="12"/>
        <v>-0.12965749558103593</v>
      </c>
      <c r="J83" s="463">
        <f t="shared" si="12"/>
        <v>-1.9576495154817451E-3</v>
      </c>
      <c r="K83" s="463">
        <f t="shared" si="12"/>
        <v>7.3527159094390494E-4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456361</v>
      </c>
      <c r="D5" s="1586">
        <v>55430</v>
      </c>
      <c r="E5" s="1573">
        <v>82285</v>
      </c>
      <c r="F5" s="1631">
        <v>26669</v>
      </c>
      <c r="G5" s="1573">
        <v>14253</v>
      </c>
      <c r="H5" s="1573"/>
      <c r="I5" s="1573">
        <v>10948</v>
      </c>
      <c r="J5" s="1574">
        <v>35276</v>
      </c>
      <c r="K5" s="1573">
        <v>24</v>
      </c>
    </row>
    <row r="6" spans="1:12" ht="15" x14ac:dyDescent="0.2">
      <c r="A6" s="427" t="s">
        <v>1643</v>
      </c>
      <c r="B6" s="429">
        <v>1130</v>
      </c>
      <c r="C6" s="1573">
        <v>24</v>
      </c>
      <c r="D6" s="1573"/>
      <c r="E6" s="1580"/>
      <c r="F6" s="1580"/>
      <c r="G6" s="1575"/>
      <c r="H6" s="1575"/>
      <c r="I6" s="1575"/>
      <c r="J6" s="1575"/>
      <c r="K6" s="1575"/>
    </row>
    <row r="7" spans="1:12" x14ac:dyDescent="0.2">
      <c r="A7" s="427" t="s">
        <v>110</v>
      </c>
      <c r="B7" s="471">
        <v>1140</v>
      </c>
      <c r="C7" s="1573">
        <v>4431</v>
      </c>
      <c r="D7" s="1573"/>
      <c r="E7" s="1575"/>
      <c r="F7" s="1574"/>
      <c r="G7" s="1574"/>
      <c r="H7" s="1574"/>
      <c r="I7" s="1575"/>
      <c r="J7" s="1575"/>
      <c r="K7" s="1575"/>
    </row>
    <row r="8" spans="1:12" x14ac:dyDescent="0.2">
      <c r="A8" s="427" t="s">
        <v>410</v>
      </c>
      <c r="B8" s="429">
        <v>1150</v>
      </c>
      <c r="C8" s="1580"/>
      <c r="D8" s="1580"/>
      <c r="E8" s="1582"/>
      <c r="F8" s="1582"/>
      <c r="G8" s="1586">
        <v>15970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460816</v>
      </c>
      <c r="D12" s="1633">
        <f t="shared" si="0"/>
        <v>55430</v>
      </c>
      <c r="E12" s="1633">
        <f t="shared" si="0"/>
        <v>82285</v>
      </c>
      <c r="F12" s="1633">
        <f t="shared" si="0"/>
        <v>26669</v>
      </c>
      <c r="G12" s="1633">
        <f t="shared" si="0"/>
        <v>30223</v>
      </c>
      <c r="H12" s="1633">
        <f t="shared" si="0"/>
        <v>0</v>
      </c>
      <c r="I12" s="1633">
        <f t="shared" si="0"/>
        <v>10948</v>
      </c>
      <c r="J12" s="1633">
        <f t="shared" si="0"/>
        <v>35276</v>
      </c>
      <c r="K12" s="1594">
        <f t="shared" si="0"/>
        <v>24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15662</v>
      </c>
      <c r="D16" s="1573"/>
      <c r="E16" s="1573"/>
      <c r="F16" s="1573"/>
      <c r="G16" s="1573">
        <v>500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15662</v>
      </c>
      <c r="D18" s="1635">
        <f t="shared" ref="D18:K18" si="1">SUM(D14:D17)</f>
        <v>0</v>
      </c>
      <c r="E18" s="1635">
        <f t="shared" si="1"/>
        <v>0</v>
      </c>
      <c r="F18" s="1635">
        <f t="shared" si="1"/>
        <v>0</v>
      </c>
      <c r="G18" s="1635">
        <f t="shared" si="1"/>
        <v>500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36380</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36380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5218</v>
      </c>
      <c r="D69" s="1575"/>
      <c r="E69" s="1575"/>
      <c r="F69" s="1575"/>
      <c r="G69" s="1575"/>
      <c r="H69" s="1575"/>
      <c r="I69" s="1575"/>
      <c r="J69" s="1575"/>
      <c r="K69" s="1575"/>
    </row>
    <row r="70" spans="1:11" ht="12.75" customHeight="1" x14ac:dyDescent="0.2">
      <c r="A70" s="427" t="s">
        <v>990</v>
      </c>
      <c r="B70" s="429">
        <v>1612</v>
      </c>
      <c r="C70" s="1632">
        <v>2022</v>
      </c>
      <c r="D70" s="1575"/>
      <c r="E70" s="1575"/>
      <c r="F70" s="1575"/>
      <c r="G70" s="1575"/>
      <c r="H70" s="1575"/>
      <c r="I70" s="1575"/>
      <c r="J70" s="1575"/>
      <c r="K70" s="1575"/>
    </row>
    <row r="71" spans="1:11" ht="12.75" customHeight="1" x14ac:dyDescent="0.2">
      <c r="A71" s="427" t="s">
        <v>271</v>
      </c>
      <c r="B71" s="429">
        <v>1613</v>
      </c>
      <c r="C71" s="1632">
        <v>202</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691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8133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2348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2080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4428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5100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5100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33882</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122405</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18775</v>
      </c>
      <c r="D107" s="1573"/>
      <c r="E107" s="1573"/>
      <c r="F107" s="1573"/>
      <c r="G107" s="1573"/>
      <c r="H107" s="1573"/>
      <c r="I107" s="1573"/>
      <c r="J107" s="1574"/>
      <c r="K107" s="1573"/>
    </row>
    <row r="108" spans="1:12" ht="12.75" customHeight="1" thickBot="1" x14ac:dyDescent="0.25">
      <c r="A108" s="1406" t="s">
        <v>484</v>
      </c>
      <c r="B108" s="1408"/>
      <c r="C108" s="1633">
        <f>SUM(C95:C107)</f>
        <v>52657</v>
      </c>
      <c r="D108" s="1633">
        <f t="shared" ref="D108:K108" si="3">SUM(D95:D107)</f>
        <v>0</v>
      </c>
      <c r="E108" s="1633">
        <f t="shared" si="3"/>
        <v>0</v>
      </c>
      <c r="F108" s="1633">
        <f t="shared" si="3"/>
        <v>0</v>
      </c>
      <c r="G108" s="1633">
        <f t="shared" si="3"/>
        <v>0</v>
      </c>
      <c r="H108" s="1633">
        <f t="shared" si="3"/>
        <v>122405</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583176</v>
      </c>
      <c r="D109" s="1641">
        <f t="shared" si="4"/>
        <v>55430</v>
      </c>
      <c r="E109" s="1641">
        <f t="shared" si="4"/>
        <v>82285</v>
      </c>
      <c r="F109" s="1641">
        <f t="shared" si="4"/>
        <v>26669</v>
      </c>
      <c r="G109" s="1641">
        <f t="shared" si="4"/>
        <v>30723</v>
      </c>
      <c r="H109" s="1641">
        <f t="shared" si="4"/>
        <v>122405</v>
      </c>
      <c r="I109" s="1641">
        <f t="shared" si="4"/>
        <v>10948</v>
      </c>
      <c r="J109" s="1641">
        <f t="shared" si="4"/>
        <v>35276</v>
      </c>
      <c r="K109" s="1629">
        <f t="shared" si="4"/>
        <v>24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681993</v>
      </c>
      <c r="D117" s="1586">
        <v>74000</v>
      </c>
      <c r="E117" s="1573"/>
      <c r="F117" s="1586">
        <v>10000</v>
      </c>
      <c r="G117" s="1586">
        <v>12500</v>
      </c>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681993</v>
      </c>
      <c r="D122" s="1633">
        <f t="shared" si="5"/>
        <v>74000</v>
      </c>
      <c r="E122" s="1633">
        <f t="shared" si="5"/>
        <v>0</v>
      </c>
      <c r="F122" s="1633">
        <f t="shared" si="5"/>
        <v>10000</v>
      </c>
      <c r="G122" s="1633">
        <f t="shared" si="5"/>
        <v>12500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3174</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3174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876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29786</v>
      </c>
      <c r="G152" s="1574"/>
      <c r="H152" s="1575"/>
      <c r="I152" s="1575"/>
      <c r="J152" s="1575"/>
      <c r="K152" s="1575"/>
    </row>
    <row r="153" spans="1:11" ht="12.75" customHeight="1" x14ac:dyDescent="0.2">
      <c r="A153" s="427" t="s">
        <v>1048</v>
      </c>
      <c r="B153" s="478">
        <v>3510</v>
      </c>
      <c r="C153" s="1632"/>
      <c r="D153" s="1573"/>
      <c r="E153" s="1640"/>
      <c r="F153" s="1573">
        <v>4485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34271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4050</v>
      </c>
      <c r="D169" s="1658">
        <f t="shared" si="6"/>
        <v>0</v>
      </c>
      <c r="E169" s="1658">
        <f t="shared" si="6"/>
        <v>0</v>
      </c>
      <c r="F169" s="1658">
        <f t="shared" si="6"/>
        <v>34271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686043</v>
      </c>
      <c r="D170" s="1641">
        <f t="shared" si="7"/>
        <v>74000</v>
      </c>
      <c r="E170" s="1641">
        <f t="shared" si="7"/>
        <v>0</v>
      </c>
      <c r="F170" s="1641">
        <f t="shared" si="7"/>
        <v>44271</v>
      </c>
      <c r="G170" s="1641">
        <f t="shared" si="7"/>
        <v>12500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38646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19760</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58406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129051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129051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5161</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5161</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1893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43484</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45377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10964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18130</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267089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267089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1536308</v>
      </c>
      <c r="D268" s="1641">
        <f t="shared" si="12"/>
        <v>129430</v>
      </c>
      <c r="E268" s="1641">
        <f t="shared" si="12"/>
        <v>82285</v>
      </c>
      <c r="F268" s="1641">
        <f t="shared" si="12"/>
        <v>70940</v>
      </c>
      <c r="G268" s="1641">
        <f t="shared" si="12"/>
        <v>43223</v>
      </c>
      <c r="H268" s="1641">
        <f t="shared" si="12"/>
        <v>122405</v>
      </c>
      <c r="I268" s="1641">
        <f t="shared" si="12"/>
        <v>10948</v>
      </c>
      <c r="J268" s="1641">
        <f t="shared" si="12"/>
        <v>35276</v>
      </c>
      <c r="K268" s="1629">
        <f t="shared" si="12"/>
        <v>24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6" activePane="bottomLeft" state="frozen"/>
      <selection pane="bottomLeft" activeCell="D264" sqref="D2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536587</v>
      </c>
      <c r="D5" s="1573">
        <v>103347</v>
      </c>
      <c r="E5" s="1573">
        <v>463</v>
      </c>
      <c r="F5" s="1573">
        <v>3175</v>
      </c>
      <c r="G5" s="1573">
        <v>708</v>
      </c>
      <c r="H5" s="1573"/>
      <c r="I5" s="1574"/>
      <c r="J5" s="1574"/>
      <c r="K5" s="1672">
        <f>SUM(C5:J5)</f>
        <v>644280</v>
      </c>
      <c r="L5" s="1573">
        <v>622692</v>
      </c>
    </row>
    <row r="6" spans="1:14" x14ac:dyDescent="0.2">
      <c r="A6" s="1274" t="s">
        <v>1416</v>
      </c>
      <c r="B6" s="503" t="s">
        <v>1414</v>
      </c>
      <c r="C6" s="1582"/>
      <c r="D6" s="1582"/>
      <c r="E6" s="1573"/>
      <c r="F6" s="1582"/>
      <c r="G6" s="1582"/>
      <c r="H6" s="1582"/>
      <c r="I6" s="1582"/>
      <c r="J6" s="1582"/>
      <c r="K6" s="1672">
        <f>SUM(C6,E6)</f>
        <v>0</v>
      </c>
      <c r="L6" s="1573">
        <v>500</v>
      </c>
    </row>
    <row r="7" spans="1:14" x14ac:dyDescent="0.2">
      <c r="A7" s="1274" t="s">
        <v>162</v>
      </c>
      <c r="B7" s="503" t="s">
        <v>961</v>
      </c>
      <c r="C7" s="1574"/>
      <c r="D7" s="1574"/>
      <c r="E7" s="1574"/>
      <c r="F7" s="1574"/>
      <c r="G7" s="1574"/>
      <c r="H7" s="1574"/>
      <c r="I7" s="1574"/>
      <c r="J7" s="1574"/>
      <c r="K7" s="1672">
        <f t="shared" ref="K7:K32" si="0">SUM(C7:J7)</f>
        <v>0</v>
      </c>
      <c r="L7" s="1573">
        <v>30000</v>
      </c>
    </row>
    <row r="8" spans="1:14" x14ac:dyDescent="0.2">
      <c r="A8" s="1274" t="s">
        <v>163</v>
      </c>
      <c r="B8" s="503">
        <v>1200</v>
      </c>
      <c r="C8" s="1573">
        <v>150476</v>
      </c>
      <c r="D8" s="1573">
        <v>24053</v>
      </c>
      <c r="E8" s="1573">
        <v>75388</v>
      </c>
      <c r="F8" s="1573">
        <v>49</v>
      </c>
      <c r="G8" s="1573"/>
      <c r="H8" s="1573">
        <v>10039</v>
      </c>
      <c r="I8" s="1574"/>
      <c r="J8" s="1574"/>
      <c r="K8" s="1672">
        <f t="shared" si="0"/>
        <v>260005</v>
      </c>
      <c r="L8" s="1573">
        <v>183162</v>
      </c>
    </row>
    <row r="9" spans="1:14" x14ac:dyDescent="0.2">
      <c r="A9" s="1274" t="s">
        <v>716</v>
      </c>
      <c r="B9" s="503" t="s">
        <v>962</v>
      </c>
      <c r="C9" s="1574"/>
      <c r="D9" s="1574"/>
      <c r="E9" s="1574"/>
      <c r="F9" s="1574"/>
      <c r="G9" s="1574"/>
      <c r="H9" s="1574"/>
      <c r="I9" s="1574"/>
      <c r="J9" s="1574"/>
      <c r="K9" s="1672">
        <f t="shared" si="0"/>
        <v>0</v>
      </c>
      <c r="L9" s="1573">
        <v>84943</v>
      </c>
    </row>
    <row r="10" spans="1:14" x14ac:dyDescent="0.2">
      <c r="A10" s="1274" t="s">
        <v>717</v>
      </c>
      <c r="B10" s="503">
        <v>1250</v>
      </c>
      <c r="C10" s="1573">
        <v>48440</v>
      </c>
      <c r="D10" s="1573">
        <v>10995</v>
      </c>
      <c r="E10" s="1573">
        <v>13022</v>
      </c>
      <c r="F10" s="1573">
        <v>4864</v>
      </c>
      <c r="G10" s="1573"/>
      <c r="H10" s="1573"/>
      <c r="I10" s="1574"/>
      <c r="J10" s="1574"/>
      <c r="K10" s="1672">
        <f t="shared" si="0"/>
        <v>77321</v>
      </c>
      <c r="L10" s="1573">
        <v>82341</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9925</v>
      </c>
      <c r="D14" s="1573">
        <v>8</v>
      </c>
      <c r="E14" s="1573">
        <v>1237</v>
      </c>
      <c r="F14" s="1573">
        <v>1360</v>
      </c>
      <c r="G14" s="1573"/>
      <c r="H14" s="1573">
        <v>630</v>
      </c>
      <c r="I14" s="1574"/>
      <c r="J14" s="1574"/>
      <c r="K14" s="1672">
        <f t="shared" si="0"/>
        <v>13160</v>
      </c>
      <c r="L14" s="1573">
        <v>13215</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745428</v>
      </c>
      <c r="D33" s="1674">
        <f t="shared" ref="D33:L33" si="1">SUM(D5:D32)</f>
        <v>138403</v>
      </c>
      <c r="E33" s="1674">
        <f t="shared" si="1"/>
        <v>90110</v>
      </c>
      <c r="F33" s="1674">
        <f t="shared" si="1"/>
        <v>9448</v>
      </c>
      <c r="G33" s="1674">
        <f t="shared" si="1"/>
        <v>708</v>
      </c>
      <c r="H33" s="1674">
        <f t="shared" si="1"/>
        <v>10669</v>
      </c>
      <c r="I33" s="1674">
        <f t="shared" si="1"/>
        <v>0</v>
      </c>
      <c r="J33" s="1674">
        <f t="shared" si="1"/>
        <v>0</v>
      </c>
      <c r="K33" s="1674">
        <f t="shared" si="1"/>
        <v>994766</v>
      </c>
      <c r="L33" s="1674">
        <f t="shared" si="1"/>
        <v>1016853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24000</v>
      </c>
      <c r="D37" s="1573">
        <v>3267</v>
      </c>
      <c r="E37" s="1573"/>
      <c r="F37" s="1573"/>
      <c r="G37" s="1573"/>
      <c r="H37" s="1573"/>
      <c r="I37" s="1574"/>
      <c r="J37" s="1574"/>
      <c r="K37" s="1672">
        <f t="shared" si="2"/>
        <v>27267</v>
      </c>
      <c r="L37" s="1573">
        <v>27273</v>
      </c>
    </row>
    <row r="38" spans="1:14" x14ac:dyDescent="0.2">
      <c r="A38" s="1274" t="s">
        <v>196</v>
      </c>
      <c r="B38" s="503">
        <v>2130</v>
      </c>
      <c r="C38" s="1573"/>
      <c r="D38" s="1573"/>
      <c r="E38" s="1573"/>
      <c r="F38" s="1573">
        <v>4</v>
      </c>
      <c r="G38" s="1573"/>
      <c r="H38" s="1573"/>
      <c r="I38" s="1574"/>
      <c r="J38" s="1574"/>
      <c r="K38" s="1672">
        <f t="shared" si="2"/>
        <v>4</v>
      </c>
      <c r="L38" s="1573">
        <v>4</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24068</v>
      </c>
      <c r="D40" s="1573"/>
      <c r="E40" s="1573">
        <v>40735</v>
      </c>
      <c r="F40" s="1573">
        <v>100</v>
      </c>
      <c r="G40" s="1573"/>
      <c r="H40" s="1573"/>
      <c r="I40" s="1574"/>
      <c r="J40" s="1574"/>
      <c r="K40" s="1672">
        <f t="shared" si="2"/>
        <v>64903</v>
      </c>
      <c r="L40" s="1573">
        <v>66000</v>
      </c>
    </row>
    <row r="41" spans="1:14" x14ac:dyDescent="0.2">
      <c r="A41" s="1274" t="s">
        <v>1650</v>
      </c>
      <c r="B41" s="503">
        <v>2190</v>
      </c>
      <c r="C41" s="1573">
        <v>37677</v>
      </c>
      <c r="D41" s="1573">
        <v>3150</v>
      </c>
      <c r="E41" s="1573"/>
      <c r="F41" s="1573"/>
      <c r="G41" s="1573"/>
      <c r="H41" s="1573">
        <v>4154</v>
      </c>
      <c r="I41" s="1574"/>
      <c r="J41" s="1574"/>
      <c r="K41" s="1672">
        <f t="shared" si="2"/>
        <v>44981</v>
      </c>
      <c r="L41" s="1573">
        <v>45343</v>
      </c>
    </row>
    <row r="42" spans="1:14" ht="12.75" customHeight="1" thickBot="1" x14ac:dyDescent="0.25">
      <c r="A42" s="1380" t="s">
        <v>556</v>
      </c>
      <c r="B42" s="1381" t="s">
        <v>711</v>
      </c>
      <c r="C42" s="1674">
        <f>SUM(C36:C41)</f>
        <v>85745</v>
      </c>
      <c r="D42" s="1674">
        <f t="shared" ref="D42:L42" si="3">SUM(D36:D41)</f>
        <v>6417</v>
      </c>
      <c r="E42" s="1674">
        <f t="shared" si="3"/>
        <v>40735</v>
      </c>
      <c r="F42" s="1674">
        <f t="shared" si="3"/>
        <v>104</v>
      </c>
      <c r="G42" s="1674">
        <f t="shared" si="3"/>
        <v>0</v>
      </c>
      <c r="H42" s="1674">
        <f t="shared" si="3"/>
        <v>4154</v>
      </c>
      <c r="I42" s="1674">
        <f t="shared" si="3"/>
        <v>0</v>
      </c>
      <c r="J42" s="1674">
        <f t="shared" si="3"/>
        <v>0</v>
      </c>
      <c r="K42" s="1674">
        <f t="shared" si="3"/>
        <v>137155</v>
      </c>
      <c r="L42" s="1674">
        <f t="shared" si="3"/>
        <v>138620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8525</v>
      </c>
      <c r="D44" s="1586">
        <v>99</v>
      </c>
      <c r="E44" s="1586">
        <v>8546</v>
      </c>
      <c r="F44" s="1586"/>
      <c r="G44" s="1586"/>
      <c r="H44" s="1586"/>
      <c r="I44" s="1574"/>
      <c r="J44" s="1574"/>
      <c r="K44" s="1678">
        <f>SUM(C44:J44)</f>
        <v>17170</v>
      </c>
      <c r="L44" s="1586">
        <v>17802</v>
      </c>
    </row>
    <row r="45" spans="1:14" x14ac:dyDescent="0.2">
      <c r="A45" s="1274" t="s">
        <v>810</v>
      </c>
      <c r="B45" s="503">
        <v>2220</v>
      </c>
      <c r="C45" s="1573">
        <v>800</v>
      </c>
      <c r="D45" s="1573"/>
      <c r="E45" s="1573">
        <v>31984</v>
      </c>
      <c r="F45" s="1573">
        <v>4972</v>
      </c>
      <c r="G45" s="1573">
        <v>463</v>
      </c>
      <c r="H45" s="1573">
        <v>105</v>
      </c>
      <c r="I45" s="1574"/>
      <c r="J45" s="1574"/>
      <c r="K45" s="1678">
        <f>SUM(C45:J45)</f>
        <v>38324</v>
      </c>
      <c r="L45" s="1573">
        <v>38915</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9325</v>
      </c>
      <c r="D47" s="1674">
        <f t="shared" ref="D47:K47" si="4">SUM(D44:D46)</f>
        <v>99</v>
      </c>
      <c r="E47" s="1674">
        <f t="shared" si="4"/>
        <v>40530</v>
      </c>
      <c r="F47" s="1674">
        <f t="shared" si="4"/>
        <v>4972</v>
      </c>
      <c r="G47" s="1674">
        <f t="shared" si="4"/>
        <v>463</v>
      </c>
      <c r="H47" s="1674">
        <f t="shared" si="4"/>
        <v>105</v>
      </c>
      <c r="I47" s="1674">
        <f t="shared" si="4"/>
        <v>0</v>
      </c>
      <c r="J47" s="1674">
        <f t="shared" si="4"/>
        <v>0</v>
      </c>
      <c r="K47" s="1674">
        <f t="shared" si="4"/>
        <v>55494</v>
      </c>
      <c r="L47" s="1674">
        <f>SUM(L44:L46)</f>
        <v>56717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3838</v>
      </c>
      <c r="D49" s="1586"/>
      <c r="E49" s="1586">
        <v>11873</v>
      </c>
      <c r="F49" s="1586">
        <v>218</v>
      </c>
      <c r="G49" s="1586"/>
      <c r="H49" s="1586">
        <v>1822</v>
      </c>
      <c r="I49" s="1574"/>
      <c r="J49" s="1574"/>
      <c r="K49" s="1678">
        <f>SUM(C49:J49)</f>
        <v>17751</v>
      </c>
      <c r="L49" s="1586">
        <v>17906</v>
      </c>
    </row>
    <row r="50" spans="1:14" x14ac:dyDescent="0.2">
      <c r="A50" s="1274" t="s">
        <v>813</v>
      </c>
      <c r="B50" s="503">
        <v>2320</v>
      </c>
      <c r="C50" s="1573">
        <v>114238</v>
      </c>
      <c r="D50" s="1573">
        <v>14738</v>
      </c>
      <c r="E50" s="1573">
        <v>2364</v>
      </c>
      <c r="F50" s="1573">
        <v>715</v>
      </c>
      <c r="G50" s="1573"/>
      <c r="H50" s="1573">
        <v>961</v>
      </c>
      <c r="I50" s="1574"/>
      <c r="J50" s="1574"/>
      <c r="K50" s="1678">
        <f>SUM(C50:J50)</f>
        <v>133016</v>
      </c>
      <c r="L50" s="1573">
        <v>133608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118076</v>
      </c>
      <c r="D53" s="1674">
        <f t="shared" ref="D53:L53" si="5">SUM(D49:D52)</f>
        <v>14738</v>
      </c>
      <c r="E53" s="1674">
        <f t="shared" si="5"/>
        <v>14237</v>
      </c>
      <c r="F53" s="1674">
        <f t="shared" si="5"/>
        <v>933</v>
      </c>
      <c r="G53" s="1674">
        <f t="shared" si="5"/>
        <v>0</v>
      </c>
      <c r="H53" s="1674">
        <f t="shared" si="5"/>
        <v>2783</v>
      </c>
      <c r="I53" s="1674">
        <f t="shared" si="5"/>
        <v>0</v>
      </c>
      <c r="J53" s="1674">
        <f t="shared" si="5"/>
        <v>0</v>
      </c>
      <c r="K53" s="1674">
        <f t="shared" si="5"/>
        <v>150767</v>
      </c>
      <c r="L53" s="1674">
        <f t="shared" si="5"/>
        <v>151514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101958</v>
      </c>
      <c r="D55" s="1586">
        <v>19725</v>
      </c>
      <c r="E55" s="1586">
        <v>4717</v>
      </c>
      <c r="F55" s="1586">
        <v>2854</v>
      </c>
      <c r="G55" s="1586"/>
      <c r="H55" s="1586"/>
      <c r="I55" s="1574"/>
      <c r="J55" s="1574"/>
      <c r="K55" s="1678">
        <f>SUM(C55:J55)</f>
        <v>129254</v>
      </c>
      <c r="L55" s="1586">
        <v>129786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101958</v>
      </c>
      <c r="D57" s="1679">
        <f t="shared" ref="D57:K57" si="6">SUM(D55:D56)</f>
        <v>19725</v>
      </c>
      <c r="E57" s="1679">
        <f t="shared" si="6"/>
        <v>4717</v>
      </c>
      <c r="F57" s="1679">
        <f t="shared" si="6"/>
        <v>2854</v>
      </c>
      <c r="G57" s="1679">
        <f t="shared" si="6"/>
        <v>0</v>
      </c>
      <c r="H57" s="1679">
        <f t="shared" si="6"/>
        <v>0</v>
      </c>
      <c r="I57" s="1679">
        <f t="shared" si="6"/>
        <v>0</v>
      </c>
      <c r="J57" s="1679">
        <f t="shared" si="6"/>
        <v>0</v>
      </c>
      <c r="K57" s="1679">
        <f t="shared" si="6"/>
        <v>129254</v>
      </c>
      <c r="L57" s="1674">
        <f>SUM(L55:L56)</f>
        <v>129786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44308</v>
      </c>
      <c r="D60" s="1573">
        <v>5380</v>
      </c>
      <c r="E60" s="1573">
        <v>4591</v>
      </c>
      <c r="F60" s="1573">
        <v>1340</v>
      </c>
      <c r="G60" s="1573"/>
      <c r="H60" s="1573"/>
      <c r="I60" s="1574"/>
      <c r="J60" s="1574"/>
      <c r="K60" s="1678">
        <f t="shared" si="7"/>
        <v>55619</v>
      </c>
      <c r="L60" s="1573">
        <v>55689</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19878</v>
      </c>
      <c r="D63" s="1573"/>
      <c r="E63" s="1573">
        <v>1347</v>
      </c>
      <c r="F63" s="1573">
        <v>54377</v>
      </c>
      <c r="G63" s="1573"/>
      <c r="H63" s="1573"/>
      <c r="I63" s="1574"/>
      <c r="J63" s="1574"/>
      <c r="K63" s="1678">
        <f t="shared" si="7"/>
        <v>75602</v>
      </c>
      <c r="L63" s="1573">
        <v>77507</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64186</v>
      </c>
      <c r="D65" s="1674">
        <f t="shared" ref="D65:L65" si="8">SUM(D59:D64)</f>
        <v>5380</v>
      </c>
      <c r="E65" s="1674">
        <f t="shared" si="8"/>
        <v>5938</v>
      </c>
      <c r="F65" s="1674">
        <f t="shared" si="8"/>
        <v>55717</v>
      </c>
      <c r="G65" s="1674">
        <f t="shared" si="8"/>
        <v>0</v>
      </c>
      <c r="H65" s="1674">
        <f t="shared" si="8"/>
        <v>0</v>
      </c>
      <c r="I65" s="1674">
        <f t="shared" si="8"/>
        <v>0</v>
      </c>
      <c r="J65" s="1674">
        <f t="shared" si="8"/>
        <v>0</v>
      </c>
      <c r="K65" s="1674">
        <f t="shared" si="8"/>
        <v>131221</v>
      </c>
      <c r="L65" s="1674">
        <f t="shared" si="8"/>
        <v>133196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379290</v>
      </c>
      <c r="D74" s="1681">
        <f t="shared" ref="D74:K74" si="10">SUM(D42,D47,D53,D57,D65,D72,D73)</f>
        <v>46359</v>
      </c>
      <c r="E74" s="1681">
        <f t="shared" si="10"/>
        <v>106157</v>
      </c>
      <c r="F74" s="1681">
        <f t="shared" si="10"/>
        <v>64580</v>
      </c>
      <c r="G74" s="1681">
        <f t="shared" si="10"/>
        <v>463</v>
      </c>
      <c r="H74" s="1681">
        <f t="shared" si="10"/>
        <v>7042</v>
      </c>
      <c r="I74" s="1681">
        <f t="shared" si="10"/>
        <v>0</v>
      </c>
      <c r="J74" s="1681">
        <f t="shared" si="10"/>
        <v>0</v>
      </c>
      <c r="K74" s="1681">
        <f t="shared" si="10"/>
        <v>603891</v>
      </c>
      <c r="L74" s="1681">
        <f>SUM(L42,L47,L53,L57,L65,L72,L73)</f>
        <v>609833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35580</v>
      </c>
      <c r="I79" s="1582"/>
      <c r="J79" s="1582"/>
      <c r="K79" s="1672">
        <f t="shared" si="11"/>
        <v>35580</v>
      </c>
      <c r="L79" s="1573">
        <v>35885</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35580</v>
      </c>
      <c r="I84" s="1582"/>
      <c r="J84" s="1582"/>
      <c r="K84" s="1674">
        <f>SUM(K78:K83)</f>
        <v>35580</v>
      </c>
      <c r="L84" s="1674">
        <f>SUM(L78:L83)</f>
        <v>35885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35580</v>
      </c>
      <c r="I102" s="1582"/>
      <c r="J102" s="1582"/>
      <c r="K102" s="1681">
        <f>SUM(K84,K92,K100,K101)</f>
        <v>35580</v>
      </c>
      <c r="L102" s="1681">
        <f>SUM(L84,L92,L100,L101)</f>
        <v>35885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1124718</v>
      </c>
      <c r="D114" s="1674">
        <f t="shared" ref="D114:K114" si="13">SUM(D33,D74,D75,D102,D112,D113)</f>
        <v>184762</v>
      </c>
      <c r="E114" s="1674">
        <f t="shared" si="13"/>
        <v>196267</v>
      </c>
      <c r="F114" s="1674">
        <f t="shared" si="13"/>
        <v>74028</v>
      </c>
      <c r="G114" s="1674">
        <f t="shared" si="13"/>
        <v>1171</v>
      </c>
      <c r="H114" s="1674">
        <f>SUM(H33,H74,H75,H102,H112,H113)</f>
        <v>53291</v>
      </c>
      <c r="I114" s="1674">
        <f t="shared" si="13"/>
        <v>0</v>
      </c>
      <c r="J114" s="1674">
        <f t="shared" si="13"/>
        <v>0</v>
      </c>
      <c r="K114" s="1674">
        <f t="shared" si="13"/>
        <v>1634237</v>
      </c>
      <c r="L114" s="1674">
        <f>SUM(L33,L74,L75,L102,L112,L113)</f>
        <v>1662571</v>
      </c>
    </row>
    <row r="115" spans="1:14" ht="13.5" thickTop="1" x14ac:dyDescent="0.2">
      <c r="A115" s="2286" t="s">
        <v>989</v>
      </c>
      <c r="B115" s="2287"/>
      <c r="C115" s="1675"/>
      <c r="D115" s="1675"/>
      <c r="E115" s="1675"/>
      <c r="F115" s="1675"/>
      <c r="G115" s="1675"/>
      <c r="H115" s="1675"/>
      <c r="I115" s="1675"/>
      <c r="J115" s="1675"/>
      <c r="K115" s="1689">
        <f>'Revenues 9-14'!C268-'Expenditures 15-22'!K114</f>
        <v>-97929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43280</v>
      </c>
      <c r="D124" s="1573"/>
      <c r="E124" s="1573">
        <v>51596</v>
      </c>
      <c r="F124" s="1573">
        <v>45344</v>
      </c>
      <c r="G124" s="1573"/>
      <c r="H124" s="1573">
        <v>70</v>
      </c>
      <c r="I124" s="1574"/>
      <c r="J124" s="1574"/>
      <c r="K124" s="1674">
        <f>SUM(C124:J124)</f>
        <v>140290</v>
      </c>
      <c r="L124" s="1573">
        <v>145713</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43280</v>
      </c>
      <c r="D127" s="1674">
        <f t="shared" ref="D127:L127" si="14">SUM(D122:D126)</f>
        <v>0</v>
      </c>
      <c r="E127" s="1674">
        <f t="shared" si="14"/>
        <v>51596</v>
      </c>
      <c r="F127" s="1674">
        <f t="shared" si="14"/>
        <v>45344</v>
      </c>
      <c r="G127" s="1674">
        <f t="shared" si="14"/>
        <v>0</v>
      </c>
      <c r="H127" s="1674">
        <f t="shared" si="14"/>
        <v>70</v>
      </c>
      <c r="I127" s="1674">
        <f t="shared" si="14"/>
        <v>0</v>
      </c>
      <c r="J127" s="1674">
        <f t="shared" si="14"/>
        <v>0</v>
      </c>
      <c r="K127" s="1674">
        <f t="shared" si="14"/>
        <v>140290</v>
      </c>
      <c r="L127" s="1674">
        <f t="shared" si="14"/>
        <v>145713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43280</v>
      </c>
      <c r="D129" s="1681">
        <f t="shared" ref="D129:L129" si="15">SUM(D120,D127,D128)</f>
        <v>0</v>
      </c>
      <c r="E129" s="1681">
        <f t="shared" si="15"/>
        <v>51596</v>
      </c>
      <c r="F129" s="1681">
        <f t="shared" si="15"/>
        <v>45344</v>
      </c>
      <c r="G129" s="1681">
        <f t="shared" si="15"/>
        <v>0</v>
      </c>
      <c r="H129" s="1681">
        <f t="shared" si="15"/>
        <v>70</v>
      </c>
      <c r="I129" s="1681">
        <f t="shared" si="15"/>
        <v>0</v>
      </c>
      <c r="J129" s="1681">
        <f t="shared" si="15"/>
        <v>0</v>
      </c>
      <c r="K129" s="1681">
        <f t="shared" si="15"/>
        <v>140290</v>
      </c>
      <c r="L129" s="1681">
        <f t="shared" si="15"/>
        <v>145713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43280</v>
      </c>
      <c r="D151" s="1674">
        <f t="shared" ref="D151:K151" si="16">SUM(D129,D130,D139,D149,D150)</f>
        <v>0</v>
      </c>
      <c r="E151" s="1674">
        <f t="shared" si="16"/>
        <v>51596</v>
      </c>
      <c r="F151" s="1674">
        <f t="shared" si="16"/>
        <v>45344</v>
      </c>
      <c r="G151" s="1674">
        <f t="shared" si="16"/>
        <v>0</v>
      </c>
      <c r="H151" s="1674">
        <f t="shared" si="16"/>
        <v>70</v>
      </c>
      <c r="I151" s="1674">
        <f t="shared" si="16"/>
        <v>0</v>
      </c>
      <c r="J151" s="1674">
        <f t="shared" si="16"/>
        <v>0</v>
      </c>
      <c r="K151" s="1674">
        <f t="shared" si="16"/>
        <v>140290</v>
      </c>
      <c r="L151" s="1674">
        <f>SUM(L129,L130,L139,L149,L150)</f>
        <v>145713</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-10860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33213</v>
      </c>
      <c r="I169" s="1673"/>
      <c r="J169" s="1673"/>
      <c r="K169" s="1672">
        <f>SUM(C169:H169)</f>
        <v>33213</v>
      </c>
      <c r="L169" s="1695">
        <v>33213</v>
      </c>
    </row>
    <row r="170" spans="1:14" ht="33.75" customHeight="1" x14ac:dyDescent="0.2">
      <c r="A170" s="543" t="s">
        <v>1651</v>
      </c>
      <c r="B170" s="545" t="s">
        <v>31</v>
      </c>
      <c r="C170" s="1673"/>
      <c r="D170" s="1673"/>
      <c r="E170" s="1673"/>
      <c r="F170" s="1673"/>
      <c r="G170" s="1673"/>
      <c r="H170" s="1646">
        <v>59000</v>
      </c>
      <c r="I170" s="1673"/>
      <c r="J170" s="1673"/>
      <c r="K170" s="1672">
        <f>SUM(C170:J170)</f>
        <v>59000</v>
      </c>
      <c r="L170" s="1646">
        <v>59000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92213</v>
      </c>
      <c r="I172" s="1684"/>
      <c r="J172" s="1673"/>
      <c r="K172" s="1681">
        <f>SUM(K168,K169,K170,K171)</f>
        <v>92213</v>
      </c>
      <c r="L172" s="1681">
        <f>SUM(L168,L169,L170,L171)</f>
        <v>92213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92213</v>
      </c>
      <c r="I174" s="1684"/>
      <c r="J174" s="1673"/>
      <c r="K174" s="1681">
        <f>SUM(K160,K172,K173)</f>
        <v>92213</v>
      </c>
      <c r="L174" s="1681">
        <f>SUM(L160,L172,L173)</f>
        <v>92213</v>
      </c>
    </row>
    <row r="175" spans="1:14" ht="13.5" thickTop="1" x14ac:dyDescent="0.2">
      <c r="A175" s="2286" t="s">
        <v>989</v>
      </c>
      <c r="B175" s="2287"/>
      <c r="C175" s="1673"/>
      <c r="D175" s="1673"/>
      <c r="E175" s="1673"/>
      <c r="F175" s="1673"/>
      <c r="G175" s="1673"/>
      <c r="H175" s="1675"/>
      <c r="I175" s="1673"/>
      <c r="J175" s="1673"/>
      <c r="K175" s="1689">
        <f>'Revenues 9-14'!E268-'Expenditures 15-22'!K174</f>
        <v>-9928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59793</v>
      </c>
      <c r="F182" s="1573"/>
      <c r="G182" s="1573"/>
      <c r="H182" s="1573"/>
      <c r="I182" s="1574"/>
      <c r="J182" s="1574"/>
      <c r="K182" s="1672">
        <f>SUM(C182:J182)</f>
        <v>59793</v>
      </c>
      <c r="L182" s="1573">
        <v>60000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59793</v>
      </c>
      <c r="F184" s="1681">
        <f t="shared" si="17"/>
        <v>0</v>
      </c>
      <c r="G184" s="1681">
        <f t="shared" si="17"/>
        <v>0</v>
      </c>
      <c r="H184" s="1681">
        <f t="shared" si="17"/>
        <v>0</v>
      </c>
      <c r="I184" s="1681">
        <f t="shared" si="17"/>
        <v>0</v>
      </c>
      <c r="J184" s="1681">
        <f t="shared" si="17"/>
        <v>0</v>
      </c>
      <c r="K184" s="1681">
        <f>SUM(K180,K182,K183)</f>
        <v>59793</v>
      </c>
      <c r="L184" s="1681">
        <f>SUM(L180, L182:L183)</f>
        <v>60000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59793</v>
      </c>
      <c r="F210" s="1674">
        <f>SUM(F184,F185)</f>
        <v>0</v>
      </c>
      <c r="G210" s="1674">
        <f>SUM(G184,G185)</f>
        <v>0</v>
      </c>
      <c r="H210" s="1674">
        <f>SUM(H184,H185,H196,H208,H209)</f>
        <v>0</v>
      </c>
      <c r="I210" s="1674">
        <f>SUM(I184,I185)</f>
        <v>0</v>
      </c>
      <c r="J210" s="1674">
        <f>SUM(J184,J185)</f>
        <v>0</v>
      </c>
      <c r="K210" s="1672">
        <f>SUM(K184,K185,K196,K208,K209)</f>
        <v>59793</v>
      </c>
      <c r="L210" s="1674">
        <f>SUM(L184,L185,L196,L208,L209)</f>
        <v>60000</v>
      </c>
    </row>
    <row r="211" spans="1:14" ht="13.5" thickTop="1" x14ac:dyDescent="0.2">
      <c r="A211" s="2286" t="s">
        <v>989</v>
      </c>
      <c r="B211" s="2287"/>
      <c r="C211" s="1675"/>
      <c r="D211" s="1675"/>
      <c r="E211" s="1675"/>
      <c r="F211" s="1675"/>
      <c r="G211" s="1675"/>
      <c r="H211" s="1675"/>
      <c r="I211" s="1673"/>
      <c r="J211" s="1673"/>
      <c r="K211" s="1689">
        <f>'Revenues 9-14'!F268-'Expenditures 15-22'!K210</f>
        <v>11147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10184</v>
      </c>
      <c r="E215" s="1673"/>
      <c r="F215" s="1673"/>
      <c r="G215" s="1673"/>
      <c r="H215" s="1673"/>
      <c r="I215" s="1673"/>
      <c r="J215" s="1673"/>
      <c r="K215" s="1672">
        <f>D215</f>
        <v>10184</v>
      </c>
      <c r="L215" s="1573">
        <v>7200</v>
      </c>
    </row>
    <row r="216" spans="1:14" x14ac:dyDescent="0.2">
      <c r="A216" s="1274" t="s">
        <v>162</v>
      </c>
      <c r="B216" s="503" t="s">
        <v>961</v>
      </c>
      <c r="C216" s="1673"/>
      <c r="D216" s="1574"/>
      <c r="E216" s="1673"/>
      <c r="F216" s="1673"/>
      <c r="G216" s="1673"/>
      <c r="H216" s="1673"/>
      <c r="I216" s="1673"/>
      <c r="J216" s="1673"/>
      <c r="K216" s="1672">
        <f t="shared" ref="K216:K228" si="19">D216</f>
        <v>0</v>
      </c>
      <c r="L216" s="1573">
        <v>3341</v>
      </c>
    </row>
    <row r="217" spans="1:14" x14ac:dyDescent="0.2">
      <c r="A217" s="1274" t="s">
        <v>163</v>
      </c>
      <c r="B217" s="503">
        <v>1200</v>
      </c>
      <c r="C217" s="1673"/>
      <c r="D217" s="1573">
        <v>5655</v>
      </c>
      <c r="E217" s="1673"/>
      <c r="F217" s="1673"/>
      <c r="G217" s="1673"/>
      <c r="H217" s="1673"/>
      <c r="I217" s="1673"/>
      <c r="J217" s="1673"/>
      <c r="K217" s="1672">
        <f t="shared" si="19"/>
        <v>5655</v>
      </c>
      <c r="L217" s="1573">
        <v>1144</v>
      </c>
    </row>
    <row r="218" spans="1:14" x14ac:dyDescent="0.2">
      <c r="A218" s="1274" t="s">
        <v>276</v>
      </c>
      <c r="B218" s="503" t="s">
        <v>962</v>
      </c>
      <c r="C218" s="1673"/>
      <c r="D218" s="1574"/>
      <c r="E218" s="1673"/>
      <c r="F218" s="1673"/>
      <c r="G218" s="1673"/>
      <c r="H218" s="1673"/>
      <c r="I218" s="1673"/>
      <c r="J218" s="1673"/>
      <c r="K218" s="1672">
        <f t="shared" si="19"/>
        <v>0</v>
      </c>
      <c r="L218" s="1573">
        <v>4700</v>
      </c>
    </row>
    <row r="219" spans="1:14" x14ac:dyDescent="0.2">
      <c r="A219" s="1274" t="s">
        <v>277</v>
      </c>
      <c r="B219" s="503">
        <v>1250</v>
      </c>
      <c r="C219" s="1673"/>
      <c r="D219" s="1573">
        <v>1401</v>
      </c>
      <c r="E219" s="1673"/>
      <c r="F219" s="1673"/>
      <c r="G219" s="1673"/>
      <c r="H219" s="1673"/>
      <c r="I219" s="1673"/>
      <c r="J219" s="1673"/>
      <c r="K219" s="1672">
        <f t="shared" si="19"/>
        <v>1401</v>
      </c>
      <c r="L219" s="1573">
        <v>1460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102</v>
      </c>
      <c r="E223" s="1673"/>
      <c r="F223" s="1673"/>
      <c r="G223" s="1673"/>
      <c r="H223" s="1673"/>
      <c r="I223" s="1673"/>
      <c r="J223" s="1673"/>
      <c r="K223" s="1672">
        <f t="shared" si="19"/>
        <v>102</v>
      </c>
      <c r="L223" s="1573">
        <v>104</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17342</v>
      </c>
      <c r="E229" s="1673"/>
      <c r="F229" s="1673"/>
      <c r="G229" s="1673"/>
      <c r="H229" s="1673"/>
      <c r="I229" s="1673"/>
      <c r="J229" s="1673"/>
      <c r="K229" s="1674">
        <f>SUM(K215:K228)</f>
        <v>17342</v>
      </c>
      <c r="L229" s="1674">
        <f>SUM(L215:L228)</f>
        <v>17949</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348</v>
      </c>
      <c r="E233" s="1673"/>
      <c r="F233" s="1673"/>
      <c r="G233" s="1673"/>
      <c r="H233" s="1673"/>
      <c r="I233" s="1673"/>
      <c r="J233" s="1673"/>
      <c r="K233" s="1672">
        <f t="shared" si="20"/>
        <v>348</v>
      </c>
      <c r="L233" s="1573">
        <v>358</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4925</v>
      </c>
      <c r="E237" s="1673"/>
      <c r="F237" s="1673"/>
      <c r="G237" s="1673"/>
      <c r="H237" s="1673"/>
      <c r="I237" s="1673"/>
      <c r="J237" s="1673"/>
      <c r="K237" s="1672">
        <f t="shared" si="20"/>
        <v>4925</v>
      </c>
      <c r="L237" s="1573">
        <v>5100</v>
      </c>
    </row>
    <row r="238" spans="1:12" ht="12.75" customHeight="1" thickBot="1" x14ac:dyDescent="0.25">
      <c r="A238" s="1380" t="s">
        <v>556</v>
      </c>
      <c r="B238" s="1383" t="s">
        <v>711</v>
      </c>
      <c r="C238" s="1673"/>
      <c r="D238" s="1674">
        <f>SUM(D232:D237)</f>
        <v>5273</v>
      </c>
      <c r="E238" s="1673"/>
      <c r="F238" s="1673"/>
      <c r="G238" s="1673"/>
      <c r="H238" s="1673"/>
      <c r="I238" s="1673"/>
      <c r="J238" s="1673"/>
      <c r="K238" s="1674">
        <f>SUM(K232:K237)</f>
        <v>5273</v>
      </c>
      <c r="L238" s="1674">
        <f>SUM(L232:L237)</f>
        <v>5458</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114</v>
      </c>
      <c r="E240" s="1673"/>
      <c r="F240" s="1673"/>
      <c r="G240" s="1673"/>
      <c r="H240" s="1673"/>
      <c r="I240" s="1673"/>
      <c r="J240" s="1673"/>
      <c r="K240" s="1678">
        <f>D240</f>
        <v>114</v>
      </c>
      <c r="L240" s="1586">
        <v>120</v>
      </c>
    </row>
    <row r="241" spans="1:12" x14ac:dyDescent="0.2">
      <c r="A241" s="1274" t="s">
        <v>810</v>
      </c>
      <c r="B241" s="503">
        <v>2220</v>
      </c>
      <c r="C241" s="1673"/>
      <c r="D241" s="1573">
        <v>12</v>
      </c>
      <c r="E241" s="1673"/>
      <c r="F241" s="1673"/>
      <c r="G241" s="1673"/>
      <c r="H241" s="1673"/>
      <c r="I241" s="1673"/>
      <c r="J241" s="1673"/>
      <c r="K241" s="1678">
        <f>D241</f>
        <v>12</v>
      </c>
      <c r="L241" s="1573">
        <v>12</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126</v>
      </c>
      <c r="E243" s="1673"/>
      <c r="F243" s="1673"/>
      <c r="G243" s="1673"/>
      <c r="H243" s="1673"/>
      <c r="I243" s="1673"/>
      <c r="J243" s="1673"/>
      <c r="K243" s="1674">
        <f>SUM(K240:K242)</f>
        <v>126</v>
      </c>
      <c r="L243" s="1674">
        <f>SUM(L240:L242)</f>
        <v>132</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55</v>
      </c>
      <c r="E245" s="1673"/>
      <c r="F245" s="1673"/>
      <c r="G245" s="1673"/>
      <c r="H245" s="1673"/>
      <c r="I245" s="1673"/>
      <c r="J245" s="1673"/>
      <c r="K245" s="1678">
        <f>D245</f>
        <v>55</v>
      </c>
      <c r="L245" s="1586">
        <v>56</v>
      </c>
    </row>
    <row r="246" spans="1:12" x14ac:dyDescent="0.2">
      <c r="A246" s="1274" t="s">
        <v>813</v>
      </c>
      <c r="B246" s="503">
        <v>2320</v>
      </c>
      <c r="C246" s="1673"/>
      <c r="D246" s="1573">
        <v>1656</v>
      </c>
      <c r="E246" s="1673"/>
      <c r="F246" s="1673"/>
      <c r="G246" s="1673"/>
      <c r="H246" s="1673"/>
      <c r="I246" s="1673"/>
      <c r="J246" s="1673"/>
      <c r="K246" s="1678">
        <f t="shared" ref="K246:K256" si="21">D246</f>
        <v>1656</v>
      </c>
      <c r="L246" s="1573">
        <v>1657</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1711</v>
      </c>
      <c r="E257" s="1673"/>
      <c r="F257" s="1673"/>
      <c r="G257" s="1673"/>
      <c r="H257" s="1673"/>
      <c r="I257" s="1673"/>
      <c r="J257" s="1673"/>
      <c r="K257" s="1674">
        <f>SUM(K245:K256)</f>
        <v>1711</v>
      </c>
      <c r="L257" s="1674">
        <f>SUM(L245:L256)</f>
        <v>1713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4557</v>
      </c>
      <c r="E259" s="1673"/>
      <c r="F259" s="1673"/>
      <c r="G259" s="1673"/>
      <c r="H259" s="1673"/>
      <c r="I259" s="1673"/>
      <c r="J259" s="1673"/>
      <c r="K259" s="1678">
        <f>D259</f>
        <v>4557</v>
      </c>
      <c r="L259" s="1586">
        <v>4727</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4557</v>
      </c>
      <c r="E261" s="1673"/>
      <c r="F261" s="1673"/>
      <c r="G261" s="1673"/>
      <c r="H261" s="1673"/>
      <c r="I261" s="1673"/>
      <c r="J261" s="1673"/>
      <c r="K261" s="1674">
        <f>SUM(K259:K260)</f>
        <v>4557</v>
      </c>
      <c r="L261" s="1674">
        <f>SUM(L259:L260)</f>
        <v>4727</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5144</v>
      </c>
      <c r="E264" s="1673"/>
      <c r="F264" s="1673"/>
      <c r="G264" s="1673"/>
      <c r="H264" s="1673"/>
      <c r="I264" s="1673"/>
      <c r="J264" s="1673"/>
      <c r="K264" s="1678">
        <f t="shared" ref="K264:K269" si="22">D264</f>
        <v>5144</v>
      </c>
      <c r="L264" s="1573">
        <v>5214</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5122</v>
      </c>
      <c r="E266" s="1673"/>
      <c r="F266" s="1673"/>
      <c r="G266" s="1673"/>
      <c r="H266" s="1673"/>
      <c r="I266" s="1673"/>
      <c r="J266" s="1673"/>
      <c r="K266" s="1678">
        <f t="shared" si="22"/>
        <v>5122</v>
      </c>
      <c r="L266" s="1573">
        <v>5202</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1905</v>
      </c>
      <c r="E268" s="1673"/>
      <c r="F268" s="1673"/>
      <c r="G268" s="1673"/>
      <c r="H268" s="1673"/>
      <c r="I268" s="1673"/>
      <c r="J268" s="1673"/>
      <c r="K268" s="1678">
        <f t="shared" si="22"/>
        <v>1905</v>
      </c>
      <c r="L268" s="1573">
        <v>2065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12171</v>
      </c>
      <c r="E270" s="1673"/>
      <c r="F270" s="1673"/>
      <c r="G270" s="1673"/>
      <c r="H270" s="1673"/>
      <c r="I270" s="1673"/>
      <c r="J270" s="1673"/>
      <c r="K270" s="1674">
        <f>SUM(K263:K269)</f>
        <v>12171</v>
      </c>
      <c r="L270" s="1674">
        <f>SUM(L263:L269)</f>
        <v>12481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23838</v>
      </c>
      <c r="E279" s="1673"/>
      <c r="F279" s="1673"/>
      <c r="G279" s="1673"/>
      <c r="H279" s="1673"/>
      <c r="I279" s="1673"/>
      <c r="J279" s="1673"/>
      <c r="K279" s="1681">
        <f>SUM(K238,K243,K257,K261,K270,K277,K278)</f>
        <v>23838</v>
      </c>
      <c r="L279" s="1681">
        <f>SUM(L238,L243,L257,L261,L270,L277,L278)</f>
        <v>24511</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41180</v>
      </c>
      <c r="E295" s="1673"/>
      <c r="F295" s="1673"/>
      <c r="G295" s="1673"/>
      <c r="H295" s="1674">
        <f>H293</f>
        <v>0</v>
      </c>
      <c r="I295" s="1673"/>
      <c r="J295" s="1673"/>
      <c r="K295" s="1674">
        <f>SUM(K229,K279,K280,K285,K293,K294)</f>
        <v>41180</v>
      </c>
      <c r="L295" s="1674">
        <f>SUM(L229,L279,L280,L285,L293,L294)</f>
        <v>42460</v>
      </c>
    </row>
    <row r="296" spans="1:14" ht="13.5" thickTop="1" x14ac:dyDescent="0.2">
      <c r="A296" s="2286" t="s">
        <v>989</v>
      </c>
      <c r="B296" s="2287"/>
      <c r="C296" s="1673"/>
      <c r="D296" s="1675"/>
      <c r="E296" s="1673"/>
      <c r="F296" s="1673"/>
      <c r="G296" s="1673"/>
      <c r="H296" s="1707"/>
      <c r="I296" s="1673"/>
      <c r="J296" s="1673"/>
      <c r="K296" s="1689">
        <f>'Revenues 9-14'!G268-'Expenditures 15-22'!K295</f>
        <v>2043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59818</v>
      </c>
      <c r="H301" s="1573"/>
      <c r="I301" s="1574"/>
      <c r="J301" s="1574"/>
      <c r="K301" s="1672">
        <f>SUM(C301:J301)</f>
        <v>59818</v>
      </c>
      <c r="L301" s="1574">
        <v>60775</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59818</v>
      </c>
      <c r="H303" s="1681">
        <f t="shared" si="23"/>
        <v>0</v>
      </c>
      <c r="I303" s="1681">
        <f t="shared" si="23"/>
        <v>0</v>
      </c>
      <c r="J303" s="1681">
        <f t="shared" si="23"/>
        <v>0</v>
      </c>
      <c r="K303" s="1681">
        <f t="shared" si="23"/>
        <v>59818</v>
      </c>
      <c r="L303" s="1681">
        <f t="shared" si="23"/>
        <v>60775</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59818</v>
      </c>
      <c r="H312" s="1674">
        <f>SUM(H303,H310)</f>
        <v>0</v>
      </c>
      <c r="I312" s="1674">
        <f>SUM(I303)</f>
        <v>0</v>
      </c>
      <c r="J312" s="1674">
        <f>SUM(J303)</f>
        <v>0</v>
      </c>
      <c r="K312" s="1674">
        <f>SUM(K303,K310,K311)</f>
        <v>59818</v>
      </c>
      <c r="L312" s="1674">
        <f>SUM(L303,L310,L311)</f>
        <v>60775</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62587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12304</v>
      </c>
      <c r="F320" s="1574"/>
      <c r="G320" s="1574"/>
      <c r="H320" s="1574"/>
      <c r="I320" s="1574"/>
      <c r="J320" s="1574"/>
      <c r="K320" s="1672">
        <f t="shared" ref="K320:K327" si="24">SUM(C320:J320)</f>
        <v>12304</v>
      </c>
      <c r="L320" s="1574">
        <v>12304</v>
      </c>
      <c r="M320" s="539"/>
      <c r="N320" s="539"/>
    </row>
    <row r="321" spans="1:14" s="548" customFormat="1" x14ac:dyDescent="0.2">
      <c r="A321" s="1289" t="s">
        <v>297</v>
      </c>
      <c r="B321" s="567" t="s">
        <v>281</v>
      </c>
      <c r="C321" s="1574"/>
      <c r="D321" s="1574"/>
      <c r="E321" s="1574">
        <v>78</v>
      </c>
      <c r="F321" s="1574"/>
      <c r="G321" s="1574"/>
      <c r="H321" s="1574"/>
      <c r="I321" s="1574"/>
      <c r="J321" s="1574"/>
      <c r="K321" s="1672">
        <f t="shared" si="24"/>
        <v>78</v>
      </c>
      <c r="L321" s="1574">
        <v>80</v>
      </c>
      <c r="M321" s="539"/>
      <c r="N321" s="539"/>
    </row>
    <row r="322" spans="1:14" s="548" customFormat="1" x14ac:dyDescent="0.2">
      <c r="A322" s="1289" t="s">
        <v>236</v>
      </c>
      <c r="B322" s="567" t="s">
        <v>282</v>
      </c>
      <c r="C322" s="1574"/>
      <c r="D322" s="1574"/>
      <c r="E322" s="1574">
        <v>1100</v>
      </c>
      <c r="F322" s="1574"/>
      <c r="G322" s="1574"/>
      <c r="H322" s="1574"/>
      <c r="I322" s="1574"/>
      <c r="J322" s="1574"/>
      <c r="K322" s="1672">
        <f t="shared" si="24"/>
        <v>1100</v>
      </c>
      <c r="L322" s="1574">
        <v>1100</v>
      </c>
      <c r="M322" s="539"/>
      <c r="N322" s="539"/>
    </row>
    <row r="323" spans="1:14" s="548" customFormat="1" x14ac:dyDescent="0.2">
      <c r="A323" s="1289" t="s">
        <v>697</v>
      </c>
      <c r="B323" s="567" t="s">
        <v>283</v>
      </c>
      <c r="C323" s="1574"/>
      <c r="D323" s="1574"/>
      <c r="E323" s="1574">
        <v>994</v>
      </c>
      <c r="F323" s="1574"/>
      <c r="G323" s="1574"/>
      <c r="H323" s="1574"/>
      <c r="I323" s="1574"/>
      <c r="J323" s="1574"/>
      <c r="K323" s="1672">
        <f t="shared" si="24"/>
        <v>994</v>
      </c>
      <c r="L323" s="1574">
        <v>1000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1812</v>
      </c>
      <c r="F325" s="1574"/>
      <c r="G325" s="1574"/>
      <c r="H325" s="1574"/>
      <c r="I325" s="1574"/>
      <c r="J325" s="1574"/>
      <c r="K325" s="1672">
        <f t="shared" si="24"/>
        <v>1812</v>
      </c>
      <c r="L325" s="1574">
        <v>1975</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3200</v>
      </c>
      <c r="F327" s="1574"/>
      <c r="G327" s="1574"/>
      <c r="H327" s="1574"/>
      <c r="I327" s="1574"/>
      <c r="J327" s="1574"/>
      <c r="K327" s="1672">
        <f t="shared" si="24"/>
        <v>3200</v>
      </c>
      <c r="L327" s="1574">
        <v>3200</v>
      </c>
      <c r="M327" s="539"/>
      <c r="N327" s="539"/>
    </row>
    <row r="328" spans="1:14" s="548" customFormat="1" x14ac:dyDescent="0.2">
      <c r="A328" s="1290" t="s">
        <v>469</v>
      </c>
      <c r="B328" s="562" t="s">
        <v>1122</v>
      </c>
      <c r="C328" s="1579"/>
      <c r="D328" s="1579"/>
      <c r="E328" s="1579">
        <v>15848</v>
      </c>
      <c r="F328" s="1579"/>
      <c r="G328" s="1579"/>
      <c r="H328" s="1579"/>
      <c r="I328" s="1579"/>
      <c r="J328" s="1579"/>
      <c r="K328" s="1713">
        <f>SUM(C328:J328)</f>
        <v>15848</v>
      </c>
      <c r="L328" s="1579">
        <v>15900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35336</v>
      </c>
      <c r="F330" s="1674">
        <f t="shared" si="25"/>
        <v>0</v>
      </c>
      <c r="G330" s="1674">
        <f t="shared" si="25"/>
        <v>0</v>
      </c>
      <c r="H330" s="1674">
        <f t="shared" si="25"/>
        <v>0</v>
      </c>
      <c r="I330" s="1674">
        <f t="shared" si="25"/>
        <v>0</v>
      </c>
      <c r="J330" s="1674">
        <f t="shared" si="25"/>
        <v>0</v>
      </c>
      <c r="K330" s="1674">
        <f>SUM(K319:K329)</f>
        <v>35336</v>
      </c>
      <c r="L330" s="1674">
        <f>SUM(L319:L329)</f>
        <v>35559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35336</v>
      </c>
      <c r="F342" s="1674">
        <f>SUM(F330)</f>
        <v>0</v>
      </c>
      <c r="G342" s="1674">
        <f>SUM(G330)</f>
        <v>0</v>
      </c>
      <c r="H342" s="1674">
        <f>SUM(H330,H334,H340)</f>
        <v>0</v>
      </c>
      <c r="I342" s="1674">
        <f>SUM(I330)</f>
        <v>0</v>
      </c>
      <c r="J342" s="1674">
        <f>SUM(J330)</f>
        <v>0</v>
      </c>
      <c r="K342" s="1674">
        <f>SUM(K330,K334,K340)</f>
        <v>35336</v>
      </c>
      <c r="L342" s="1681">
        <f>SUM(L330,L334,L340,L341)</f>
        <v>35559</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-60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24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www.w3.org/XML/1998/namespace"/>
    <ds:schemaRef ds:uri="http://schemas.microsoft.com/office/2006/documentManagement/types"/>
    <ds:schemaRef ds:uri="d21dc803-237d-4c68-8692-8d731fd29118"/>
    <ds:schemaRef ds:uri="http://schemas.openxmlformats.org/package/2006/metadata/core-properties"/>
    <ds:schemaRef ds:uri="http://schemas.microsoft.com/sharepoint/v3"/>
    <ds:schemaRef ds:uri="http://purl.org/dc/elements/1.1/"/>
    <ds:schemaRef ds:uri="http://schemas.microsoft.com/office/infopath/2007/PartnerControls"/>
    <ds:schemaRef ds:uri="http://schemas.microsoft.com/office/2006/metadata/properties"/>
    <ds:schemaRef ds:uri="4d435f69-8686-490b-bd6d-b153bf22ab50"/>
    <ds:schemaRef ds:uri="6ce3111e-7420-4802-b50a-75d4e9a0b980"/>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2020-09-16T13:25:58Z</cp:lastPrinted>
  <dcterms:created xsi:type="dcterms:W3CDTF">2003-10-29T19:06:34Z</dcterms:created>
  <dcterms:modified xsi:type="dcterms:W3CDTF">2020-11-17T00:17:24Z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