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8906421-CB48-436C-A600-CAB9D6AB74A1}"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85" r:id="rId28"/>
    <sheet name=" SEFA (2)" sheetId="179" r:id="rId29"/>
    <sheet name=" SEFA (3)" sheetId="186" r:id="rId30"/>
    <sheet name=" SEFA (4)" sheetId="187"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7">' SEFA'!$B$1:$M$46</definedName>
    <definedName name="_xlnm.Print_Area" localSheetId="28">' SEFA (2)'!$B$1:$M$45</definedName>
    <definedName name="_xlnm.Print_Area" localSheetId="29">' SEFA (3)'!$B$1:$M$48</definedName>
    <definedName name="_xlnm.Print_Area" localSheetId="30">' SEFA (4)'!$B$1:$M$47</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9" i="3" l="1"/>
  <c r="C50" i="29" l="1"/>
  <c r="L18" i="187"/>
  <c r="C8" i="3"/>
  <c r="C265" i="5"/>
  <c r="C107" i="5"/>
  <c r="C55" i="29" l="1"/>
  <c r="C27" i="3"/>
  <c r="C5" i="29"/>
  <c r="E5" i="29"/>
  <c r="F5" i="29"/>
  <c r="C44" i="29"/>
  <c r="C60" i="29"/>
  <c r="C68" i="29"/>
  <c r="E70" i="29"/>
  <c r="H79" i="29"/>
  <c r="F63" i="29"/>
  <c r="G63" i="29"/>
  <c r="C158" i="5"/>
  <c r="C149" i="5"/>
  <c r="C40" i="29" l="1"/>
  <c r="C36" i="29"/>
  <c r="C18" i="29"/>
  <c r="C15" i="29"/>
  <c r="C14" i="29"/>
  <c r="H8" i="29"/>
  <c r="F75" i="29"/>
  <c r="E75" i="29"/>
  <c r="E71" i="29"/>
  <c r="G68" i="29"/>
  <c r="D68" i="29"/>
  <c r="E63" i="29"/>
  <c r="C63" i="29"/>
  <c r="F61" i="29"/>
  <c r="E61" i="29"/>
  <c r="E60" i="29"/>
  <c r="F50" i="29"/>
  <c r="H49" i="29"/>
  <c r="G44" i="29"/>
  <c r="E44" i="29"/>
  <c r="E40" i="29"/>
  <c r="G14" i="29"/>
  <c r="F13" i="29"/>
  <c r="E13" i="29"/>
  <c r="F8" i="29"/>
  <c r="E8" i="29"/>
  <c r="E37" i="29"/>
  <c r="D37" i="29"/>
  <c r="C37" i="29"/>
  <c r="D36" i="29"/>
  <c r="D12" i="29"/>
  <c r="C12" i="29"/>
  <c r="D44" i="29"/>
  <c r="E46" i="29"/>
  <c r="E49" i="29"/>
  <c r="C49" i="29"/>
  <c r="F49" i="29"/>
  <c r="E50" i="29"/>
  <c r="D50" i="29"/>
  <c r="E51" i="29"/>
  <c r="D61" i="29"/>
  <c r="C61" i="29"/>
  <c r="E69" i="29"/>
  <c r="F73" i="29"/>
  <c r="C75" i="4"/>
  <c r="G124" i="29"/>
  <c r="F168" i="5"/>
  <c r="E43" i="4" l="1"/>
  <c r="H169" i="29"/>
  <c r="L73" i="29"/>
  <c r="L71" i="29"/>
  <c r="L69" i="29"/>
  <c r="L63" i="29"/>
  <c r="L61" i="29"/>
  <c r="L50" i="29"/>
  <c r="L46" i="29"/>
  <c r="L44" i="29"/>
  <c r="L37" i="29"/>
  <c r="L36" i="29"/>
  <c r="L13" i="29"/>
  <c r="L12" i="29"/>
  <c r="L83" i="29" l="1"/>
  <c r="L75" i="29"/>
  <c r="L70" i="29"/>
  <c r="L68" i="29"/>
  <c r="L64" i="29"/>
  <c r="L51" i="29"/>
  <c r="L14" i="29"/>
  <c r="L8" i="29"/>
  <c r="L5" i="29"/>
  <c r="L7" i="29"/>
  <c r="C96" i="5" l="1"/>
  <c r="C65" i="5"/>
  <c r="C222" i="5"/>
  <c r="C36" i="5"/>
  <c r="H107" i="5"/>
  <c r="H65" i="5"/>
  <c r="D5" i="5"/>
  <c r="M19" i="3"/>
  <c r="H27" i="3"/>
  <c r="J27" i="3"/>
  <c r="C38" i="3"/>
  <c r="C30" i="3"/>
  <c r="C10" i="3"/>
  <c r="C4" i="3"/>
  <c r="C25" i="3"/>
  <c r="L28" i="186" l="1"/>
  <c r="I27" i="187" l="1"/>
  <c r="F27" i="187"/>
  <c r="L24" i="187"/>
  <c r="I25" i="186"/>
  <c r="F25" i="186"/>
  <c r="L17" i="186"/>
  <c r="L13" i="186"/>
  <c r="I27" i="179"/>
  <c r="F27" i="179"/>
  <c r="I15" i="179"/>
  <c r="F15" i="179"/>
  <c r="L22" i="185"/>
  <c r="I23" i="185"/>
  <c r="I28" i="185" s="1"/>
  <c r="F23" i="185"/>
  <c r="F28" i="185" s="1"/>
  <c r="E23" i="185"/>
  <c r="E28" i="185" s="1"/>
  <c r="F20" i="187" l="1"/>
  <c r="F29" i="187" s="1"/>
  <c r="I20" i="187"/>
  <c r="I29" i="187" s="1"/>
  <c r="G27" i="187"/>
  <c r="L27" i="187" s="1"/>
  <c r="G16" i="187"/>
  <c r="L16" i="187" s="1"/>
  <c r="L15" i="187"/>
  <c r="E25" i="187"/>
  <c r="E27" i="187" s="1"/>
  <c r="L28" i="187"/>
  <c r="L26" i="187"/>
  <c r="L25" i="187"/>
  <c r="L23" i="187"/>
  <c r="L22" i="187"/>
  <c r="L21" i="187"/>
  <c r="L17" i="187"/>
  <c r="L14" i="187"/>
  <c r="L13" i="187"/>
  <c r="L12" i="187"/>
  <c r="L11" i="187"/>
  <c r="I9" i="187"/>
  <c r="G9" i="187"/>
  <c r="F9" i="187"/>
  <c r="E9" i="187"/>
  <c r="J8" i="187"/>
  <c r="H8" i="187"/>
  <c r="L21" i="186"/>
  <c r="L19" i="186"/>
  <c r="E25" i="186"/>
  <c r="L30" i="186"/>
  <c r="L27" i="186"/>
  <c r="L26" i="186"/>
  <c r="L24" i="186"/>
  <c r="L23" i="186"/>
  <c r="L22" i="186"/>
  <c r="L20" i="186"/>
  <c r="L15" i="186"/>
  <c r="L14" i="186"/>
  <c r="L12" i="186"/>
  <c r="L11" i="186"/>
  <c r="I9" i="186"/>
  <c r="G9" i="186"/>
  <c r="F9" i="186"/>
  <c r="E9" i="186"/>
  <c r="J8" i="186"/>
  <c r="H8" i="186"/>
  <c r="G27" i="179"/>
  <c r="E27" i="179"/>
  <c r="E15" i="179"/>
  <c r="G15" i="179"/>
  <c r="G23" i="185"/>
  <c r="L26" i="185"/>
  <c r="L27" i="185"/>
  <c r="L25" i="185"/>
  <c r="L24" i="185"/>
  <c r="L21" i="185"/>
  <c r="L20" i="185"/>
  <c r="L19" i="185"/>
  <c r="L18" i="185"/>
  <c r="L17" i="185"/>
  <c r="L16" i="185"/>
  <c r="L15" i="185"/>
  <c r="L14" i="185"/>
  <c r="L13" i="185"/>
  <c r="L12" i="185"/>
  <c r="L11" i="185"/>
  <c r="I9" i="185"/>
  <c r="G9" i="185"/>
  <c r="F9" i="185"/>
  <c r="E9" i="185"/>
  <c r="J8" i="185"/>
  <c r="H8" i="185"/>
  <c r="E20" i="187" l="1"/>
  <c r="E29" i="187" s="1"/>
  <c r="G28" i="185"/>
  <c r="L28" i="185" s="1"/>
  <c r="G25" i="186"/>
  <c r="G20" i="187" s="1"/>
  <c r="L23" i="185"/>
  <c r="J7" i="184"/>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G29" i="187" l="1"/>
  <c r="L29" i="187" s="1"/>
  <c r="L25" i="186"/>
  <c r="L20" i="187"/>
  <c r="L19" i="184"/>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6" i="183"/>
  <c r="F33" i="183"/>
  <c r="F31" i="183"/>
  <c r="F29" i="183"/>
  <c r="F28" i="183"/>
  <c r="F26" i="183"/>
  <c r="F24" i="183"/>
  <c r="F22" i="183"/>
  <c r="F21"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F37" i="183" s="1"/>
  <c r="E36" i="183"/>
  <c r="E35" i="183"/>
  <c r="F35" i="183" s="1"/>
  <c r="E34" i="183"/>
  <c r="F34" i="183" s="1"/>
  <c r="E33" i="183"/>
  <c r="E32" i="183"/>
  <c r="F32" i="183" s="1"/>
  <c r="E31" i="183"/>
  <c r="E30" i="183"/>
  <c r="F30" i="183" s="1"/>
  <c r="E29" i="183"/>
  <c r="E28" i="183"/>
  <c r="E27" i="183"/>
  <c r="F27" i="183" s="1"/>
  <c r="E26" i="183"/>
  <c r="E25" i="183"/>
  <c r="F25" i="183" s="1"/>
  <c r="E24" i="183"/>
  <c r="E23" i="183"/>
  <c r="F23" i="183" s="1"/>
  <c r="E22" i="183"/>
  <c r="E21" i="183"/>
  <c r="E20" i="183"/>
  <c r="F20" i="183" s="1"/>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7"/>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6"/>
  <c r="B2" i="187"/>
  <c r="B2" i="185"/>
  <c r="B1" i="187"/>
  <c r="B1" i="185"/>
  <c r="B1"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D14" i="4" s="1"/>
  <c r="B2570" i="106" s="1"/>
  <c r="D2570"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2" i="127"/>
  <c r="B63" i="127"/>
  <c r="G26" i="108"/>
  <c r="E27" i="108"/>
  <c r="G27" i="108"/>
  <c r="F36" i="108"/>
  <c r="G28"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F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L22" i="37"/>
  <c r="D24" i="37"/>
  <c r="B4270" i="106" s="1"/>
  <c r="D4270" i="106" s="1"/>
  <c r="H28" i="118" l="1"/>
  <c r="F72" i="34"/>
  <c r="G14" i="4"/>
  <c r="B2609" i="106" s="1"/>
  <c r="D2609" i="106" s="1"/>
  <c r="D22" i="37"/>
  <c r="B7074" i="106"/>
  <c r="D7074" i="106" s="1"/>
  <c r="F36" i="34"/>
  <c r="B7828" i="106" s="1"/>
  <c r="D7828" i="106" s="1"/>
  <c r="F56" i="34"/>
  <c r="B7832" i="106" s="1"/>
  <c r="D7832" i="106" s="1"/>
  <c r="B2805" i="106"/>
  <c r="D2805" i="106" s="1"/>
  <c r="H15" i="184"/>
  <c r="F50" i="34"/>
  <c r="B7047" i="106"/>
  <c r="D7047" i="106" s="1"/>
  <c r="F69" i="34"/>
  <c r="F42" i="34"/>
  <c r="J129" i="29"/>
  <c r="B7038" i="106" s="1"/>
  <c r="D7038" i="106" s="1"/>
  <c r="B2836" i="106"/>
  <c r="D2836" i="106" s="1"/>
  <c r="F70" i="34"/>
  <c r="F52" i="34"/>
  <c r="B7831" i="106" s="1"/>
  <c r="D7831" i="106" s="1"/>
  <c r="C342" i="29"/>
  <c r="B7216" i="106" s="1"/>
  <c r="D7216" i="106" s="1"/>
  <c r="G39" i="108"/>
  <c r="H76" i="4"/>
  <c r="B3298" i="106" s="1"/>
  <c r="D3298" i="106" s="1"/>
  <c r="H342" i="29"/>
  <c r="B7221" i="106" s="1"/>
  <c r="D7221" i="106" s="1"/>
  <c r="I210" i="29"/>
  <c r="B7071" i="106" s="1"/>
  <c r="D7071" i="106" s="1"/>
  <c r="C129" i="29"/>
  <c r="B1225" i="106" s="1"/>
  <c r="D1225" i="106" s="1"/>
  <c r="H365" i="29"/>
  <c r="B7242" i="106" s="1"/>
  <c r="D7242" i="106" s="1"/>
  <c r="D69" i="36"/>
  <c r="C352" i="29"/>
  <c r="B3621" i="106" s="1"/>
  <c r="D3621" i="106" s="1"/>
  <c r="I129" i="29"/>
  <c r="B7037" i="106" s="1"/>
  <c r="D7037" i="106" s="1"/>
  <c r="F34" i="34"/>
  <c r="B7826" i="106" s="1"/>
  <c r="D7826" i="106" s="1"/>
  <c r="D68" i="36"/>
  <c r="B7189" i="106"/>
  <c r="D7189" i="106" s="1"/>
  <c r="E64" i="184"/>
  <c r="N64" i="184" s="1"/>
  <c r="D31" i="108"/>
  <c r="E16" i="184"/>
  <c r="H16" i="184" s="1"/>
  <c r="H12" i="184"/>
  <c r="B7180" i="106"/>
  <c r="D7180" i="106" s="1"/>
  <c r="E63" i="184"/>
  <c r="N63" i="184" s="1"/>
  <c r="F77" i="4"/>
  <c r="B3255" i="106" s="1"/>
  <c r="D3255" i="106" s="1"/>
  <c r="G33" i="108"/>
  <c r="E17" i="184"/>
  <c r="H17" i="184" s="1"/>
  <c r="B7126" i="106"/>
  <c r="D7126" i="106" s="1"/>
  <c r="E57" i="184"/>
  <c r="B7171" i="106"/>
  <c r="D7171" i="106" s="1"/>
  <c r="E62" i="184"/>
  <c r="N62" i="184" s="1"/>
  <c r="B7198" i="106"/>
  <c r="D7198" i="106" s="1"/>
  <c r="E65" i="184"/>
  <c r="N65" i="184" s="1"/>
  <c r="G30" i="108"/>
  <c r="B7153" i="106"/>
  <c r="D7153" i="106" s="1"/>
  <c r="E60" i="184"/>
  <c r="N60" i="184" s="1"/>
  <c r="B7162" i="106"/>
  <c r="D7162" i="106" s="1"/>
  <c r="E61" i="184"/>
  <c r="N61" i="184" s="1"/>
  <c r="H33" i="118"/>
  <c r="F71" i="34"/>
  <c r="B7705" i="106"/>
  <c r="D7705" i="106" s="1"/>
  <c r="E67" i="184"/>
  <c r="N67" i="184" s="1"/>
  <c r="J210" i="29"/>
  <c r="B7072" i="106" s="1"/>
  <c r="D7072" i="106"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151" i="29" l="1"/>
  <c r="B7052" i="106" s="1"/>
  <c r="D7052" i="106" s="1"/>
  <c r="C151" i="29"/>
  <c r="B1226" i="106" s="1"/>
  <c r="D1226" i="106" s="1"/>
  <c r="E19" i="184"/>
  <c r="H77" i="4"/>
  <c r="B3299" i="106" s="1"/>
  <c r="D3299" i="106" s="1"/>
  <c r="I7" i="4"/>
  <c r="B4444" i="106" s="1"/>
  <c r="D4444" i="106" s="1"/>
  <c r="B1381" i="106"/>
  <c r="D1381" i="106" s="1"/>
  <c r="F66" i="34"/>
  <c r="B1328" i="106"/>
  <c r="D1328" i="106" s="1"/>
  <c r="C367" i="29"/>
  <c r="B3622" i="106" s="1"/>
  <c r="D3622" i="106" s="1"/>
  <c r="F41" i="108"/>
  <c r="G43" i="108" s="1"/>
  <c r="B1266" i="106"/>
  <c r="D1266" i="106" s="1"/>
  <c r="B5770" i="106"/>
  <c r="D5770" i="106" s="1"/>
  <c r="K77" i="4"/>
  <c r="B3587" i="106" s="1"/>
  <c r="D3587" i="106" s="1"/>
  <c r="B5527" i="106"/>
  <c r="D5527" i="106" s="1"/>
  <c r="N23" i="3"/>
  <c r="B284" i="106" s="1"/>
  <c r="D284" i="106" s="1"/>
  <c r="K365" i="29"/>
  <c r="B7243" i="106" s="1"/>
  <c r="D7243" i="106" s="1"/>
  <c r="K342" i="29"/>
  <c r="F13" i="34" s="1"/>
  <c r="B7215" i="106"/>
  <c r="D7215" i="106" s="1"/>
  <c r="B6216" i="106"/>
  <c r="D6216" i="106" s="1"/>
  <c r="D44" i="36"/>
  <c r="L114" i="29"/>
  <c r="H19" i="184"/>
  <c r="L20" i="184" s="1"/>
  <c r="N57" i="184"/>
  <c r="N68" i="184" s="1"/>
  <c r="E68" i="184"/>
  <c r="E367" i="29"/>
  <c r="B3636" i="106" s="1"/>
  <c r="D3636" i="106" s="1"/>
  <c r="B3635" i="106"/>
  <c r="D3635" i="106" s="1"/>
  <c r="B7220" i="106"/>
  <c r="D7220" i="106" s="1"/>
  <c r="F75" i="34"/>
  <c r="B7886" i="106" s="1"/>
  <c r="D7886" i="106" s="1"/>
  <c r="B7222" i="106"/>
  <c r="D7222" i="106" s="1"/>
  <c r="F76" i="34"/>
  <c r="B7887" i="106" s="1"/>
  <c r="D7887" i="106" s="1"/>
  <c r="B7235" i="106"/>
  <c r="D7235" i="106" s="1"/>
  <c r="L16" i="11"/>
  <c r="B2061" i="106" s="1"/>
  <c r="D2061" i="106" s="1"/>
  <c r="J16" i="4"/>
  <c r="B6226" i="106" s="1"/>
  <c r="D6226"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B3574" i="106" s="1"/>
  <c r="D3574" i="106" s="1"/>
  <c r="B1145" i="106"/>
  <c r="D1145" i="106" s="1"/>
  <c r="B7224" i="106"/>
  <c r="D7224" i="106" s="1"/>
  <c r="K367" i="29"/>
  <c r="F24" i="37"/>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10" i="4" l="1"/>
  <c r="B6225" i="106" s="1"/>
  <c r="D6225" i="106" s="1"/>
  <c r="J20" i="4"/>
  <c r="J19" i="4"/>
  <c r="B6229" i="106" s="1"/>
  <c r="D6229" i="106" s="1"/>
  <c r="F8" i="4"/>
  <c r="F10" i="4" s="1"/>
  <c r="B4125" i="106" s="1"/>
  <c r="D4125" i="106" s="1"/>
  <c r="F77" i="34"/>
  <c r="B7834" i="106" s="1"/>
  <c r="D7834"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8" i="146"/>
  <c r="K20" i="4"/>
  <c r="K78" i="4" s="1"/>
  <c r="K19" i="4"/>
  <c r="B4144" i="106" s="1"/>
  <c r="D4144"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D78" i="4" l="1"/>
  <c r="F8" i="146"/>
  <c r="B3576" i="106"/>
  <c r="D3576"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0" i="146" l="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<sst xmlns="http://schemas.openxmlformats.org/spreadsheetml/2006/main" count="5460" uniqueCount="2202">
  <si>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</si>
  <si>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</si>
  <si>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</si>
  <si>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</si>
  <si>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</si>
  <si>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</si>
  <si>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</si>
  <si>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</si>
  <si>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</si>
  <si>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</si>
  <si>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</si>
  <si>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</si>
  <si>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</si>
  <si>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</si>
  <si>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</si>
  <si>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</si>
  <si>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</si>
  <si>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</si>
  <si>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</si>
  <si>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</si>
  <si>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</si>
  <si>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</si>
  <si>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</si>
  <si>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</si>
  <si>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</si>
  <si>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</si>
  <si>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</si>
  <si>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</si>
  <si>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</si>
  <si>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</si>
  <si>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</si>
  <si>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</si>
  <si>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</si>
  <si>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</si>
  <si>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</si>
  <si>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</si>
  <si>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</si>
  <si>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</si>
  <si>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</si>
  <si>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</si>
  <si>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</si>
  <si>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</si>
  <si>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</si>
  <si>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</si>
  <si>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</si>
  <si>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</si>
  <si>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</si>
  <si>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</si>
  <si>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</si>
  <si>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</si>
  <si>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</si>
  <si>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</si>
  <si>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</si>
  <si>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</si>
  <si>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</si>
  <si>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</si>
  <si>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</si>
  <si>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</si>
  <si>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</si>
  <si>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</si>
  <si>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</si>
  <si>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</si>
  <si>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</si>
  <si>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</si>
  <si>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</si>
  <si>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</si>
  <si>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</si>
  <si>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</si>
  <si>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</si>
  <si>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</si>
  <si>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</si>
  <si>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</si>
  <si>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</si>
  <si>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</si>
  <si>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</si>
  <si>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</si>
  <si>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</si>
  <si>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</si>
  <si>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</si>
  <si>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</si>
  <si>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</si>
  <si>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</si>
  <si>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</si>
  <si>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</si>
  <si>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</si>
  <si>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</si>
  <si>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</si>
  <si>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</si>
  <si>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</si>
  <si>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</si>
  <si>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</si>
  <si>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</si>
  <si>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</si>
  <si>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</si>
  <si>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</si>
  <si>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</si>
  <si>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</si>
  <si>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</si>
  <si>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</si>
  <si>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</si>
  <si>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</si>
  <si>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</si>
  <si>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</si>
  <si>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</si>
  <si>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</si>
  <si>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</si>
  <si>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</si>
  <si>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</si>
  <si>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</si>
  <si>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</si>
  <si>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</si>
  <si>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</si>
  <si>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</si>
  <si>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</si>
  <si>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</si>
  <si>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</si>
  <si>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</si>
  <si>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</si>
  <si>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</si>
  <si>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</si>
  <si>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</si>
  <si>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</si>
  <si>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</si>
  <si>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</si>
  <si>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</si>
  <si>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</si>
  <si>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</si>
  <si>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</si>
  <si>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</si>
  <si>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</si>
  <si>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</si>
  <si>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</si>
  <si>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</si>
  <si>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</si>
  <si>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</si>
  <si>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</si>
  <si>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</si>
  <si>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</si>
  <si>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</si>
  <si>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</si>
  <si>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</si>
  <si>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</si>
  <si>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</si>
  <si>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</si>
  <si>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</si>
  <si>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</si>
  <si>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</si>
  <si>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</si>
  <si>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</si>
  <si>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</si>
  <si>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</si>
  <si>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</si>
  <si>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</si>
  <si>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</si>
  <si>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</si>
  <si>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</si>
  <si>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</si>
  <si>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</si>
  <si>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</si>
  <si>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</si>
  <si>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</si>
  <si>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</si>
  <si>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</si>
  <si>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</si>
  <si>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</si>
  <si>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</si>
  <si>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</si>
  <si>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</si>
  <si>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</si>
  <si>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</si>
  <si>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</si>
  <si>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</si>
  <si>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</si>
  <si>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</si>
  <si>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</si>
  <si>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</si>
  <si>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</si>
  <si>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</si>
  <si>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</si>
  <si>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</si>
  <si>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</si>
  <si>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</si>
  <si>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</si>
  <si>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</si>
  <si>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</si>
  <si>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</si>
  <si>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</si>
  <si>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</si>
  <si>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</si>
  <si>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</si>
  <si>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</si>
  <si>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</si>
  <si>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</si>
  <si>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</si>
  <si>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</si>
  <si>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</si>
  <si>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</si>
  <si>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</si>
  <si>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</si>
  <si>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</si>
  <si>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</si>
  <si>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</si>
  <si>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</si>
  <si>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</si>
  <si>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</si>
  <si>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</si>
  <si>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</si>
  <si>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</si>
  <si>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</si>
  <si>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</si>
  <si>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</si>
  <si>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</si>
  <si>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</si>
  <si>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</si>
  <si>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</si>
  <si>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</si>
  <si>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</si>
  <si>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</si>
  <si>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</si>
  <si>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</si>
  <si>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</si>
  <si>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</si>
  <si>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</si>
  <si>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</si>
  <si>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</si>
  <si>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</si>
  <si>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</si>
  <si>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</si>
  <si>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</si>
  <si>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</si>
  <si>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</si>
  <si>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</si>
  <si>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</si>
  <si>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</si>
  <si>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</si>
  <si>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</si>
  <si>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</si>
  <si>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</si>
  <si>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</si>
  <si>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</si>
  <si>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</si>
  <si>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</si>
  <si>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</si>
  <si>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</si>
  <si>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</si>
  <si>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</si>
  <si>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</si>
  <si>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</si>
  <si>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</si>
  <si>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</si>
  <si>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</si>
  <si>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</si>
  <si>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</si>
  <si>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</si>
  <si>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</si>
  <si>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</si>
  <si>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</si>
  <si>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</si>
  <si>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</si>
  <si>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</si>
  <si>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</si>
  <si>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</si>
  <si>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</si>
  <si>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</si>
  <si>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</si>
  <si>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</si>
  <si>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</si>
  <si>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</si>
  <si>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</si>
  <si>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</si>
  <si>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</si>
  <si>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</si>
  <si>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</si>
  <si>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</si>
  <si>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</si>
  <si>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</si>
  <si>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</si>
  <si>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</si>
  <si>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</si>
  <si>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</si>
  <si>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</si>
  <si>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</si>
  <si>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</si>
  <si>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</si>
  <si>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</si>
  <si>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</si>
  <si>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</si>
  <si>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</si>
  <si>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</si>
  <si>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</si>
  <si>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</si>
  <si>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</si>
  <si>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</si>
  <si>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</si>
  <si>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</si>
  <si>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</si>
  <si>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</si>
  <si>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</si>
  <si>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</si>
  <si>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</si>
  <si>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</si>
  <si>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</si>
  <si>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</si>
  <si>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</si>
  <si>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</si>
  <si>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</si>
  <si>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</si>
  <si>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</si>
  <si>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</si>
  <si>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</si>
  <si>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</si>
  <si>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</si>
  <si>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</si>
  <si>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</si>
  <si>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</si>
  <si>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</si>
  <si>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</si>
  <si>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</si>
  <si>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</si>
  <si>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</si>
  <si>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</si>
  <si>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</si>
  <si>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</si>
  <si>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</si>
  <si>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</si>
  <si>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</si>
  <si>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</si>
  <si>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</si>
  <si>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</si>
  <si>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</si>
  <si>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</si>
  <si>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</si>
  <si>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</si>
  <si>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</si>
  <si>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</si>
  <si>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</si>
  <si>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</si>
  <si>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</si>
  <si>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</si>
  <si>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</si>
  <si>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</si>
  <si>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</si>
  <si>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</si>
  <si>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</si>
  <si>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</si>
  <si>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</si>
  <si>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</si>
  <si>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</si>
  <si>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</si>
  <si>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</si>
  <si>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</si>
  <si>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</si>
  <si>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</si>
  <si>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</si>
  <si>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</si>
  <si>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</si>
  <si>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</si>
  <si>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</si>
  <si>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</si>
  <si>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</si>
  <si>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</si>
  <si>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</si>
  <si>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</si>
  <si>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</si>
  <si>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</si>
  <si>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</si>
  <si>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</si>
  <si>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</si>
  <si>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</si>
  <si>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</si>
  <si>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</si>
  <si>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</si>
  <si>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</si>
  <si>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</si>
  <si>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</si>
  <si>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</si>
  <si>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</si>
  <si>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</si>
  <si>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</si>
  <si>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</si>
  <si>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</si>
  <si>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</si>
  <si>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</si>
  <si>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</si>
  <si>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</si>
  <si>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</si>
  <si>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</si>
  <si>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</si>
  <si>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</si>
  <si>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</si>
  <si>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</si>
  <si>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</si>
  <si>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</si>
  <si>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</si>
  <si>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</si>
  <si>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</si>
  <si>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</si>
  <si>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</si>
  <si>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</si>
  <si>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</si>
  <si>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</si>
  <si>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</si>
  <si>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</si>
  <si>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</si>
  <si>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</si>
  <si>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</si>
  <si>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</si>
  <si>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</si>
  <si>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</si>
  <si>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</si>
  <si>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</si>
  <si>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</si>
  <si>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</si>
  <si>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</si>
  <si>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</si>
  <si>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</si>
  <si>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</si>
  <si>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</si>
  <si>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</si>
  <si>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</si>
  <si>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</si>
  <si>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</si>
  <si>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</si>
  <si>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</si>
  <si>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</si>
  <si>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</si>
  <si>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</si>
  <si>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</si>
  <si>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</si>
  <si>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</si>
  <si>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</si>
  <si>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</si>
  <si>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</si>
  <si>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</si>
  <si>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</si>
  <si>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</si>
  <si>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</si>
  <si>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</si>
  <si>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</si>
  <si>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</si>
  <si>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</si>
  <si>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</si>
  <si>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</si>
  <si>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</si>
  <si>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</si>
  <si>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</si>
  <si>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</si>
  <si>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</si>
  <si>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</si>
  <si>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</si>
  <si>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</si>
  <si>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</si>
  <si>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</si>
  <si>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</si>
  <si>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</si>
  <si>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</si>
  <si>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</si>
  <si>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</si>
  <si>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</si>
  <si>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</si>
  <si>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</si>
  <si>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</si>
  <si>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</si>
  <si>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</si>
  <si>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</si>
  <si>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</si>
  <si>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</si>
  <si>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</si>
  <si>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</si>
  <si>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</si>
  <si>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</si>
  <si>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</si>
  <si>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</si>
  <si>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</si>
  <si>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</si>
  <si>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</si>
  <si>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</si>
  <si>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</si>
  <si>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</si>
  <si>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</si>
  <si>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</si>
  <si>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</si>
  <si>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</si>
  <si>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</si>
  <si>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</si>
  <si>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</si>
  <si>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</si>
  <si>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</si>
  <si>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</si>
  <si>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</si>
  <si>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</si>
  <si>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</si>
  <si>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</si>
  <si>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</si>
  <si>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</si>
  <si>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</si>
  <si>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</si>
  <si>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</si>
  <si>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</si>
  <si>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</si>
  <si>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</si>
  <si>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</si>
  <si>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</si>
  <si>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</si>
  <si>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</si>
  <si>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</si>
  <si>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</si>
  <si>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</si>
  <si>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</si>
  <si>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</si>
  <si>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</si>
  <si>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</si>
  <si>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</si>
  <si>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</si>
  <si>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</si>
  <si>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</si>
  <si>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</si>
  <si>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</si>
  <si>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</si>
  <si>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</si>
  <si>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</si>
  <si>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</si>
  <si>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</si>
  <si>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</si>
  <si>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</si>
  <si>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</si>
  <si>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</si>
  <si>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</si>
  <si>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</si>
  <si>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</si>
  <si>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</si>
  <si>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</si>
  <si>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</si>
  <si>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</si>
  <si>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</si>
  <si>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</si>
  <si>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</si>
  <si>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</si>
  <si>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</si>
  <si>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</si>
  <si>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</si>
  <si>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</si>
  <si>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</si>
  <si>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</si>
  <si>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</si>
  <si>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</si>
  <si>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</si>
  <si>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</si>
  <si>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</si>
  <si>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</si>
  <si>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</si>
  <si>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</si>
  <si>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</si>
  <si>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</si>
  <si>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</si>
  <si>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</si>
  <si>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</si>
  <si>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</si>
  <si>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</si>
  <si>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</si>
  <si>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</si>
  <si>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</si>
  <si>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</si>
  <si>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</si>
  <si>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</si>
  <si>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</si>
  <si>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</si>
  <si>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</si>
  <si>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</si>
  <si>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</si>
  <si>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</si>
  <si>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</si>
  <si>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</si>
  <si>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</si>
  <si>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</si>
  <si>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</si>
  <si>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</si>
  <si>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</si>
  <si>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</si>
  <si>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</si>
  <si>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</si>
  <si>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</si>
  <si>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</si>
  <si>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</si>
  <si>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</si>
  <si>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</si>
  <si>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</si>
  <si>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</si>
  <si>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</si>
  <si>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</si>
  <si>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</si>
  <si>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</si>
  <si>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</si>
  <si>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</si>
  <si>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</si>
  <si>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</si>
  <si>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</si>
  <si>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</si>
  <si>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</si>
  <si>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</si>
  <si>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</si>
  <si>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</si>
  <si>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</si>
  <si>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</si>
  <si>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</si>
  <si>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</si>
  <si>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</si>
  <si>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</si>
  <si>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</si>
  <si>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</si>
  <si>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</si>
  <si>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</si>
  <si>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</si>
  <si>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</si>
  <si>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</si>
  <si>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</si>
  <si>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</si>
  <si>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</si>
  <si>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</si>
  <si>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</si>
  <si>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</si>
  <si>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</si>
  <si>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</si>
  <si>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</si>
  <si>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</si>
  <si>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</si>
  <si>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</si>
  <si>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</si>
  <si>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</si>
  <si>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</si>
  <si>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</si>
  <si>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</si>
  <si>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</si>
  <si>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</si>
  <si>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</si>
  <si>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</si>
  <si>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</si>
  <si>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</si>
  <si>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</si>
  <si>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</si>
  <si>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</si>
  <si>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</si>
  <si>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</si>
  <si>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</si>
  <si>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</si>
  <si>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</si>
  <si>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</si>
  <si>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</si>
  <si>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</si>
  <si>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</si>
  <si>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</si>
  <si>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</si>
  <si>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</si>
  <si>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</si>
  <si>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</si>
  <si>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</si>
  <si>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</si>
  <si>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</si>
  <si>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</si>
  <si>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</si>
  <si>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</si>
  <si>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</si>
  <si>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</si>
  <si>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</si>
  <si>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</si>
  <si>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</si>
  <si>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</si>
  <si>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</si>
  <si>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</si>
  <si>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</si>
  <si>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</si>
  <si>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</si>
  <si>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</si>
  <si>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</si>
  <si>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</si>
  <si>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</si>
  <si>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</si>
  <si>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</si>
  <si>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</si>
  <si>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</si>
  <si>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</si>
  <si>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</si>
  <si>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</si>
  <si>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</si>
  <si>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</si>
  <si>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</si>
  <si>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</si>
  <si>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</si>
  <si>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</si>
  <si>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</si>
  <si>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</si>
  <si>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</si>
  <si>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</si>
  <si>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</si>
  <si>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</si>
  <si>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</si>
  <si>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</si>
  <si>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</si>
  <si>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</si>
  <si>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</si>
  <si>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</si>
  <si>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</si>
  <si>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</si>
  <si>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</si>
  <si>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</si>
  <si>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</si>
  <si>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</si>
  <si>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</si>
  <si>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</si>
  <si>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</si>
  <si>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</si>
  <si>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</si>
  <si>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</si>
  <si>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</si>
  <si>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</si>
  <si>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</si>
  <si>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</si>
  <si>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</si>
  <si>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</si>
  <si>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</si>
  <si>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</si>
  <si>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</si>
  <si>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</si>
  <si>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</si>
  <si>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</si>
  <si>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</si>
  <si>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</si>
  <si>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</si>
  <si>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</si>
  <si>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</si>
  <si>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</si>
  <si>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</si>
  <si>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</si>
  <si>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</si>
  <si>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</si>
  <si>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</si>
  <si>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</si>
  <si>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</si>
  <si>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</si>
  <si>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</si>
  <si>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</si>
  <si>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</si>
  <si>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</si>
  <si>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</si>
  <si>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</si>
  <si>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</si>
  <si>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</si>
  <si>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</si>
  <si>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</si>
  <si>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</si>
  <si>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</si>
  <si>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</si>
  <si>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</si>
  <si>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</si>
  <si>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</si>
  <si>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</si>
  <si>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</si>
  <si>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</si>
  <si>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</si>
  <si>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</si>
  <si>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</si>
  <si>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</si>
  <si>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</si>
  <si>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</si>
  <si>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</si>
  <si>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</si>
  <si>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</si>
  <si>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</si>
  <si>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</si>
  <si>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</si>
  <si>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</si>
  <si>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</si>
  <si>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</si>
  <si>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</si>
  <si>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</si>
  <si>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</si>
  <si>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</si>
  <si>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</si>
  <si>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</si>
  <si>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</si>
  <si>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</si>
  <si>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</si>
  <si>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</si>
  <si>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</si>
  <si>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</si>
  <si>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</si>
  <si>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</si>
  <si>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</si>
  <si>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</si>
  <si>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</si>
  <si>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</si>
  <si>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</si>
  <si>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</si>
  <si>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</si>
  <si>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</si>
  <si>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</si>
  <si>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</si>
  <si>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</si>
  <si>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</si>
  <si>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</si>
  <si>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</si>
  <si>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</si>
  <si>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</si>
  <si>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</si>
  <si>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</si>
  <si>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</si>
  <si>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</si>
  <si>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</si>
  <si>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</si>
  <si>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</si>
  <si>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</si>
  <si>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</si>
  <si>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</si>
  <si>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</si>
  <si>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</si>
  <si>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</si>
  <si>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</si>
  <si>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</si>
  <si>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</si>
  <si>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</si>
  <si>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</si>
  <si>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</si>
  <si>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</si>
  <si>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</si>
  <si>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</si>
  <si>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</si>
  <si>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</si>
  <si>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</si>
  <si>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</si>
  <si>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</si>
  <si>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</si>
  <si>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</si>
  <si>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</si>
  <si>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</si>
  <si>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</si>
  <si>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</si>
  <si>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</si>
  <si>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</si>
  <si>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</si>
  <si>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</si>
  <si>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</si>
  <si>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</si>
  <si>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</si>
  <si>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</si>
  <si>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</si>
  <si>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</si>
  <si>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</si>
  <si>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</si>
  <si>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</si>
  <si>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</si>
  <si>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</si>
  <si>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</si>
  <si>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</si>
  <si>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</si>
  <si>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</si>
  <si>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</si>
  <si>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</si>
  <si>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</si>
  <si>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</si>
  <si>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</si>
  <si>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</si>
  <si>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</si>
  <si>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</si>
  <si>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</si>
  <si>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</si>
  <si>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</si>
  <si>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</si>
  <si>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</si>
  <si>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</si>
  <si>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</si>
  <si>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</si>
  <si>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</si>
  <si>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</si>
  <si>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</si>
  <si>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</si>
  <si>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</si>
  <si>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</si>
  <si>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</si>
  <si>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</si>
  <si>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</si>
  <si>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</si>
  <si>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</si>
  <si>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</si>
  <si>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</si>
  <si>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</si>
  <si>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</si>
  <si>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</si>
  <si>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</si>
  <si>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</si>
  <si>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</si>
  <si>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</si>
  <si>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</si>
  <si>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</si>
  <si>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</si>
  <si>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</si>
  <si>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</si>
  <si>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</si>
  <si>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</si>
  <si>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</si>
  <si>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</si>
  <si>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</si>
  <si>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</si>
  <si>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</si>
  <si>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</si>
  <si>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</si>
  <si>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</si>
  <si>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</si>
  <si>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</si>
  <si>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</si>
  <si>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</si>
  <si>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</si>
  <si>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</si>
  <si>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</si>
  <si>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</si>
  <si>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</si>
  <si>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</si>
  <si>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</si>
  <si>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</si>
  <si>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</si>
  <si>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</si>
  <si>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</si>
  <si>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</si>
  <si>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</si>
  <si>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</si>
  <si>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</si>
  <si>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</si>
  <si>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</si>
  <si>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</si>
  <si>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</si>
  <si>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</si>
  <si>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</si>
  <si>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</si>
  <si>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</si>
  <si>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</si>
  <si>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</si>
  <si>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</si>
  <si>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</si>
  <si>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</si>
  <si>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</si>
  <si>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</si>
  <si>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</si>
  <si>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</si>
  <si>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</si>
  <si>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</si>
  <si>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</si>
  <si>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</si>
  <si>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</si>
  <si>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</si>
  <si>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</si>
  <si>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</si>
  <si>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</si>
  <si>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</si>
  <si>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</si>
  <si>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</si>
  <si>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</si>
  <si>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</si>
  <si>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</si>
  <si>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</si>
  <si>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</si>
  <si>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</si>
  <si>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</si>
  <si>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</si>
  <si>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</si>
  <si>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</si>
  <si>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</si>
  <si>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</si>
  <si>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</si>
  <si>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</si>
  <si>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</si>
  <si>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</si>
  <si>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</si>
  <si>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</si>
  <si>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</si>
  <si>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</si>
  <si>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</si>
  <si>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</si>
  <si>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</si>
  <si>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</si>
  <si>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</si>
  <si>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</si>
  <si>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</si>
  <si>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</si>
  <si>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</si>
  <si>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</si>
  <si>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</si>
  <si>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</si>
  <si>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</si>
  <si>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</si>
  <si>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</si>
  <si>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</si>
  <si>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</si>
  <si>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</si>
  <si>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</si>
  <si>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</si>
  <si>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</si>
  <si>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</si>
  <si>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</si>
  <si>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</si>
  <si>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</si>
  <si>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</si>
  <si>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</si>
  <si>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</si>
  <si>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</si>
  <si>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</si>
  <si>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</si>
  <si>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</si>
  <si>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</si>
  <si>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</si>
  <si>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</si>
  <si>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</si>
  <si>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</si>
  <si>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</si>
  <si>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</si>
  <si>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</si>
  <si>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</si>
  <si>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</si>
  <si>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</si>
  <si>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</si>
  <si>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</si>
  <si>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</si>
  <si>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</si>
  <si>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</si>
  <si>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</si>
  <si>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</si>
  <si>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</si>
  <si>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</si>
  <si>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</si>
  <si>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</si>
  <si>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</si>
  <si>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</si>
  <si>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</si>
  <si>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</si>
  <si>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</si>
  <si>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</si>
  <si>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</si>
  <si>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</si>
  <si>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</si>
  <si>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</si>
  <si>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</si>
  <si>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</si>
  <si>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</si>
  <si>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</si>
  <si>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</si>
  <si>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</si>
  <si>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</si>
  <si>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</si>
  <si>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</si>
  <si>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</si>
  <si>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</si>
  <si>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</si>
  <si>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</si>
  <si>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</si>
  <si>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</si>
  <si>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</si>
  <si>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</si>
  <si>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</si>
  <si>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</si>
  <si>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</si>
  <si>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</si>
  <si>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</si>
  <si>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</si>
  <si>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</si>
  <si>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</si>
  <si>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</si>
  <si>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</si>
  <si>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</si>
  <si>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</si>
  <si>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</si>
  <si>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</si>
  <si>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</si>
  <si>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</si>
  <si>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</si>
  <si>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</si>
  <si>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</si>
  <si>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</si>
  <si>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</si>
  <si>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</si>
  <si>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</si>
  <si>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</si>
  <si>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</si>
  <si>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</si>
  <si>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</si>
  <si>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</si>
  <si>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</si>
  <si>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</si>
  <si>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</si>
  <si>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</si>
  <si>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</si>
  <si>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</si>
  <si>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</si>
  <si>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</si>
  <si>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</si>
  <si>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</si>
  <si>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</si>
  <si>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</si>
  <si>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</si>
  <si>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</si>
  <si>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</si>
  <si>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</si>
  <si>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</si>
  <si>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</si>
  <si>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</si>
  <si>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</si>
  <si>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</si>
  <si>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</si>
  <si>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</si>
  <si>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</si>
  <si>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</si>
  <si>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</si>
  <si>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</si>
  <si>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</si>
  <si>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</si>
  <si>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</si>
  <si>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</si>
  <si>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</si>
  <si>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</si>
  <si>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</si>
  <si>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</si>
  <si>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</si>
  <si>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</si>
  <si>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</si>
  <si>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</si>
  <si>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</si>
  <si>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</si>
  <si>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</si>
  <si>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</si>
  <si>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</si>
  <si>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</si>
  <si>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</si>
  <si>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</si>
  <si>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</si>
  <si>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</si>
  <si>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</si>
  <si>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</si>
  <si>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</si>
  <si>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</si>
  <si>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</si>
  <si>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</si>
  <si>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</si>
  <si>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</si>
  <si>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</si>
  <si>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</si>
  <si>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</si>
  <si>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</si>
  <si>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</si>
  <si>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</si>
  <si>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</si>
  <si>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</si>
  <si>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</si>
  <si>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</si>
  <si>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</si>
  <si>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</si>
  <si>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</si>
  <si>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</si>
  <si>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</si>
  <si>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</si>
  <si>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</si>
  <si>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</si>
  <si>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</si>
  <si>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</si>
  <si>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</si>
  <si>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</si>
  <si>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</si>
  <si>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</si>
  <si>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</si>
  <si>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</si>
  <si>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</si>
  <si>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</si>
  <si>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</si>
  <si>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</si>
  <si>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</si>
  <si>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</si>
  <si>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</si>
  <si>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</si>
  <si>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</si>
  <si>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</si>
  <si>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</si>
  <si>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</si>
  <si>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</si>
  <si>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</si>
  <si>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</si>
  <si>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</si>
  <si>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</si>
  <si>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</si>
  <si>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</si>
  <si>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</si>
  <si>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</si>
  <si>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</si>
  <si>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</si>
  <si>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</si>
  <si>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</si>
  <si>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</si>
  <si>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</si>
  <si>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</si>
  <si>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</si>
  <si>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</si>
  <si>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</si>
  <si>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</si>
  <si>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</si>
  <si>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</si>
  <si>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</si>
  <si>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</si>
  <si>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</si>
  <si>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</si>
  <si>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</si>
  <si>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</si>
  <si>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</si>
  <si>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</si>
  <si>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</si>
  <si>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</si>
  <si>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</si>
  <si>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</si>
  <si>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</si>
  <si>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</si>
  <si>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</si>
  <si>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</si>
  <si>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</si>
  <si>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</si>
  <si>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</si>
  <si>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</si>
  <si>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</si>
  <si>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</si>
  <si>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</si>
  <si>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</si>
  <si>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</si>
  <si>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</si>
  <si>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</si>
  <si>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</si>
  <si>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</si>
  <si>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</si>
  <si>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</si>
  <si>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</si>
  <si>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</si>
  <si>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</si>
  <si>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</si>
  <si>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</si>
  <si>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</si>
  <si>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</si>
  <si>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</si>
  <si>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</si>
  <si>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</si>
  <si>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</si>
  <si>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</si>
  <si>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</si>
  <si>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</si>
  <si>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</si>
  <si>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</si>
  <si>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</si>
  <si>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</si>
  <si>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</si>
  <si>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</si>
  <si>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</si>
  <si>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</si>
  <si>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</si>
  <si>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</si>
  <si>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</si>
  <si>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</si>
  <si>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</si>
  <si>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</si>
  <si>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</si>
  <si>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</si>
  <si>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</si>
  <si>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</si>
  <si>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</si>
  <si>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</si>
  <si>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</si>
  <si>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</si>
  <si>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</si>
  <si>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</si>
  <si>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</si>
  <si>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</si>
  <si>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</si>
  <si>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</si>
  <si>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</si>
  <si>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</si>
  <si>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</si>
  <si>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</si>
  <si>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</si>
  <si>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</si>
  <si>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</si>
  <si>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</si>
  <si>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</si>
  <si>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</si>
  <si>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</si>
  <si>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</si>
  <si>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</si>
  <si>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</si>
  <si>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</si>
  <si>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</si>
  <si>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</si>
  <si>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</si>
  <si>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</si>
  <si>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</si>
  <si>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</si>
  <si>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</si>
  <si>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</si>
  <si>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</si>
  <si>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</si>
  <si>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</si>
  <si>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</si>
  <si>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</si>
  <si>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</si>
  <si>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</si>
  <si>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</si>
  <si>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</si>
  <si>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</si>
  <si>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</si>
  <si>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</si>
  <si>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</si>
  <si>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</si>
  <si>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</si>
  <si>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</si>
  <si>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</si>
  <si>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</si>
  <si>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</si>
  <si>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</si>
  <si>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</si>
  <si>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</si>
  <si>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</si>
  <si>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</si>
  <si>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</si>
  <si>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</si>
  <si>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</si>
  <si>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</si>
  <si>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</si>
  <si>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</si>
  <si>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</si>
  <si>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</si>
  <si>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</si>
  <si>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</si>
  <si>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</si>
  <si>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</si>
  <si>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</si>
  <si>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</si>
  <si>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</si>
  <si>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</si>
  <si>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</si>
  <si>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</si>
  <si>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</si>
  <si>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</si>
  <si>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</si>
  <si>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</si>
  <si>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</si>
  <si>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</si>
  <si>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</si>
  <si>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</si>
  <si>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</si>
  <si>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</si>
  <si>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</si>
  <si>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</si>
  <si>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</si>
  <si>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</si>
  <si>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</si>
  <si>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</si>
  <si>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</si>
  <si>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</si>
  <si>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</si>
  <si>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</si>
  <si>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</si>
  <si>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</si>
  <si>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</si>
  <si>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</si>
  <si>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</si>
  <si>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</si>
  <si>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</si>
  <si>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</si>
  <si>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</si>
  <si>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</si>
  <si>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</si>
  <si>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</si>
  <si>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</si>
  <si>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</si>
  <si>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</si>
  <si>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</si>
  <si>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</si>
  <si>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</si>
  <si>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</si>
  <si>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</si>
  <si>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</si>
  <si>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</si>
  <si>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</si>
  <si>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</si>
  <si>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</si>
  <si>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</si>
  <si>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</si>
  <si>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</si>
  <si>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</si>
  <si>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</si>
  <si>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</si>
  <si>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</si>
  <si>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</si>
  <si>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</si>
  <si>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</si>
  <si>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</si>
  <si>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</si>
  <si>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</si>
  <si>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</si>
  <si>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</si>
  <si>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</si>
  <si>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</si>
  <si>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</si>
  <si>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</si>
  <si>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</si>
  <si>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</si>
  <si>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</si>
  <si>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</si>
  <si>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</si>
  <si>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</si>
  <si>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</si>
  <si>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</si>
  <si>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</si>
  <si>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</si>
  <si>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</si>
  <si>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</si>
  <si>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</si>
  <si>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</si>
  <si>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</si>
  <si>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</si>
  <si>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</si>
  <si>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</si>
  <si>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</si>
  <si>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</si>
  <si>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</si>
  <si>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</si>
  <si>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</si>
  <si>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</si>
  <si>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</si>
  <si>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</si>
  <si>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</si>
  <si>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</si>
  <si>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</si>
  <si>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</si>
  <si>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</si>
  <si>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</si>
  <si>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</si>
  <si>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</si>
  <si>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</si>
  <si>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</si>
  <si>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</si>
  <si>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</si>
  <si>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</si>
  <si>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</si>
  <si>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</si>
  <si>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</si>
  <si>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</si>
  <si>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</si>
  <si>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</si>
  <si>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</si>
  <si>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</si>
  <si>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</si>
  <si>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</si>
  <si>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</si>
  <si>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</si>
  <si>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</si>
  <si>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</si>
  <si>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</si>
  <si>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</si>
  <si>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</si>
  <si>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</si>
  <si>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</si>
  <si>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</si>
  <si>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</si>
  <si>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</si>
  <si>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</si>
  <si>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</si>
  <si>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</si>
  <si>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</si>
  <si>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</si>
  <si>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</si>
  <si>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</si>
  <si>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</si>
  <si>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</si>
  <si>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</si>
  <si>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</si>
  <si>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</si>
  <si>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</si>
  <si>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</si>
  <si>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</si>
  <si>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</si>
  <si>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</si>
  <si>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</si>
  <si>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</si>
  <si>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</si>
  <si>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</si>
  <si>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</si>
  <si>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</si>
  <si>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</si>
  <si>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</si>
  <si>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</si>
  <si>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</si>
  <si>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</si>
  <si>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</si>
  <si>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</si>
  <si>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</si>
  <si>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</si>
  <si>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</si>
  <si>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</si>
  <si>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</si>
  <si>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</si>
  <si>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</si>
  <si>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</si>
  <si>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</si>
  <si>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</si>
  <si>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</si>
  <si>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</si>
  <si>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</si>
  <si>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</si>
  <si>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</si>
  <si>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</si>
  <si>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</si>
  <si>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</si>
  <si>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</si>
  <si>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</si>
  <si>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</si>
  <si>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</si>
  <si>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</si>
  <si>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</si>
  <si>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</si>
  <si>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</si>
  <si>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</si>
  <si>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</si>
  <si>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</si>
  <si>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</si>
  <si>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</si>
  <si>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</si>
  <si>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</si>
  <si>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</si>
  <si>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</si>
  <si>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</si>
  <si>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</si>
  <si>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</si>
  <si>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</si>
  <si>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</si>
  <si>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</si>
  <si>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</si>
  <si>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</si>
  <si>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</si>
  <si>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</si>
  <si>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</si>
  <si>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</si>
  <si>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</si>
  <si>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</si>
  <si>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</si>
  <si>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</si>
  <si>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</si>
  <si>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</si>
  <si>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</si>
  <si>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</si>
  <si>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</si>
  <si>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</si>
  <si>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</si>
  <si>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</si>
  <si>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</si>
  <si>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</si>
  <si>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</si>
  <si>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</si>
  <si>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</si>
  <si>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</si>
  <si>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</si>
  <si>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</si>
  <si>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</si>
  <si>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</si>
  <si>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</si>
  <si>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</si>
  <si>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</si>
  <si>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</si>
  <si>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</si>
  <si>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</si>
  <si>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</si>
  <si>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</si>
  <si>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</si>
  <si>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</si>
  <si>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</si>
  <si>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</si>
  <si>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</si>
  <si>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</si>
  <si>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</si>
  <si>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</si>
  <si>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</si>
  <si>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</si>
  <si>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</si>
  <si>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</si>
  <si>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</si>
  <si>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</si>
  <si>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</si>
  <si>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</si>
  <si>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</si>
  <si>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</si>
  <si>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</si>
  <si>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</si>
  <si>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</si>
  <si>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</si>
  <si>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</si>
  <si>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</si>
  <si>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</si>
  <si>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</si>
  <si>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</si>
  <si>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</si>
  <si>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</si>
  <si>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</si>
  <si>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</si>
  <si>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</si>
  <si>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</si>
  <si>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</si>
  <si>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</si>
  <si>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</si>
  <si>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</si>
  <si>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</si>
  <si>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</si>
  <si>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</si>
  <si>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</si>
  <si>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</si>
  <si>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</si>
  <si>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</si>
  <si>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</si>
  <si>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</si>
  <si>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</si>
  <si>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</si>
  <si>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</si>
  <si>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</si>
  <si>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</si>
  <si>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</si>
  <si>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</si>
  <si>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</si>
  <si>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</si>
  <si>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</si>
  <si>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</si>
  <si>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</si>
  <si>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</si>
  <si>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</si>
  <si>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</si>
  <si>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</si>
  <si>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</si>
  <si>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</si>
  <si>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</si>
  <si>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</si>
  <si>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</si>
  <si>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</si>
  <si>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</si>
  <si>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</si>
  <si>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</si>
  <si>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</si>
  <si>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</si>
  <si>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</si>
  <si>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</si>
  <si>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</si>
  <si>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</si>
  <si>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</si>
  <si>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</si>
  <si>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</si>
  <si>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</si>
  <si>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</si>
  <si>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</si>
  <si>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</si>
  <si>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</si>
  <si>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</si>
  <si>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</si>
  <si>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</si>
  <si>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</si>
  <si>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</si>
  <si>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</si>
  <si>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</si>
  <si>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</si>
  <si>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</si>
  <si>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</si>
  <si>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</si>
  <si>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</si>
  <si>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</si>
  <si>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</si>
  <si>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</si>
  <si>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</si>
  <si>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</si>
  <si>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</si>
  <si>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</si>
  <si>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</si>
  <si>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</si>
  <si>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</si>
  <si>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</si>
  <si>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</si>
  <si>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</si>
  <si>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</si>
  <si>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</si>
  <si>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</si>
  <si>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</si>
  <si>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</si>
  <si>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</si>
  <si>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</si>
  <si>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</si>
  <si>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</si>
  <si>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</si>
  <si>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</si>
  <si>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</si>
  <si>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</si>
  <si>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</si>
  <si>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</si>
  <si>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</si>
  <si>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</si>
  <si>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</si>
  <si>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</si>
  <si>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</si>
  <si>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</si>
  <si>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</si>
  <si>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</si>
  <si>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</si>
  <si>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</si>
  <si>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</si>
  <si>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</si>
  <si>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</si>
  <si>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</si>
  <si>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</si>
  <si>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</si>
  <si>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</si>
  <si>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</si>
  <si>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</si>
  <si>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</si>
  <si>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</si>
  <si>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</si>
  <si>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</si>
  <si>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</si>
  <si>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</si>
  <si>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</si>
  <si>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</si>
  <si>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</si>
  <si>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</si>
  <si>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</si>
  <si>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</si>
  <si>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</si>
  <si>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</si>
  <si>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</si>
  <si>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</si>
  <si>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</si>
  <si>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</si>
  <si>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</si>
  <si>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</si>
  <si>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</si>
  <si>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</si>
  <si>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</si>
  <si>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</si>
  <si>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</si>
  <si>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</si>
  <si>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</si>
  <si>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</si>
  <si>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</si>
  <si>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</si>
  <si>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</si>
  <si>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</si>
  <si>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</si>
  <si>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</si>
  <si>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</si>
  <si>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</si>
  <si>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</si>
  <si>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</si>
  <si>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</si>
  <si>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</si>
  <si>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</si>
  <si>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</si>
  <si>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</si>
  <si>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</si>
  <si>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</si>
  <si>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</si>
  <si>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</si>
  <si>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</si>
  <si>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</si>
  <si>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</si>
  <si>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</si>
  <si>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</si>
  <si>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</si>
  <si>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</si>
  <si>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</si>
  <si>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</si>
  <si>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</si>
  <si>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</si>
  <si>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</si>
  <si>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</si>
  <si>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</si>
  <si>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</si>
  <si>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</si>
  <si>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</si>
  <si>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</si>
  <si>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</si>
  <si>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</si>
  <si>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</si>
  <si>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</si>
  <si>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</si>
  <si>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</si>
  <si>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</si>
  <si>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</si>
  <si>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</si>
  <si>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</si>
  <si>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</si>
  <si>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</si>
  <si>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</si>
  <si>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</si>
  <si>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</si>
  <si>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</si>
  <si>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</si>
  <si>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</si>
  <si>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</si>
  <si>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</si>
  <si>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</si>
  <si>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</si>
  <si>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</si>
  <si>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</si>
  <si>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</si>
  <si>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</si>
  <si>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</si>
  <si>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</si>
  <si>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</si>
  <si>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</si>
  <si>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</si>
  <si>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</si>
  <si>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</si>
  <si>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</si>
  <si>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</si>
  <si>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</si>
  <si>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</si>
  <si>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</si>
  <si>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</si>
  <si>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</si>
  <si>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</si>
  <si>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</si>
  <si>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</si>
  <si>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</si>
  <si>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</si>
  <si>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</si>
  <si>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</si>
  <si>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</si>
  <si>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</si>
  <si>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</si>
  <si>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</si>
  <si>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</si>
  <si>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</si>
  <si>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</si>
  <si>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</si>
  <si>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</si>
  <si>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</si>
  <si>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</si>
  <si>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</si>
  <si>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</si>
  <si>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</si>
  <si>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</si>
  <si>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</si>
  <si>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</si>
  <si>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</si>
  <si>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</si>
  <si>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</si>
  <si>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</si>
  <si>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</si>
  <si>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</si>
  <si>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</si>
  <si>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</si>
  <si>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</si>
  <si>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</si>
  <si>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</si>
  <si>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</si>
  <si>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</si>
  <si>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</si>
  <si>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</si>
  <si>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</si>
  <si>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</si>
  <si>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</si>
  <si>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</si>
  <si>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</si>
  <si>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</si>
  <si>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</si>
  <si>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</si>
  <si>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</si>
  <si>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</si>
  <si>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</si>
  <si>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</si>
  <si>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</si>
  <si>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</si>
  <si>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</si>
  <si>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</si>
  <si>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</si>
  <si>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</si>
  <si>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</si>
  <si>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</si>
  <si>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</si>
  <si>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</si>
  <si>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</si>
  <si>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</si>
  <si>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</si>
  <si>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</si>
  <si>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</si>
  <si>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</si>
  <si>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</si>
  <si>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</si>
  <si>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</si>
  <si>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</si>
  <si>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</si>
  <si>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</si>
  <si>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</si>
  <si>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</si>
  <si>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</si>
  <si>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</si>
  <si>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</si>
  <si>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</si>
  <si>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</si>
  <si>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</si>
  <si>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</si>
  <si>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</si>
  <si>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</si>
  <si>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</si>
  <si>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</si>
  <si>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</si>
  <si>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</si>
  <si>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</si>
  <si>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</si>
  <si>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</si>
  <si>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</si>
  <si>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</si>
  <si>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</si>
  <si>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</si>
  <si>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</si>
  <si>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</si>
  <si>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</si>
  <si>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</si>
  <si>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</si>
  <si>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</si>
  <si>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</si>
  <si>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</si>
  <si>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</si>
  <si>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</si>
  <si>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</si>
  <si>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</si>
  <si>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</si>
  <si>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</si>
  <si>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</si>
  <si>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</si>
  <si>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</si>
  <si>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</si>
  <si>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</si>
  <si>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</si>
  <si>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</si>
  <si>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</si>
  <si>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</si>
  <si>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</si>
  <si>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</si>
  <si>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</si>
  <si>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</si>
  <si>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</si>
  <si>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</si>
  <si>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</si>
  <si>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</si>
  <si>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</si>
  <si>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</si>
  <si>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</si>
  <si>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</si>
  <si>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</si>
  <si>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</si>
  <si>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</si>
  <si>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</si>
  <si>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</si>
  <si>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</si>
  <si>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</si>
  <si>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</si>
  <si>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</si>
  <si>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</si>
  <si>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</si>
  <si>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</si>
  <si>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</si>
  <si>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</si>
  <si>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</si>
  <si>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</si>
  <si>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</si>
  <si>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</si>
  <si>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</si>
  <si>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</si>
  <si>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</si>
  <si>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</si>
  <si>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</si>
  <si>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</si>
  <si>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</si>
  <si>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</si>
  <si>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</si>
  <si>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</si>
  <si>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</si>
  <si>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</si>
  <si>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</si>
  <si>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</si>
  <si>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</si>
  <si>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</si>
  <si>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</si>
  <si>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</si>
  <si>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</si>
  <si>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</si>
  <si>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</si>
  <si>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</si>
  <si>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</si>
  <si>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</si>
  <si>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</si>
  <si>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</si>
  <si>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</si>
  <si>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</si>
  <si>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</si>
  <si>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</si>
  <si>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</si>
  <si>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</si>
  <si>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</si>
  <si>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</si>
  <si>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</si>
  <si>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</si>
  <si>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</si>
  <si>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</si>
  <si>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</si>
  <si>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</si>
  <si>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</si>
  <si>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</si>
  <si>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</si>
  <si>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</si>
  <si>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</si>
  <si>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</si>
  <si>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</si>
  <si>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</si>
  <si>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</si>
  <si>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</si>
  <si>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</si>
  <si>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</si>
  <si>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</si>
  <si>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</si>
  <si>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</si>
  <si>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</si>
  <si>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</si>
  <si>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</si>
  <si>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</si>
  <si>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</si>
  <si>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</si>
  <si>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</si>
  <si>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</si>
  <si>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</si>
  <si>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</si>
  <si>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</si>
  <si>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</si>
  <si>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</si>
  <si>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</si>
  <si>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</si>
  <si>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</si>
  <si>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</si>
  <si>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</si>
  <si>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</si>
  <si>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</si>
  <si>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</si>
  <si>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</si>
  <si>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</si>
  <si>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</si>
  <si>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</si>
  <si>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</si>
  <si>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</si>
  <si>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Champaign</t>
  </si>
  <si>
    <t>205 North Race Street</t>
  </si>
  <si>
    <t>Urbana</t>
  </si>
  <si>
    <t>BKD, LLP</t>
  </si>
  <si>
    <t>Heather Powell</t>
  </si>
  <si>
    <t>225 North Water Street, Suite 400</t>
  </si>
  <si>
    <t>Decatur</t>
  </si>
  <si>
    <t>IL</t>
  </si>
  <si>
    <t>217-429-2411</t>
  </si>
  <si>
    <t>217-429-6109</t>
  </si>
  <si>
    <t>066-003844</t>
  </si>
  <si>
    <t>Jennifer Ivory-Tatum</t>
  </si>
  <si>
    <t>217-384-3600</t>
  </si>
  <si>
    <t>217-337-4973</t>
  </si>
  <si>
    <t>U.S. Department of Agriculture</t>
  </si>
  <si>
    <t>Passed Through Illinois State Board of Education</t>
  </si>
  <si>
    <t>Food Distribution - ISBE Lanter Commodities</t>
  </si>
  <si>
    <t xml:space="preserve"> Food Distribution - DoD Fruits and Vegetables</t>
  </si>
  <si>
    <t>Federal School Lunch Program</t>
  </si>
  <si>
    <t xml:space="preserve">   Breakfast</t>
  </si>
  <si>
    <t xml:space="preserve">   Regular </t>
  </si>
  <si>
    <t>Total Child Nutrition Cluster</t>
  </si>
  <si>
    <t>Child and Adult Care Food Program</t>
  </si>
  <si>
    <t>Total U.S Department of Agriculture</t>
  </si>
  <si>
    <t>19-4210-00</t>
  </si>
  <si>
    <t>19-4220-00</t>
  </si>
  <si>
    <t>19-4226-00</t>
  </si>
  <si>
    <t>U.S. Department of Labor</t>
  </si>
  <si>
    <t>Passed Through Champaign Consortium WIA</t>
  </si>
  <si>
    <t xml:space="preserve">   WIA Youth Activities</t>
  </si>
  <si>
    <t xml:space="preserve"> Total U.S. Department of Labor and WIA Cluster </t>
  </si>
  <si>
    <t>U.S. Department of Education</t>
  </si>
  <si>
    <t>Passed Through Illinois College Community Board</t>
  </si>
  <si>
    <t xml:space="preserve">   Adult Education State Grant Program</t>
  </si>
  <si>
    <t xml:space="preserve">   Title I - Low Income</t>
  </si>
  <si>
    <t xml:space="preserve">   Title I - Low Income - Neglected Priv</t>
  </si>
  <si>
    <t>84.002ANA</t>
  </si>
  <si>
    <t>84.010A</t>
  </si>
  <si>
    <t>Passed Through Illinois State Board of Education (continued)</t>
  </si>
  <si>
    <t xml:space="preserve">   Title I - School Improvement and Accountability</t>
  </si>
  <si>
    <t xml:space="preserve">   Title I - Migrant Education</t>
  </si>
  <si>
    <t xml:space="preserve">    Special Education - Preschool Flow Through</t>
  </si>
  <si>
    <t xml:space="preserve">   Special Education - IDEA Flow Through</t>
  </si>
  <si>
    <t xml:space="preserve">   Special Education - IDEA Room and Board</t>
  </si>
  <si>
    <t>Total Special Education (IDEA) Cluster</t>
  </si>
  <si>
    <t xml:space="preserve">   Title III - Language Instruction Program</t>
  </si>
  <si>
    <t>84.011A</t>
  </si>
  <si>
    <t>84.173A</t>
  </si>
  <si>
    <t>84.027A</t>
  </si>
  <si>
    <t>84.365A</t>
  </si>
  <si>
    <t>19-4331-00</t>
  </si>
  <si>
    <t>19-4340-00</t>
  </si>
  <si>
    <t>Passed through Illinois State Board of Education (continued)</t>
  </si>
  <si>
    <t xml:space="preserve">   Title II - Teacher Quality</t>
  </si>
  <si>
    <t xml:space="preserve">   Title IV - 21st Century Comm Learning Centers</t>
  </si>
  <si>
    <t>Total U.S. Department of Education</t>
  </si>
  <si>
    <t>U.S. Department of Health and Human Services</t>
  </si>
  <si>
    <t>Passed Through Illinois Department of Healthcare and Family Services</t>
  </si>
  <si>
    <t xml:space="preserve">   Medicaid Cluster/Administrative Outreach</t>
  </si>
  <si>
    <t>Total Department of Health and Human Services</t>
  </si>
  <si>
    <t>Total Federal Awards</t>
  </si>
  <si>
    <t>84.367A</t>
  </si>
  <si>
    <t>84.287C</t>
  </si>
  <si>
    <t>19-4932-00</t>
  </si>
  <si>
    <t>19-4900-00</t>
  </si>
  <si>
    <t>N/A</t>
  </si>
  <si>
    <t>20-4210-00</t>
  </si>
  <si>
    <t>20-4220-00</t>
  </si>
  <si>
    <t xml:space="preserve">   Summer Food Service</t>
  </si>
  <si>
    <t>20-4225-00</t>
  </si>
  <si>
    <t>20-4226-00</t>
  </si>
  <si>
    <t>19-4537-00</t>
  </si>
  <si>
    <t>20-4537-00</t>
  </si>
  <si>
    <t>19-4800-00</t>
  </si>
  <si>
    <t>20-4800-00</t>
  </si>
  <si>
    <t>19-4305-00</t>
  </si>
  <si>
    <t>20-4305-00</t>
  </si>
  <si>
    <t>19-4300-00</t>
  </si>
  <si>
    <t>20-4300-00</t>
  </si>
  <si>
    <t>20-4331-00</t>
  </si>
  <si>
    <t>20-4340-00</t>
  </si>
  <si>
    <t>20-4909-00</t>
  </si>
  <si>
    <t>19-4909-00</t>
  </si>
  <si>
    <t>20-4600-00</t>
  </si>
  <si>
    <t>19-4600-00</t>
  </si>
  <si>
    <t>20-4620-00</t>
  </si>
  <si>
    <t>19-4620-00</t>
  </si>
  <si>
    <t>20-4625-00</t>
  </si>
  <si>
    <t>19-4625-00</t>
  </si>
  <si>
    <t>20-4400-00</t>
  </si>
  <si>
    <t>20-4932-00</t>
  </si>
  <si>
    <t>19-4421-00</t>
  </si>
  <si>
    <t>20-4421-00</t>
  </si>
  <si>
    <t xml:space="preserve">   Title IVA - Student Support &amp; Academic Enrichment</t>
  </si>
  <si>
    <t>84.424A</t>
  </si>
  <si>
    <t>20-4900-00</t>
  </si>
  <si>
    <t>84365A</t>
  </si>
  <si>
    <t>Totle III - Immigrant Education Program (EIEP)</t>
  </si>
  <si>
    <t>19-4905-00</t>
  </si>
  <si>
    <t>The accompanying Schedule of Expenditures of Federal Awards includes the federal grant activity of Urbana School District No. 116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</si>
  <si>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</si>
  <si>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r>
      <t xml:space="preserve">The following amounts were expended in the form of non-cash assistance by </t>
    </r>
    <r>
      <rPr>
        <b/>
        <sz val="9"/>
        <rFont val="Calibri"/>
        <family val="2"/>
        <scheme val="minor"/>
      </rPr>
      <t>Urbana School District No. 116</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</si>
  <si>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Adverse (unqualified regulatory basis)</t>
  </si>
  <si>
    <t>84.173A, 84.027A</t>
  </si>
  <si>
    <t>Special Education IDEA Cluster</t>
  </si>
  <si>
    <t>Title I- Low Income</t>
  </si>
  <si>
    <t>Series 2010-Debt Certificates</t>
  </si>
  <si>
    <t>Series 2010A-D Taxable General Obligation Bonds</t>
  </si>
  <si>
    <t>Series 2011 General Obligation Bonds</t>
  </si>
  <si>
    <t>Series 2012 General Obligation Bonds</t>
  </si>
  <si>
    <t>Series 2017  WA-B General Obligation Limited Tax Bonds</t>
  </si>
  <si>
    <t>Series 2019 General Obligation Limited Tax Bonds</t>
  </si>
  <si>
    <t>Funding</t>
  </si>
  <si>
    <t xml:space="preserve">Part A, Item I - Ten individuals had not filed economic interest statements by May 1.
Part C, Item 23 - Adverse opinion given as the financial statements are not presented in conformity with accounting principles generally accepted in the United States of America.  However, an opinion is issued on the basis of accounting described in the notes to this report.  </t>
  </si>
  <si>
    <t>84.425D</t>
  </si>
  <si>
    <t xml:space="preserve">Page 25, Line 10, Special Education other receipts of $278,313 consists of Medicaid funds. </t>
  </si>
  <si>
    <t xml:space="preserve">Page 25, Line 22, Special Education other disbursements  of $211,999 consists of administrative outreach expenses. </t>
  </si>
  <si>
    <t xml:space="preserve">Page 16, Line 83 Educational Fund, Payments to in-state govt units of $229,916 consists of loss on acquatic center ($220,516) and </t>
  </si>
  <si>
    <t>miscellaneous of ($9,400).</t>
  </si>
  <si>
    <t xml:space="preserve">Page 16, Line 73 Educational Fund, Other Support Services - Central of $197,929 consists of 21st Century Grant ($96,830) and Mentoring ($101,099). </t>
  </si>
  <si>
    <t xml:space="preserve">Page 15, Line 41 Educational Fund, Other Support Services - Pupils of $221,763 consists of HS Commencement ($9,144, U of I ($2,714), </t>
  </si>
  <si>
    <t>UHS Police ($208,970) and miscellaneous ($935).</t>
  </si>
  <si>
    <t xml:space="preserve">Page 14, Line 265 Educational Fund, Other Restricted Revenues from Federal Sources of $418,930 consists of School Improvement ($221,832),  </t>
  </si>
  <si>
    <t>WIA Youth Grant ($154,465) and miscellaneous ($42,633).</t>
  </si>
  <si>
    <t xml:space="preserve">Page 12, Line 171 Educational Fund, Other Restricted Revenues from State Sources of $325,999 consists of 18-3 Orphans Tuition ($261,692),  </t>
  </si>
  <si>
    <t>Health Community Grant ($39,180) and miscellaneous ($25,127).</t>
  </si>
  <si>
    <t xml:space="preserve">Page 11, Line 107 Capital Projects Fund, Other Revenue from Local Sources of $4,741 consists of miscellaneous income. </t>
  </si>
  <si>
    <t xml:space="preserve">Page 11, Line 107 O&amp;M Fund, Other Revenue from Local Sources of $5,362 consist of miscellaneous income. </t>
  </si>
  <si>
    <t>Page 11, Line 107, Education Fund, Other Revenue from Local Sources of $602,948 consists of City of Urbana ($120,117) , Print Shop</t>
  </si>
  <si>
    <t>Income ($24,883), Cunningham contract ($305,262),United Way ($73,000), and miscellaneous ($79,686.</t>
  </si>
  <si>
    <t xml:space="preserve">Page 11, Line 107 Tort Fund, Other Revenue from Local Sources of $99,620 consists of miscellaneous income. </t>
  </si>
  <si>
    <t xml:space="preserve">Page 12, Line 171 Transportation Fund, Other Restricted Revenues from State Sources of $3,260 consists of miscellaneous income. </t>
  </si>
  <si>
    <t>O&amp;M - Oper &amp; Maint - Purch Serv.</t>
  </si>
  <si>
    <t>Replic Services</t>
  </si>
  <si>
    <t>ED - Oper &amp; Maint - Purch Serv.</t>
  </si>
  <si>
    <t>ESS Clean, Inc.</t>
  </si>
  <si>
    <t>ED - Food Services - Purch Serv.</t>
  </si>
  <si>
    <t>Aramark</t>
  </si>
  <si>
    <t>Arbor Management, Inc.</t>
  </si>
  <si>
    <t>Transp - Pupli Transp. Serv. - Purch Serv.</t>
  </si>
  <si>
    <t>First Student</t>
  </si>
  <si>
    <t>ED - Other Support Serv. - Purch Serv.</t>
  </si>
  <si>
    <t>City of Urbana</t>
  </si>
  <si>
    <t xml:space="preserve">ED - </t>
  </si>
  <si>
    <t>Skyward, Inc.</t>
  </si>
  <si>
    <t>Transp - Pupil Transp. Serv - Purch Serv.</t>
  </si>
  <si>
    <t>C-U Mass Transit</t>
  </si>
  <si>
    <t>Cash to accrual conversion</t>
  </si>
  <si>
    <t xml:space="preserve">  Elementary and Secondary Education Relief Fund </t>
  </si>
  <si>
    <t>COVID-19 
20-4998-00</t>
  </si>
  <si>
    <r>
      <t xml:space="preserve">Of the federal expenditures presented in the schedule, </t>
    </r>
    <r>
      <rPr>
        <b/>
        <sz val="9"/>
        <rFont val="Calibri"/>
        <family val="2"/>
        <scheme val="minor"/>
      </rPr>
      <t xml:space="preserve">Urbana School District No. 116  </t>
    </r>
    <r>
      <rPr>
        <sz val="9"/>
        <rFont val="Calibri"/>
        <family val="2"/>
        <scheme val="minor"/>
      </rPr>
      <t>provided federal awards to subrecipients as follows:</t>
    </r>
  </si>
  <si>
    <t>Unmodified</t>
  </si>
  <si>
    <t xml:space="preserve"> Urbana SD 116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</si>
</sst>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4" fillId="0" borderId="0"/>
  </cellStyleXfs>
  <cellXfs count="2625">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59" fillId="0" borderId="126" xfId="3" applyNumberFormat="1" applyFont="1" applyBorder="1" applyAlignment="1">
      <alignment vertical="center"/>
    </xf>
    <xf numFmtId="0" fontId="6" fillId="0" borderId="0" xfId="19" applyFont="1" applyAlignment="1">
      <alignment horizontal="left" vertical="center"/>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7" xfId="20" applyFont="1" applyBorder="1" applyAlignment="1">
      <alignment horizontal="center" wrapText="1"/>
    </xf>
    <xf numFmtId="0" fontId="59" fillId="0" borderId="169" xfId="20" applyFont="1" applyBorder="1" applyAlignment="1">
      <alignment horizontal="center"/>
    </xf>
    <xf numFmtId="0" fontId="59" fillId="0" borderId="174"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8"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2" xfId="20" applyNumberFormat="1" applyFont="1" applyFill="1" applyBorder="1" applyAlignment="1">
      <alignment horizontal="center" wrapText="1"/>
    </xf>
    <xf numFmtId="38" fontId="67" fillId="16" borderId="170" xfId="20" applyNumberFormat="1" applyFont="1" applyFill="1" applyBorder="1" applyAlignment="1">
      <alignment horizontal="center"/>
    </xf>
    <xf numFmtId="38" fontId="67" fillId="16" borderId="175" xfId="20" applyNumberFormat="1" applyFont="1" applyFill="1" applyBorder="1" applyAlignment="1">
      <alignment horizontal="center"/>
    </xf>
    <xf numFmtId="38" fontId="67" fillId="16" borderId="179" xfId="20" applyNumberFormat="1" applyFont="1" applyFill="1" applyBorder="1" applyAlignment="1">
      <alignment horizontal="center"/>
    </xf>
    <xf numFmtId="0" fontId="59" fillId="0" borderId="181" xfId="3" applyNumberFormat="1" applyFont="1" applyBorder="1" applyAlignment="1">
      <alignment vertical="center"/>
    </xf>
    <xf numFmtId="0" fontId="59" fillId="0" borderId="164" xfId="3" applyNumberFormat="1" applyFont="1" applyBorder="1" applyAlignment="1">
      <alignment vertical="center"/>
    </xf>
    <xf numFmtId="0" fontId="59" fillId="0" borderId="165" xfId="3" applyNumberFormat="1" applyFont="1" applyBorder="1" applyAlignment="1">
      <alignment vertical="center"/>
    </xf>
    <xf numFmtId="0" fontId="59" fillId="0" borderId="182" xfId="20" applyFont="1" applyBorder="1"/>
    <xf numFmtId="0" fontId="59" fillId="0" borderId="0" xfId="20" applyFont="1" applyBorder="1"/>
    <xf numFmtId="0" fontId="59" fillId="0" borderId="183" xfId="20" applyFont="1" applyBorder="1"/>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38" fontId="67" fillId="16" borderId="167" xfId="20" applyNumberFormat="1" applyFont="1" applyFill="1" applyBorder="1" applyAlignment="1">
      <alignment horizontal="center"/>
    </xf>
    <xf numFmtId="0" fontId="102" fillId="0" borderId="182" xfId="20" applyFont="1" applyBorder="1"/>
    <xf numFmtId="0" fontId="102" fillId="0" borderId="0" xfId="20" applyFont="1" applyBorder="1"/>
    <xf numFmtId="0" fontId="102" fillId="0" borderId="183" xfId="20" applyFont="1" applyBorder="1"/>
    <xf numFmtId="0" fontId="102" fillId="0" borderId="187" xfId="20" applyFont="1" applyBorder="1"/>
    <xf numFmtId="0" fontId="102" fillId="0" borderId="188" xfId="20" applyFont="1" applyBorder="1"/>
    <xf numFmtId="0" fontId="102" fillId="0" borderId="189" xfId="20" applyFont="1" applyBorder="1"/>
    <xf numFmtId="0" fontId="67" fillId="0" borderId="164" xfId="3" applyNumberFormat="1" applyFont="1" applyBorder="1" applyAlignment="1">
      <alignment horizontal="center" vertical="center"/>
    </xf>
    <xf numFmtId="0" fontId="67" fillId="0" borderId="164" xfId="3" applyNumberFormat="1" applyFont="1" applyBorder="1" applyAlignment="1">
      <alignment horizontal="left" vertical="center"/>
    </xf>
    <xf numFmtId="0" fontId="59" fillId="0" borderId="182" xfId="3" applyNumberFormat="1" applyFont="1" applyBorder="1" applyAlignment="1">
      <alignment vertical="center"/>
    </xf>
    <xf numFmtId="0" fontId="59" fillId="0" borderId="183" xfId="3" applyNumberFormat="1" applyFont="1" applyBorder="1" applyAlignment="1">
      <alignment vertical="center"/>
    </xf>
    <xf numFmtId="0" fontId="67" fillId="22" borderId="190" xfId="3" applyNumberFormat="1" applyFont="1" applyFill="1" applyBorder="1" applyAlignment="1">
      <alignment horizontal="left"/>
    </xf>
    <xf numFmtId="0" fontId="59" fillId="22" borderId="191" xfId="3" applyNumberFormat="1" applyFont="1" applyFill="1" applyBorder="1" applyAlignment="1">
      <alignment vertical="center"/>
    </xf>
    <xf numFmtId="0" fontId="59" fillId="0" borderId="190" xfId="3" applyNumberFormat="1" applyFont="1" applyBorder="1" applyAlignment="1">
      <alignment vertical="center"/>
    </xf>
    <xf numFmtId="0" fontId="59" fillId="0" borderId="182" xfId="3" applyNumberFormat="1" applyFont="1" applyFill="1" applyBorder="1" applyAlignment="1">
      <alignment vertical="center"/>
    </xf>
    <xf numFmtId="164" fontId="67" fillId="0" borderId="192" xfId="3" applyNumberFormat="1" applyFont="1" applyBorder="1" applyAlignment="1">
      <alignment horizontal="right" vertical="center"/>
    </xf>
    <xf numFmtId="164" fontId="67" fillId="0" borderId="192" xfId="3" applyNumberFormat="1" applyFont="1" applyBorder="1" applyAlignment="1">
      <alignment vertical="top"/>
    </xf>
    <xf numFmtId="0" fontId="59" fillId="0" borderId="182"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2" xfId="3" applyNumberFormat="1" applyFont="1" applyBorder="1" applyAlignment="1">
      <alignment vertical="center"/>
    </xf>
    <xf numFmtId="0" fontId="59" fillId="0" borderId="182"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2"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59" fillId="0" borderId="189" xfId="3" applyNumberFormat="1" applyFont="1" applyBorder="1" applyAlignment="1">
      <alignment vertical="center"/>
    </xf>
    <xf numFmtId="0" fontId="101" fillId="0" borderId="182" xfId="20" applyFont="1" applyBorder="1"/>
    <xf numFmtId="0" fontId="90" fillId="0" borderId="0" xfId="20" applyFont="1" applyBorder="1"/>
    <xf numFmtId="0" fontId="101" fillId="0" borderId="0" xfId="20" applyFont="1" applyBorder="1" applyAlignment="1">
      <alignment wrapText="1"/>
    </xf>
    <xf numFmtId="0" fontId="101" fillId="0" borderId="183" xfId="20" applyFont="1" applyBorder="1" applyAlignment="1">
      <alignment wrapText="1"/>
    </xf>
    <xf numFmtId="0" fontId="53" fillId="0" borderId="0" xfId="20" applyFont="1"/>
    <xf numFmtId="0" fontId="144" fillId="0" borderId="182" xfId="20" applyFont="1" applyBorder="1" applyAlignment="1"/>
    <xf numFmtId="38" fontId="59" fillId="0" borderId="171" xfId="20" applyNumberFormat="1" applyFont="1" applyBorder="1" applyAlignment="1" applyProtection="1">
      <alignment horizontal="center"/>
      <protection locked="0"/>
    </xf>
    <xf numFmtId="38" fontId="59" fillId="0" borderId="169"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38" fontId="59" fillId="0" borderId="180" xfId="20" applyNumberFormat="1" applyFont="1" applyBorder="1" applyAlignment="1" applyProtection="1">
      <alignment horizontal="center"/>
      <protection locked="0"/>
    </xf>
    <xf numFmtId="38" fontId="59" fillId="0" borderId="178" xfId="20" applyNumberFormat="1" applyFont="1" applyBorder="1" applyAlignment="1" applyProtection="1">
      <alignment horizontal="center"/>
      <protection locked="0"/>
    </xf>
    <xf numFmtId="3" fontId="64" fillId="0" borderId="22" xfId="3" applyNumberFormat="1" applyFont="1" applyFill="1" applyBorder="1" applyAlignment="1" applyProtection="1">
      <alignment horizontal="center" shrinkToFit="1"/>
      <protection locked="0"/>
    </xf>
    <xf numFmtId="0" fontId="3"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 fontId="64" fillId="0" borderId="22" xfId="3" applyNumberFormat="1" applyFont="1" applyBorder="1" applyAlignment="1" applyProtection="1">
      <alignment horizontal="center" wrapText="1" shrinkToFit="1"/>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indent="1"/>
    </xf>
    <xf numFmtId="0" fontId="59" fillId="0" borderId="126" xfId="3" applyNumberFormat="1" applyFont="1" applyBorder="1" applyAlignment="1">
      <alignment horizontal="left" vertical="center"/>
    </xf>
    <xf numFmtId="0" fontId="59" fillId="22" borderId="182"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166" fontId="59" fillId="0" borderId="21" xfId="3" applyNumberFormat="1" applyFont="1" applyBorder="1" applyAlignment="1">
      <alignment horizontal="left" vertical="center" indent="1"/>
    </xf>
    <xf numFmtId="0" fontId="67" fillId="0" borderId="191"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59" fillId="0" borderId="173" xfId="20" applyFont="1" applyBorder="1" applyAlignment="1">
      <alignment wrapText="1"/>
    </xf>
    <xf numFmtId="0" fontId="59" fillId="0" borderId="174"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3" xfId="20" applyFont="1" applyBorder="1" applyAlignment="1">
      <alignment horizontal="center"/>
    </xf>
    <xf numFmtId="0" fontId="143" fillId="0" borderId="194" xfId="20" applyFont="1" applyBorder="1" applyAlignment="1">
      <alignment horizontal="center"/>
    </xf>
    <xf numFmtId="0" fontId="143" fillId="0" borderId="195" xfId="20" applyFont="1" applyBorder="1" applyAlignment="1">
      <alignment horizontal="center"/>
    </xf>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0" fontId="59" fillId="0" borderId="184" xfId="3" applyNumberFormat="1" applyFont="1" applyBorder="1" applyAlignment="1">
      <alignment horizontal="left" vertical="center"/>
    </xf>
    <xf numFmtId="166" fontId="59" fillId="0" borderId="185" xfId="3" applyNumberFormat="1" applyFont="1" applyBorder="1" applyAlignment="1">
      <alignment horizontal="left" vertical="center" indent="1"/>
    </xf>
    <xf numFmtId="0" fontId="59" fillId="26" borderId="186" xfId="20" applyFont="1" applyFill="1" applyBorder="1"/>
    <xf numFmtId="0" fontId="59" fillId="26" borderId="77" xfId="20" applyFont="1" applyFill="1" applyBorder="1"/>
    <xf numFmtId="0" fontId="67" fillId="0" borderId="164" xfId="20" applyFont="1" applyBorder="1" applyAlignment="1">
      <alignment horizontal="center" wrapText="1"/>
    </xf>
    <xf numFmtId="0" fontId="67" fillId="0" borderId="165" xfId="20" applyFont="1" applyBorder="1" applyAlignment="1">
      <alignment horizontal="center" wrapText="1"/>
    </xf>
    <xf numFmtId="0" fontId="103" fillId="0" borderId="166"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8" xfId="20" applyFont="1" applyBorder="1" applyAlignment="1"/>
    <xf numFmtId="0" fontId="59" fillId="0" borderId="169" xfId="20" applyFont="1" applyBorder="1" applyAlignment="1"/>
    <xf numFmtId="0" fontId="59" fillId="0" borderId="173" xfId="20" applyFont="1" applyBorder="1" applyAlignment="1"/>
    <xf numFmtId="0" fontId="59" fillId="0" borderId="174" xfId="20" applyFont="1" applyBorder="1" applyAlignment="1"/>
    <xf numFmtId="0" fontId="59" fillId="0" borderId="177" xfId="20" applyFont="1" applyBorder="1" applyAlignment="1"/>
    <xf numFmtId="0" fontId="59" fillId="0" borderId="178" xfId="20" applyFont="1" applyBorder="1" applyAlignment="1"/>
    <xf numFmtId="0" fontId="67" fillId="0" borderId="186" xfId="20" applyFont="1" applyBorder="1" applyAlignment="1"/>
    <xf numFmtId="0" fontId="67" fillId="0" borderId="77" xfId="20" applyFont="1" applyBorder="1" applyAlignment="1"/>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321252</xdr:colOff>
          <xdr:row>4</xdr:row>
          <xdr:rowOff>29441</xdr:rowOff>
        </xdr:from>
        <xdr:to>
          <xdr:col>1</xdr:col>
          <xdr:colOff>1092777</xdr:colOff>
          <xdr:row>8</xdr:row>
          <xdr:rowOff>68407</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20955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2">
        <f>+'AFR20'!E4</f>
        <v>44119</v>
      </c>
      <c r="C1" s="2042"/>
      <c r="D1" s="2043"/>
      <c r="I1" s="2121" t="s">
        <v>402</v>
      </c>
      <c r="J1" s="2122"/>
      <c r="K1" s="2122"/>
      <c r="L1" s="2122"/>
      <c r="M1" s="2122"/>
      <c r="N1" s="2122"/>
      <c r="O1" s="2122"/>
      <c r="P1" s="2122"/>
      <c r="Q1" s="2122"/>
      <c r="R1" s="2122"/>
      <c r="S1" s="2122"/>
    </row>
    <row r="2" spans="1:32" ht="12" customHeight="1" x14ac:dyDescent="0.2">
      <c r="A2" s="1831" t="str">
        <f>"Due to ISBE on "</f>
        <v xml:space="preserve">Due to ISBE on </v>
      </c>
      <c r="B2" s="2044">
        <f>+'AFR20'!F4</f>
        <v>44151</v>
      </c>
      <c r="C2" s="2044"/>
      <c r="D2" s="2045"/>
      <c r="I2" s="2123" t="s">
        <v>2003</v>
      </c>
      <c r="J2" s="2122"/>
      <c r="K2" s="2122"/>
      <c r="L2" s="2122"/>
      <c r="M2" s="2122"/>
      <c r="N2" s="2122"/>
      <c r="O2" s="2122"/>
      <c r="P2" s="2122"/>
      <c r="Q2" s="2122"/>
      <c r="R2" s="2122"/>
      <c r="S2" s="2122"/>
    </row>
    <row r="3" spans="1:32" ht="12" customHeight="1" x14ac:dyDescent="0.2">
      <c r="A3" s="1834" t="str">
        <f>"SD/JA"&amp;MID('AFR20'!E2,3,2)</f>
        <v>SD/JA20</v>
      </c>
      <c r="B3" s="151"/>
      <c r="C3" s="151"/>
      <c r="D3" s="152"/>
      <c r="I3" s="2123" t="s">
        <v>52</v>
      </c>
      <c r="J3" s="2122"/>
      <c r="K3" s="2122"/>
      <c r="L3" s="2122"/>
      <c r="M3" s="2122"/>
      <c r="N3" s="2122"/>
      <c r="O3" s="2122"/>
      <c r="P3" s="2122"/>
      <c r="Q3" s="2122"/>
      <c r="R3" s="2122"/>
      <c r="S3" s="2122"/>
    </row>
    <row r="4" spans="1:32" ht="12" customHeight="1" x14ac:dyDescent="0.2">
      <c r="A4" s="37"/>
      <c r="I4" s="2123" t="s">
        <v>521</v>
      </c>
      <c r="J4" s="2122"/>
      <c r="K4" s="2122"/>
      <c r="L4" s="2122"/>
      <c r="M4" s="2122"/>
      <c r="N4" s="2122"/>
      <c r="O4" s="2122"/>
      <c r="P4" s="2122"/>
      <c r="Q4" s="2122"/>
      <c r="R4" s="2122"/>
      <c r="S4" s="2122"/>
    </row>
    <row r="5" spans="1:32" ht="14.1" customHeight="1" x14ac:dyDescent="0.2">
      <c r="B5" s="101" t="s">
        <v>2048</v>
      </c>
      <c r="C5" s="26" t="s">
        <v>904</v>
      </c>
      <c r="D5" s="81"/>
      <c r="E5" s="81"/>
      <c r="H5" s="38"/>
      <c r="I5" s="2130" t="s">
        <v>675</v>
      </c>
      <c r="J5" s="2075"/>
      <c r="K5" s="2075"/>
      <c r="L5" s="2075"/>
      <c r="M5" s="2075"/>
      <c r="N5" s="2075"/>
      <c r="O5" s="2075"/>
      <c r="P5" s="2075"/>
      <c r="Q5" s="2075"/>
      <c r="R5" s="2075"/>
      <c r="S5" s="2075"/>
      <c r="AF5" s="1827"/>
    </row>
    <row r="6" spans="1:32" ht="14.1" customHeight="1" x14ac:dyDescent="0.2">
      <c r="B6" s="101"/>
      <c r="C6" s="26" t="s">
        <v>905</v>
      </c>
      <c r="D6" s="81"/>
      <c r="E6" s="81"/>
      <c r="I6" s="2129" t="s">
        <v>877</v>
      </c>
      <c r="J6" s="2075"/>
      <c r="K6" s="2075"/>
      <c r="L6" s="2075"/>
      <c r="M6" s="2075"/>
      <c r="N6" s="2075"/>
      <c r="O6" s="2075"/>
      <c r="P6" s="2075"/>
      <c r="Q6" s="2075"/>
      <c r="R6" s="2075"/>
      <c r="S6" s="2075"/>
    </row>
    <row r="7" spans="1:32" ht="12.2" customHeight="1" x14ac:dyDescent="0.2">
      <c r="I7" s="2124" t="str">
        <f>"June 30, "&amp;'AFR20'!E2</f>
        <v>June 30, 2020</v>
      </c>
      <c r="J7" s="2125"/>
      <c r="K7" s="2125"/>
      <c r="L7" s="2125"/>
      <c r="M7" s="2125"/>
      <c r="N7" s="2125"/>
      <c r="O7" s="2125"/>
      <c r="P7" s="2125"/>
      <c r="Q7" s="2125"/>
      <c r="R7" s="2125"/>
      <c r="S7" s="212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6" t="s">
        <v>669</v>
      </c>
      <c r="J9" s="2127"/>
      <c r="K9" s="2127"/>
      <c r="L9" s="2127"/>
      <c r="M9" s="2127"/>
      <c r="N9" s="2127"/>
      <c r="O9" s="2127"/>
      <c r="P9" s="2127"/>
      <c r="Q9" s="2127"/>
      <c r="R9" s="2127"/>
      <c r="S9" s="2128"/>
      <c r="T9" s="2071" t="s">
        <v>530</v>
      </c>
      <c r="U9" s="2072"/>
      <c r="V9" s="2072"/>
      <c r="W9" s="2072"/>
      <c r="X9" s="2072"/>
      <c r="Y9" s="2072"/>
      <c r="Z9" s="2072"/>
      <c r="AA9" s="2073"/>
    </row>
    <row r="10" spans="1:32" ht="13.5" customHeight="1" x14ac:dyDescent="0.2">
      <c r="A10" s="2080" t="s">
        <v>670</v>
      </c>
      <c r="B10" s="2081"/>
      <c r="C10" s="2081"/>
      <c r="D10" s="2081"/>
      <c r="E10" s="2081"/>
      <c r="F10" s="2081"/>
      <c r="G10" s="2081"/>
      <c r="H10" s="2082"/>
      <c r="I10" s="29"/>
      <c r="J10" s="30"/>
      <c r="K10" s="28"/>
      <c r="R10" s="30"/>
      <c r="S10" s="30"/>
      <c r="T10" s="2074"/>
      <c r="U10" s="2075"/>
      <c r="V10" s="2075"/>
      <c r="W10" s="2075"/>
      <c r="X10" s="2075"/>
      <c r="Y10" s="2075"/>
      <c r="Z10" s="2075"/>
      <c r="AA10" s="2076"/>
    </row>
    <row r="11" spans="1:32" ht="14.25" customHeight="1" x14ac:dyDescent="0.2">
      <c r="A11" s="2083" t="s">
        <v>949</v>
      </c>
      <c r="B11" s="2084"/>
      <c r="C11" s="2084"/>
      <c r="D11" s="2084"/>
      <c r="E11" s="2084"/>
      <c r="F11" s="2084"/>
      <c r="G11" s="2084"/>
      <c r="H11" s="2085"/>
      <c r="I11" s="27"/>
      <c r="J11" s="71"/>
      <c r="K11" s="27"/>
      <c r="O11" s="144"/>
      <c r="P11" s="97" t="s">
        <v>199</v>
      </c>
      <c r="Q11" s="30"/>
      <c r="R11" s="28"/>
      <c r="S11" s="27"/>
      <c r="T11" s="2077"/>
      <c r="U11" s="2078"/>
      <c r="V11" s="2078"/>
      <c r="W11" s="2078"/>
      <c r="X11" s="2078"/>
      <c r="Y11" s="2078"/>
      <c r="Z11" s="2078"/>
      <c r="AA11" s="2079"/>
    </row>
    <row r="12" spans="1:32" ht="13.5" customHeight="1" x14ac:dyDescent="0.2">
      <c r="A12" s="82" t="s">
        <v>919</v>
      </c>
      <c r="B12" s="73"/>
      <c r="C12" s="73"/>
      <c r="D12" s="73"/>
      <c r="E12" s="73"/>
      <c r="F12" s="73"/>
      <c r="G12" s="73"/>
      <c r="H12" s="50"/>
      <c r="I12" s="29"/>
      <c r="J12" s="30"/>
      <c r="K12" s="28"/>
      <c r="O12" s="145" t="s">
        <v>2048</v>
      </c>
      <c r="P12" s="97" t="s">
        <v>200</v>
      </c>
      <c r="Q12" s="71"/>
      <c r="R12" s="30"/>
      <c r="S12" s="30"/>
      <c r="T12" s="82" t="s">
        <v>263</v>
      </c>
      <c r="U12" s="48"/>
      <c r="V12" s="48"/>
      <c r="W12" s="48"/>
      <c r="X12" s="48"/>
      <c r="Y12" s="43"/>
      <c r="Z12" s="43"/>
      <c r="AA12" s="44"/>
    </row>
    <row r="13" spans="1:32" ht="13.5" customHeight="1" x14ac:dyDescent="0.2">
      <c r="A13" s="2091">
        <v>9010116022</v>
      </c>
      <c r="B13" s="2092"/>
      <c r="C13" s="2092"/>
      <c r="D13" s="2092"/>
      <c r="E13" s="2092"/>
      <c r="F13" s="2092"/>
      <c r="G13" s="2092"/>
      <c r="H13" s="2093"/>
      <c r="I13" s="31"/>
      <c r="J13" s="30"/>
      <c r="K13" s="28"/>
      <c r="L13" s="30"/>
      <c r="M13" s="30"/>
      <c r="N13" s="30"/>
      <c r="O13" s="30"/>
      <c r="P13" s="30"/>
      <c r="Q13" s="30"/>
      <c r="R13" s="30"/>
      <c r="S13" s="30"/>
      <c r="T13" s="2096" t="s">
        <v>2052</v>
      </c>
      <c r="U13" s="2097"/>
      <c r="V13" s="2097"/>
      <c r="W13" s="2097"/>
      <c r="X13" s="2097"/>
      <c r="Y13" s="2098"/>
      <c r="Z13" s="2098"/>
      <c r="AA13" s="2099"/>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89" t="s">
        <v>2049</v>
      </c>
      <c r="B15" s="2094"/>
      <c r="C15" s="2094"/>
      <c r="D15" s="2094"/>
      <c r="E15" s="2094"/>
      <c r="F15" s="2094"/>
      <c r="G15" s="2094"/>
      <c r="H15" s="2095"/>
      <c r="T15" s="2057" t="s">
        <v>2053</v>
      </c>
      <c r="U15" s="2058"/>
      <c r="V15" s="2058"/>
      <c r="W15" s="2058"/>
      <c r="X15" s="2058"/>
      <c r="Y15" s="2100"/>
      <c r="Z15" s="2100"/>
      <c r="AA15" s="210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9" t="s">
        <v>2201</v>
      </c>
      <c r="B17" s="2119"/>
      <c r="C17" s="2119"/>
      <c r="D17" s="2119"/>
      <c r="E17" s="2119"/>
      <c r="F17" s="2119"/>
      <c r="G17" s="2119"/>
      <c r="H17" s="2120"/>
      <c r="T17" s="2106" t="s">
        <v>2054</v>
      </c>
      <c r="U17" s="2107"/>
      <c r="V17" s="2107"/>
      <c r="W17" s="2107"/>
      <c r="X17" s="2107"/>
      <c r="Y17" s="2107"/>
      <c r="Z17" s="2107"/>
      <c r="AA17" s="2108"/>
    </row>
    <row r="18" spans="1:27" ht="13.5" customHeight="1" x14ac:dyDescent="0.2">
      <c r="A18" s="82" t="s">
        <v>527</v>
      </c>
      <c r="B18" s="73"/>
      <c r="C18" s="69"/>
      <c r="D18" s="73"/>
      <c r="E18" s="73"/>
      <c r="F18" s="73"/>
      <c r="G18" s="73"/>
      <c r="H18" s="53"/>
      <c r="I18" s="2116" t="s">
        <v>671</v>
      </c>
      <c r="J18" s="2117"/>
      <c r="K18" s="2117"/>
      <c r="L18" s="2117"/>
      <c r="M18" s="2117"/>
      <c r="N18" s="2117"/>
      <c r="O18" s="2117"/>
      <c r="P18" s="2117"/>
      <c r="Q18" s="2117"/>
      <c r="R18" s="2117"/>
      <c r="S18" s="2118"/>
      <c r="T18" s="82" t="s">
        <v>706</v>
      </c>
      <c r="U18" s="48"/>
      <c r="V18" s="69"/>
      <c r="W18" s="47"/>
      <c r="X18" s="82" t="s">
        <v>264</v>
      </c>
      <c r="Y18" s="78"/>
      <c r="Z18" s="154" t="s">
        <v>672</v>
      </c>
      <c r="AA18" s="44"/>
    </row>
    <row r="19" spans="1:27" ht="13.5" customHeight="1" x14ac:dyDescent="0.2">
      <c r="A19" s="2089" t="s">
        <v>2050</v>
      </c>
      <c r="B19" s="2090"/>
      <c r="C19" s="2090"/>
      <c r="D19" s="2090"/>
      <c r="E19" s="2090"/>
      <c r="F19" s="2090"/>
      <c r="G19" s="2090"/>
      <c r="H19" s="2088"/>
      <c r="I19" s="30"/>
      <c r="J19" s="96"/>
      <c r="K19" s="40"/>
      <c r="L19" s="38"/>
      <c r="M19" s="109" t="s">
        <v>312</v>
      </c>
      <c r="P19" s="27"/>
      <c r="Q19" s="27"/>
      <c r="R19" s="27"/>
      <c r="S19" s="31"/>
      <c r="T19" s="2089" t="s">
        <v>2055</v>
      </c>
      <c r="U19" s="2087"/>
      <c r="V19" s="2087"/>
      <c r="W19" s="2088"/>
      <c r="X19" s="2104" t="s">
        <v>2056</v>
      </c>
      <c r="Y19" s="2105"/>
      <c r="Z19" s="2102">
        <v>62523</v>
      </c>
      <c r="AA19" s="210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6" t="s">
        <v>2051</v>
      </c>
      <c r="B21" s="2087"/>
      <c r="C21" s="2087"/>
      <c r="D21" s="2087"/>
      <c r="E21" s="2087"/>
      <c r="F21" s="2087"/>
      <c r="G21" s="2087"/>
      <c r="H21" s="2088"/>
      <c r="I21" s="2112" t="s">
        <v>673</v>
      </c>
      <c r="J21" s="2075"/>
      <c r="K21" s="2075"/>
      <c r="L21" s="2075"/>
      <c r="M21" s="2075"/>
      <c r="N21" s="2075"/>
      <c r="O21" s="2075"/>
      <c r="P21" s="2075"/>
      <c r="Q21" s="2075"/>
      <c r="R21" s="2075"/>
      <c r="S21" s="2076"/>
      <c r="T21" s="2054" t="s">
        <v>2057</v>
      </c>
      <c r="U21" s="2055"/>
      <c r="V21" s="2055"/>
      <c r="W21" s="2055"/>
      <c r="X21" s="2068" t="s">
        <v>2058</v>
      </c>
      <c r="Y21" s="2069"/>
      <c r="Z21" s="2069"/>
      <c r="AA21" s="2070"/>
    </row>
    <row r="22" spans="1:27" ht="13.5" customHeight="1" x14ac:dyDescent="0.2">
      <c r="A22" s="84" t="s">
        <v>528</v>
      </c>
      <c r="B22" s="56"/>
      <c r="C22" s="56"/>
      <c r="D22" s="56"/>
      <c r="E22" s="56"/>
      <c r="F22" s="56"/>
      <c r="G22" s="56"/>
      <c r="H22" s="57"/>
      <c r="I22" s="2113" t="s">
        <v>1415</v>
      </c>
      <c r="J22" s="2114"/>
      <c r="K22" s="2114"/>
      <c r="L22" s="2114"/>
      <c r="M22" s="2114"/>
      <c r="N22" s="2114"/>
      <c r="O22" s="2114"/>
      <c r="P22" s="2114"/>
      <c r="Q22" s="2114"/>
      <c r="R22" s="2114"/>
      <c r="S22" s="2115"/>
      <c r="T22" s="82" t="s">
        <v>1502</v>
      </c>
      <c r="U22" s="48"/>
      <c r="V22" s="69"/>
      <c r="W22" s="48"/>
      <c r="X22" s="155" t="s">
        <v>1309</v>
      </c>
      <c r="Z22" s="43"/>
      <c r="AA22" s="44"/>
    </row>
    <row r="23" spans="1:27" ht="13.5" customHeight="1" x14ac:dyDescent="0.2">
      <c r="A23" s="2109"/>
      <c r="B23" s="2110"/>
      <c r="C23" s="2110"/>
      <c r="D23" s="2110"/>
      <c r="E23" s="2110"/>
      <c r="F23" s="2110"/>
      <c r="G23" s="2110"/>
      <c r="H23" s="2111"/>
      <c r="T23" s="2049" t="s">
        <v>2059</v>
      </c>
      <c r="U23" s="2050"/>
      <c r="V23" s="2050"/>
      <c r="W23" s="2050"/>
      <c r="X23" s="2065">
        <v>44530</v>
      </c>
      <c r="Y23" s="2066"/>
      <c r="Z23" s="2066"/>
      <c r="AA23" s="2067"/>
    </row>
    <row r="24" spans="1:27" ht="14.1" customHeight="1" x14ac:dyDescent="0.2">
      <c r="A24" s="85" t="s">
        <v>672</v>
      </c>
      <c r="B24" s="46"/>
      <c r="C24" s="46"/>
      <c r="D24" s="46"/>
      <c r="E24" s="46"/>
      <c r="F24" s="46"/>
      <c r="G24" s="46"/>
      <c r="H24" s="58"/>
      <c r="J24" s="2151" t="str">
        <f>IF(B5="x",IF(AUDITCHECK!D29="AFR form Incomplete.","",IF(AUDITCHECK!D29="Deficit reduction plan is required.","School District must complete a deficit reduction plan in the 2019-2020 Budget",)),"")</f>
        <v>School District must complete a deficit reduction plan in the 2019-2020 Budget</v>
      </c>
      <c r="K24" s="2151"/>
      <c r="L24" s="2151"/>
      <c r="M24" s="2151"/>
      <c r="N24" s="2151"/>
      <c r="O24" s="2151"/>
      <c r="P24" s="2151"/>
      <c r="Q24" s="2151"/>
      <c r="R24" s="2151"/>
      <c r="S24" s="2152"/>
      <c r="T24" s="102" t="s">
        <v>528</v>
      </c>
      <c r="U24" s="103"/>
      <c r="V24" s="103"/>
      <c r="W24" s="103"/>
      <c r="X24" s="104"/>
      <c r="Y24" s="104"/>
      <c r="Z24" s="104"/>
      <c r="AA24" s="105"/>
    </row>
    <row r="25" spans="1:27" ht="14.1" customHeight="1" x14ac:dyDescent="0.2">
      <c r="A25" s="2086">
        <v>61801</v>
      </c>
      <c r="B25" s="2087"/>
      <c r="C25" s="2087"/>
      <c r="D25" s="2087"/>
      <c r="E25" s="2087"/>
      <c r="F25" s="2087"/>
      <c r="G25" s="2087"/>
      <c r="H25" s="2088"/>
      <c r="I25" s="110"/>
      <c r="J25" s="2153"/>
      <c r="K25" s="2153"/>
      <c r="L25" s="2153"/>
      <c r="M25" s="2153"/>
      <c r="N25" s="2153"/>
      <c r="O25" s="2153"/>
      <c r="P25" s="2153"/>
      <c r="Q25" s="2153"/>
      <c r="R25" s="2153"/>
      <c r="S25" s="2154"/>
      <c r="T25" s="2046"/>
      <c r="U25" s="2047"/>
      <c r="V25" s="2047"/>
      <c r="W25" s="2047"/>
      <c r="X25" s="2047"/>
      <c r="Y25" s="2047"/>
      <c r="Z25" s="2047"/>
      <c r="AA25" s="204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44" t="s">
        <v>1497</v>
      </c>
      <c r="J27" s="2117"/>
      <c r="K27" s="2117"/>
      <c r="L27" s="2117"/>
      <c r="M27" s="2117"/>
      <c r="N27" s="2117"/>
      <c r="O27" s="2117"/>
      <c r="P27" s="2117"/>
      <c r="Q27" s="2117"/>
      <c r="R27" s="2117"/>
      <c r="S27" s="2118"/>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t="s">
        <v>2048</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t="s">
        <v>2048</v>
      </c>
      <c r="C30" s="121" t="s">
        <v>1156</v>
      </c>
      <c r="D30" s="28"/>
      <c r="E30" s="28"/>
      <c r="F30" s="136"/>
      <c r="G30" s="111"/>
      <c r="H30" s="111"/>
      <c r="I30" s="51"/>
      <c r="J30" s="144" t="s">
        <v>2048</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2048</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0"/>
      <c r="Q35" s="2087"/>
      <c r="R35" s="208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9" t="s">
        <v>2060</v>
      </c>
      <c r="B38" s="2119"/>
      <c r="C38" s="2119"/>
      <c r="D38" s="2119"/>
      <c r="E38" s="2119"/>
      <c r="F38" s="2087"/>
      <c r="G38" s="2087"/>
      <c r="H38" s="2088"/>
      <c r="I38" s="2138"/>
      <c r="J38" s="2058"/>
      <c r="K38" s="2058"/>
      <c r="L38" s="2058"/>
      <c r="M38" s="2058"/>
      <c r="N38" s="2058"/>
      <c r="O38" s="2058"/>
      <c r="P38" s="2059"/>
      <c r="Q38" s="2059"/>
      <c r="R38" s="2059"/>
      <c r="S38" s="2060"/>
      <c r="T38" s="2057"/>
      <c r="U38" s="2058"/>
      <c r="V38" s="2058"/>
      <c r="W38" s="2058"/>
      <c r="X38" s="2059"/>
      <c r="Y38" s="2059"/>
      <c r="Z38" s="2059"/>
      <c r="AA38" s="2060"/>
    </row>
    <row r="39" spans="1:27" ht="12" customHeight="1" x14ac:dyDescent="0.2">
      <c r="A39" s="2142" t="s">
        <v>528</v>
      </c>
      <c r="B39" s="2143"/>
      <c r="C39" s="69"/>
      <c r="D39" s="66"/>
      <c r="E39" s="66"/>
      <c r="F39" s="76"/>
      <c r="G39" s="66"/>
      <c r="H39" s="53"/>
      <c r="I39" s="2142" t="s">
        <v>528</v>
      </c>
      <c r="J39" s="2143"/>
      <c r="K39" s="2143"/>
      <c r="L39" s="2143"/>
      <c r="M39" s="2143"/>
      <c r="N39" s="64"/>
      <c r="O39" s="69"/>
      <c r="P39" s="69"/>
      <c r="Q39" s="75"/>
      <c r="R39" s="69"/>
      <c r="S39" s="53"/>
      <c r="T39" s="69" t="s">
        <v>528</v>
      </c>
      <c r="U39" s="48"/>
      <c r="V39" s="69"/>
      <c r="W39" s="47"/>
      <c r="X39" s="75"/>
      <c r="Y39" s="43"/>
      <c r="Z39" s="43"/>
      <c r="AA39" s="44"/>
    </row>
    <row r="40" spans="1:27" ht="13.5" customHeight="1" x14ac:dyDescent="0.2">
      <c r="A40" s="2145"/>
      <c r="B40" s="2146"/>
      <c r="C40" s="2147"/>
      <c r="D40" s="2147"/>
      <c r="E40" s="2147"/>
      <c r="F40" s="2148"/>
      <c r="G40" s="2148"/>
      <c r="H40" s="2149"/>
      <c r="I40" s="2061"/>
      <c r="J40" s="2063"/>
      <c r="K40" s="2063"/>
      <c r="L40" s="2063"/>
      <c r="M40" s="2063"/>
      <c r="N40" s="2063"/>
      <c r="O40" s="2063"/>
      <c r="P40" s="2063"/>
      <c r="Q40" s="2063"/>
      <c r="R40" s="2063"/>
      <c r="S40" s="2064"/>
      <c r="T40" s="2061"/>
      <c r="U40" s="2062"/>
      <c r="V40" s="2063"/>
      <c r="W40" s="2063"/>
      <c r="X40" s="2063"/>
      <c r="Y40" s="2063"/>
      <c r="Z40" s="2063"/>
      <c r="AA40" s="206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5" t="s">
        <v>2061</v>
      </c>
      <c r="B42" s="2136"/>
      <c r="C42" s="2137"/>
      <c r="D42" s="2150" t="s">
        <v>2062</v>
      </c>
      <c r="E42" s="2136"/>
      <c r="F42" s="2136"/>
      <c r="G42" s="2136"/>
      <c r="H42" s="2137"/>
      <c r="I42" s="2056"/>
      <c r="J42" s="2052"/>
      <c r="K42" s="2052"/>
      <c r="L42" s="2052"/>
      <c r="M42" s="2052"/>
      <c r="N42" s="2052"/>
      <c r="O42" s="2053"/>
      <c r="P42" s="2051"/>
      <c r="Q42" s="2052"/>
      <c r="R42" s="2052"/>
      <c r="S42" s="2053"/>
      <c r="T42" s="2056"/>
      <c r="U42" s="2052"/>
      <c r="V42" s="2052"/>
      <c r="W42" s="2053"/>
      <c r="X42" s="2051"/>
      <c r="Y42" s="2052"/>
      <c r="Z42" s="2052"/>
      <c r="AA42" s="205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9"/>
      <c r="B44" s="2140"/>
      <c r="C44" s="2140"/>
      <c r="D44" s="2140"/>
      <c r="E44" s="2140"/>
      <c r="F44" s="2140"/>
      <c r="G44" s="2140"/>
      <c r="H44" s="2141"/>
      <c r="I44" s="2131"/>
      <c r="J44" s="2133"/>
      <c r="K44" s="2133"/>
      <c r="L44" s="2133"/>
      <c r="M44" s="2133"/>
      <c r="N44" s="2133"/>
      <c r="O44" s="2133"/>
      <c r="P44" s="2133"/>
      <c r="Q44" s="2133"/>
      <c r="R44" s="2133"/>
      <c r="S44" s="2134"/>
      <c r="T44" s="2131"/>
      <c r="U44" s="2132"/>
      <c r="V44" s="2132"/>
      <c r="W44" s="2132"/>
      <c r="X44" s="2132"/>
      <c r="Y44" s="2132"/>
      <c r="Z44" s="2133"/>
      <c r="AA44" s="2134"/>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B1" colorId="8" zoomScale="110" zoomScaleNormal="110" workbookViewId="0">
      <selection activeCell="D24" sqref="D2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3"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4"/>
      <c r="B3" s="1294"/>
      <c r="C3" s="1295"/>
      <c r="D3" s="1296" t="s">
        <v>254</v>
      </c>
      <c r="E3" s="1295"/>
      <c r="F3" s="1296" t="s">
        <v>255</v>
      </c>
    </row>
    <row r="4" spans="1:8" ht="13.7" customHeight="1" x14ac:dyDescent="0.2">
      <c r="A4" s="579" t="s">
        <v>1147</v>
      </c>
      <c r="B4" s="1721">
        <f>'Revenues 9-14'!C5</f>
        <v>23733562</v>
      </c>
      <c r="C4" s="1722">
        <v>27016685</v>
      </c>
      <c r="D4" s="1723">
        <f>B4-C4</f>
        <v>-3283123</v>
      </c>
      <c r="E4" s="1722">
        <v>8301085</v>
      </c>
      <c r="F4" s="1723">
        <f>E4-C4</f>
        <v>-18715600</v>
      </c>
    </row>
    <row r="5" spans="1:8" ht="13.7" customHeight="1" x14ac:dyDescent="0.2">
      <c r="A5" s="579" t="s">
        <v>865</v>
      </c>
      <c r="B5" s="1724">
        <f>'Revenues 9-14'!D5</f>
        <v>3787585</v>
      </c>
      <c r="C5" s="1664">
        <v>4398033</v>
      </c>
      <c r="D5" s="1725">
        <f t="shared" ref="D5:D18" si="0">B5-C5</f>
        <v>-610448</v>
      </c>
      <c r="E5" s="1664">
        <v>1351319</v>
      </c>
      <c r="F5" s="1725">
        <f>E5-C5</f>
        <v>-3046714</v>
      </c>
    </row>
    <row r="6" spans="1:8" ht="13.7" customHeight="1" x14ac:dyDescent="0.2">
      <c r="A6" s="579" t="s">
        <v>408</v>
      </c>
      <c r="B6" s="1724">
        <f>'Revenues 9-14'!E5</f>
        <v>2349440</v>
      </c>
      <c r="C6" s="1664">
        <v>2616423</v>
      </c>
      <c r="D6" s="1725">
        <f t="shared" si="0"/>
        <v>-266983</v>
      </c>
      <c r="E6" s="1664">
        <v>803911</v>
      </c>
      <c r="F6" s="1725">
        <f t="shared" ref="F6:F18" si="1">E6-C6</f>
        <v>-1812512</v>
      </c>
    </row>
    <row r="7" spans="1:8" ht="13.7" customHeight="1" x14ac:dyDescent="0.2">
      <c r="A7" s="579" t="s">
        <v>154</v>
      </c>
      <c r="B7" s="1724">
        <f>'Revenues 9-14'!F5</f>
        <v>1309165</v>
      </c>
      <c r="C7" s="1664">
        <v>1319410</v>
      </c>
      <c r="D7" s="1725">
        <f t="shared" si="0"/>
        <v>-10245</v>
      </c>
      <c r="E7" s="1664">
        <v>405396</v>
      </c>
      <c r="F7" s="1725">
        <f t="shared" si="1"/>
        <v>-914014</v>
      </c>
    </row>
    <row r="8" spans="1:8" ht="13.7" customHeight="1" x14ac:dyDescent="0.2">
      <c r="A8" s="579" t="s">
        <v>1171</v>
      </c>
      <c r="B8" s="1724">
        <f>'Revenues 9-14'!G5</f>
        <v>1431554</v>
      </c>
      <c r="C8" s="1664">
        <v>699070</v>
      </c>
      <c r="D8" s="1725">
        <f t="shared" si="0"/>
        <v>732484</v>
      </c>
      <c r="E8" s="1664">
        <v>214797</v>
      </c>
      <c r="F8" s="1725">
        <f t="shared" si="1"/>
        <v>-484273</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895</v>
      </c>
      <c r="C10" s="1664">
        <v>679</v>
      </c>
      <c r="D10" s="1725">
        <f t="shared" si="0"/>
        <v>216</v>
      </c>
      <c r="E10" s="1664">
        <v>203</v>
      </c>
      <c r="F10" s="1725">
        <f t="shared" si="1"/>
        <v>-476</v>
      </c>
    </row>
    <row r="11" spans="1:8" x14ac:dyDescent="0.2">
      <c r="A11" s="579" t="s">
        <v>406</v>
      </c>
      <c r="B11" s="1724">
        <f>'Revenues 9-14'!J5</f>
        <v>701342</v>
      </c>
      <c r="C11" s="1664">
        <v>764905</v>
      </c>
      <c r="D11" s="1725">
        <f t="shared" si="0"/>
        <v>-63563</v>
      </c>
      <c r="E11" s="1664">
        <v>235023</v>
      </c>
      <c r="F11" s="1725">
        <f t="shared" si="1"/>
        <v>-529882</v>
      </c>
    </row>
    <row r="12" spans="1:8" ht="13.7" customHeight="1" x14ac:dyDescent="0.2">
      <c r="A12" s="579" t="s">
        <v>156</v>
      </c>
      <c r="B12" s="1724">
        <f>'Revenues 9-14'!K5</f>
        <v>332381</v>
      </c>
      <c r="C12" s="1664">
        <v>339354</v>
      </c>
      <c r="D12" s="1725">
        <f t="shared" si="0"/>
        <v>-6973</v>
      </c>
      <c r="E12" s="1664">
        <v>104268</v>
      </c>
      <c r="F12" s="1725">
        <f t="shared" si="1"/>
        <v>-235086</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736794</v>
      </c>
      <c r="C14" s="1664">
        <v>844993</v>
      </c>
      <c r="D14" s="1725">
        <f t="shared" si="0"/>
        <v>-108199</v>
      </c>
      <c r="E14" s="1664">
        <v>259626</v>
      </c>
      <c r="F14" s="1725">
        <f t="shared" si="1"/>
        <v>-585367</v>
      </c>
    </row>
    <row r="15" spans="1:8" ht="13.7" customHeight="1" x14ac:dyDescent="0.2">
      <c r="A15" s="579" t="s">
        <v>1150</v>
      </c>
      <c r="B15" s="1724">
        <f>SUM('Revenues 9-14'!D9:E9,'Revenues 9-14'!H9)</f>
        <v>0</v>
      </c>
      <c r="C15" s="1664"/>
      <c r="D15" s="1725">
        <f t="shared" si="0"/>
        <v>0</v>
      </c>
      <c r="E15" s="1664"/>
      <c r="F15" s="1725">
        <f t="shared" si="1"/>
        <v>0</v>
      </c>
    </row>
    <row r="16" spans="1:8" ht="13.7" customHeight="1" x14ac:dyDescent="0.2">
      <c r="A16" s="579" t="s">
        <v>1151</v>
      </c>
      <c r="B16" s="1724">
        <f>'Revenues 9-14'!G8</f>
        <v>0</v>
      </c>
      <c r="C16" s="1664">
        <v>814451</v>
      </c>
      <c r="D16" s="1725">
        <f t="shared" si="0"/>
        <v>-814451</v>
      </c>
      <c r="E16" s="1664">
        <v>250241</v>
      </c>
      <c r="F16" s="1725">
        <f t="shared" si="1"/>
        <v>-564210</v>
      </c>
    </row>
    <row r="17" spans="1:6" ht="13.7" customHeight="1" x14ac:dyDescent="0.2">
      <c r="A17" s="579" t="s">
        <v>1152</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1153</v>
      </c>
      <c r="B19" s="1726">
        <f>SUM(B4:B18)</f>
        <v>34382718</v>
      </c>
      <c r="C19" s="1726">
        <f>SUM(C4:C18)</f>
        <v>38814003</v>
      </c>
      <c r="D19" s="1726">
        <f>SUM(D4:D18)</f>
        <v>-4431285</v>
      </c>
      <c r="E19" s="1726">
        <f>SUM(E4:E18)</f>
        <v>11925869</v>
      </c>
      <c r="F19" s="1726">
        <f>SUM(F4:F18)</f>
        <v>-26888134</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34" colorId="8" zoomScale="110" zoomScaleNormal="110" workbookViewId="0">
      <selection activeCell="J37" sqref="J3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9" t="s">
        <v>625</v>
      </c>
      <c r="B1" s="2300"/>
      <c r="C1" s="585"/>
    </row>
    <row r="2" spans="1:7" ht="33.75" x14ac:dyDescent="0.2">
      <c r="A2" s="2308" t="s">
        <v>1779</v>
      </c>
      <c r="B2" s="2309"/>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2" t="s">
        <v>1106</v>
      </c>
      <c r="B3" s="2313"/>
      <c r="C3" s="2301"/>
      <c r="D3" s="2302"/>
      <c r="E3" s="2302"/>
      <c r="F3" s="2303"/>
    </row>
    <row r="4" spans="1:7" ht="12.75" customHeight="1" thickBot="1" x14ac:dyDescent="0.25">
      <c r="A4" s="2310" t="s">
        <v>626</v>
      </c>
      <c r="B4" s="2311"/>
      <c r="C4" s="1656"/>
      <c r="D4" s="1656"/>
      <c r="E4" s="1656"/>
      <c r="F4" s="1732">
        <f>SUM(C4+D4)-E4</f>
        <v>0</v>
      </c>
    </row>
    <row r="5" spans="1:7" ht="15.75" customHeight="1" thickTop="1" x14ac:dyDescent="0.2">
      <c r="A5" s="2295" t="s">
        <v>1103</v>
      </c>
      <c r="B5" s="2296"/>
      <c r="C5" s="2304"/>
      <c r="D5" s="2305"/>
      <c r="E5" s="2305"/>
      <c r="F5" s="2306"/>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1149</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7" t="s">
        <v>627</v>
      </c>
      <c r="B15" s="2298"/>
      <c r="C15" s="1732">
        <f>SUM(C6:C14)</f>
        <v>0</v>
      </c>
      <c r="D15" s="1732">
        <f>SUM(D6:D14)</f>
        <v>0</v>
      </c>
      <c r="E15" s="1732">
        <f>SUM(E6:E14)</f>
        <v>0</v>
      </c>
      <c r="F15" s="1732">
        <f>SUM(F6:F14)</f>
        <v>0</v>
      </c>
      <c r="G15" s="473"/>
    </row>
    <row r="16" spans="1:7" s="197" customFormat="1" ht="15.75" customHeight="1" thickTop="1" x14ac:dyDescent="0.2">
      <c r="A16" s="2307" t="s">
        <v>1104</v>
      </c>
      <c r="B16" s="2296"/>
      <c r="C16" s="2304"/>
      <c r="D16" s="2305"/>
      <c r="E16" s="2305"/>
      <c r="F16" s="2306"/>
    </row>
    <row r="17" spans="1:11" ht="12.75" customHeight="1" thickBot="1" x14ac:dyDescent="0.25">
      <c r="A17" s="2320" t="s">
        <v>64</v>
      </c>
      <c r="B17" s="2321"/>
      <c r="C17" s="1733"/>
      <c r="D17" s="1664"/>
      <c r="E17" s="1733"/>
      <c r="F17" s="1732">
        <f>SUM(C17+D17)-E17</f>
        <v>0</v>
      </c>
    </row>
    <row r="18" spans="1:11" ht="12.75" customHeight="1" thickTop="1" thickBot="1" x14ac:dyDescent="0.25">
      <c r="A18" s="2320" t="s">
        <v>6</v>
      </c>
      <c r="B18" s="2321"/>
      <c r="C18" s="1733"/>
      <c r="D18" s="1664"/>
      <c r="E18" s="1733"/>
      <c r="F18" s="1732">
        <f>SUM(C18+D18)-E18</f>
        <v>0</v>
      </c>
    </row>
    <row r="19" spans="1:11" ht="12.75" customHeight="1" thickTop="1" thickBot="1" x14ac:dyDescent="0.25">
      <c r="A19" s="2320" t="s">
        <v>385</v>
      </c>
      <c r="B19" s="2321"/>
      <c r="C19" s="1733"/>
      <c r="D19" s="1664"/>
      <c r="E19" s="1733"/>
      <c r="F19" s="1732">
        <f>SUM(C19+D19)-E19</f>
        <v>0</v>
      </c>
    </row>
    <row r="20" spans="1:11" ht="12.75" customHeight="1" thickTop="1" thickBot="1" x14ac:dyDescent="0.25">
      <c r="A20" s="2320" t="s">
        <v>445</v>
      </c>
      <c r="B20" s="2321"/>
      <c r="C20" s="1733"/>
      <c r="D20" s="1664"/>
      <c r="E20" s="1733"/>
      <c r="F20" s="1732">
        <f>SUM(C20+D20)-E20</f>
        <v>0</v>
      </c>
    </row>
    <row r="21" spans="1:11" ht="14.25" thickTop="1" thickBot="1" x14ac:dyDescent="0.25">
      <c r="A21" s="2297" t="s">
        <v>628</v>
      </c>
      <c r="B21" s="2298"/>
      <c r="C21" s="1732">
        <f>SUM(C17:C20)</f>
        <v>0</v>
      </c>
      <c r="D21" s="1732">
        <f>SUM(D17:D20)</f>
        <v>0</v>
      </c>
      <c r="E21" s="1732">
        <f>SUM(E17:E20)</f>
        <v>0</v>
      </c>
      <c r="F21" s="1732">
        <f>SUM(F17:F20)</f>
        <v>0</v>
      </c>
      <c r="G21" s="473"/>
    </row>
    <row r="22" spans="1:11" ht="15.75" customHeight="1" thickTop="1" x14ac:dyDescent="0.2">
      <c r="A22" s="2322" t="s">
        <v>1105</v>
      </c>
      <c r="B22" s="2296"/>
      <c r="C22" s="2304"/>
      <c r="D22" s="2305"/>
      <c r="E22" s="2305"/>
      <c r="F22" s="2306"/>
    </row>
    <row r="23" spans="1:11" ht="13.5" thickBot="1" x14ac:dyDescent="0.25">
      <c r="A23" s="2310" t="s">
        <v>629</v>
      </c>
      <c r="B23" s="2311"/>
      <c r="C23" s="1656"/>
      <c r="D23" s="1656"/>
      <c r="E23" s="1656"/>
      <c r="F23" s="1732">
        <f>SUM(C23+D23)-E23</f>
        <v>0</v>
      </c>
      <c r="G23" s="473"/>
    </row>
    <row r="24" spans="1:11" ht="15.75" customHeight="1" thickTop="1" x14ac:dyDescent="0.2">
      <c r="A24" s="2322" t="s">
        <v>2006</v>
      </c>
      <c r="B24" s="2296"/>
      <c r="C24" s="2304"/>
      <c r="D24" s="2305"/>
      <c r="E24" s="2305"/>
      <c r="F24" s="2306"/>
    </row>
    <row r="25" spans="1:11" ht="13.5" thickBot="1" x14ac:dyDescent="0.25">
      <c r="A25" s="2310" t="s">
        <v>2007</v>
      </c>
      <c r="B25" s="2311"/>
      <c r="C25" s="1656"/>
      <c r="D25" s="1656"/>
      <c r="E25" s="1656"/>
      <c r="F25" s="1732">
        <f>SUM(C25+D25)-E25</f>
        <v>0</v>
      </c>
      <c r="G25" s="473"/>
    </row>
    <row r="26" spans="1:11" ht="15.75" customHeight="1" thickTop="1" x14ac:dyDescent="0.2">
      <c r="A26" s="2295" t="s">
        <v>652</v>
      </c>
      <c r="B26" s="2296"/>
      <c r="C26" s="589"/>
      <c r="D26" s="589"/>
      <c r="E26" s="589"/>
      <c r="F26" s="590"/>
    </row>
    <row r="27" spans="1:11" ht="13.5" thickBot="1" x14ac:dyDescent="0.25">
      <c r="A27" s="2297" t="s">
        <v>1063</v>
      </c>
      <c r="B27" s="2298"/>
      <c r="C27" s="1664"/>
      <c r="D27" s="1664"/>
      <c r="E27" s="1664"/>
      <c r="F27" s="1732">
        <f>SUM(C27+D27)-E27</f>
        <v>0</v>
      </c>
      <c r="G27" s="473"/>
    </row>
    <row r="28" spans="1:11" ht="7.5" customHeight="1" thickTop="1" x14ac:dyDescent="0.2">
      <c r="A28" s="489"/>
    </row>
    <row r="29" spans="1:11" ht="23.25" customHeight="1" x14ac:dyDescent="0.2">
      <c r="A29" s="2323" t="s">
        <v>578</v>
      </c>
      <c r="B29" s="2300"/>
      <c r="C29" s="591"/>
      <c r="D29" s="591"/>
      <c r="E29" s="591"/>
      <c r="F29" s="591"/>
      <c r="G29" s="591"/>
      <c r="H29" s="591"/>
      <c r="I29" s="591"/>
      <c r="J29" s="591"/>
    </row>
    <row r="30" spans="1:11" ht="33.75" x14ac:dyDescent="0.2">
      <c r="A30" s="1297" t="s">
        <v>1064</v>
      </c>
      <c r="B30" s="592" t="s">
        <v>1116</v>
      </c>
      <c r="C30" s="592" t="s">
        <v>579</v>
      </c>
      <c r="D30" s="592" t="s">
        <v>1657</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2155</v>
      </c>
      <c r="B31" s="595">
        <v>40422</v>
      </c>
      <c r="C31" s="1734">
        <v>829000</v>
      </c>
      <c r="D31" s="1735" t="s">
        <v>2161</v>
      </c>
      <c r="E31" s="1734">
        <v>304000</v>
      </c>
      <c r="F31" s="1734"/>
      <c r="G31" s="1734"/>
      <c r="H31" s="1734">
        <v>201000</v>
      </c>
      <c r="I31" s="1736">
        <f>((E31+F31)-H31)+G31</f>
        <v>103000</v>
      </c>
      <c r="J31" s="1734">
        <v>103000</v>
      </c>
      <c r="K31" s="596"/>
    </row>
    <row r="32" spans="1:11" ht="12" customHeight="1" x14ac:dyDescent="0.2">
      <c r="A32" s="594" t="s">
        <v>2156</v>
      </c>
      <c r="B32" s="595">
        <v>40526</v>
      </c>
      <c r="C32" s="1734">
        <v>15390000</v>
      </c>
      <c r="D32" s="1735" t="s">
        <v>2161</v>
      </c>
      <c r="E32" s="1734">
        <v>13630000</v>
      </c>
      <c r="F32" s="1734"/>
      <c r="G32" s="1734"/>
      <c r="H32" s="1734">
        <v>1215000</v>
      </c>
      <c r="I32" s="1736">
        <f>((E32+F32)-H32)+G32</f>
        <v>12415000</v>
      </c>
      <c r="J32" s="1734">
        <v>12415000</v>
      </c>
      <c r="K32" s="596"/>
    </row>
    <row r="33" spans="1:11" ht="12" customHeight="1" x14ac:dyDescent="0.2">
      <c r="A33" s="594" t="s">
        <v>2157</v>
      </c>
      <c r="B33" s="595">
        <v>40834</v>
      </c>
      <c r="C33" s="1734">
        <v>4450000</v>
      </c>
      <c r="D33" s="1735" t="s">
        <v>2161</v>
      </c>
      <c r="E33" s="1734">
        <v>3375000</v>
      </c>
      <c r="F33" s="1734"/>
      <c r="G33" s="1734"/>
      <c r="H33" s="1734">
        <v>370000</v>
      </c>
      <c r="I33" s="1736">
        <f t="shared" ref="I33:I48" si="1">((E33+F33)-H33)+G33</f>
        <v>3005000</v>
      </c>
      <c r="J33" s="1734">
        <v>3005000</v>
      </c>
      <c r="K33" s="596"/>
    </row>
    <row r="34" spans="1:11" ht="12" customHeight="1" x14ac:dyDescent="0.2">
      <c r="A34" s="594" t="s">
        <v>2158</v>
      </c>
      <c r="B34" s="595">
        <v>40912</v>
      </c>
      <c r="C34" s="1734">
        <v>7490000</v>
      </c>
      <c r="D34" s="1735" t="s">
        <v>2161</v>
      </c>
      <c r="E34" s="1734">
        <v>4560000</v>
      </c>
      <c r="F34" s="1734"/>
      <c r="G34" s="1734"/>
      <c r="H34" s="1734">
        <v>1025000</v>
      </c>
      <c r="I34" s="1736">
        <f t="shared" si="1"/>
        <v>3535000</v>
      </c>
      <c r="J34" s="1734">
        <v>3535000</v>
      </c>
      <c r="K34" s="597"/>
    </row>
    <row r="35" spans="1:11" ht="12" customHeight="1" x14ac:dyDescent="0.2">
      <c r="A35" s="594" t="s">
        <v>2159</v>
      </c>
      <c r="B35" s="595">
        <v>42998</v>
      </c>
      <c r="C35" s="1737">
        <v>10885000</v>
      </c>
      <c r="D35" s="1735" t="s">
        <v>2161</v>
      </c>
      <c r="E35" s="1737">
        <v>10885000</v>
      </c>
      <c r="F35" s="1737"/>
      <c r="G35" s="1737"/>
      <c r="H35" s="1737"/>
      <c r="I35" s="1736">
        <f t="shared" si="1"/>
        <v>10885000</v>
      </c>
      <c r="J35" s="1737">
        <v>10885000</v>
      </c>
      <c r="K35" s="597"/>
    </row>
    <row r="36" spans="1:11" ht="12" customHeight="1" x14ac:dyDescent="0.2">
      <c r="A36" s="594" t="s">
        <v>2160</v>
      </c>
      <c r="B36" s="595">
        <v>43473</v>
      </c>
      <c r="C36" s="1734">
        <v>3072000</v>
      </c>
      <c r="D36" s="1735" t="s">
        <v>2161</v>
      </c>
      <c r="E36" s="1734">
        <v>3072000</v>
      </c>
      <c r="F36" s="1734"/>
      <c r="G36" s="1734"/>
      <c r="H36" s="1734">
        <v>996000</v>
      </c>
      <c r="I36" s="1736">
        <f t="shared" si="1"/>
        <v>2076000</v>
      </c>
      <c r="J36" s="1734">
        <v>1783567</v>
      </c>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42116000</v>
      </c>
      <c r="D49" s="1742"/>
      <c r="E49" s="1736">
        <f t="shared" ref="E49:J49" si="2">SUM(E31:E48)</f>
        <v>35826000</v>
      </c>
      <c r="F49" s="1736">
        <f t="shared" si="2"/>
        <v>0</v>
      </c>
      <c r="G49" s="1736">
        <f t="shared" si="2"/>
        <v>0</v>
      </c>
      <c r="H49" s="1736">
        <f t="shared" si="2"/>
        <v>3807000</v>
      </c>
      <c r="I49" s="1736">
        <f t="shared" si="2"/>
        <v>32019000</v>
      </c>
      <c r="J49" s="1736">
        <f t="shared" si="2"/>
        <v>31726567</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4" t="s">
        <v>580</v>
      </c>
      <c r="C52" s="2315"/>
      <c r="D52" s="2315"/>
      <c r="E52" s="603" t="s">
        <v>840</v>
      </c>
      <c r="F52" s="2316"/>
      <c r="G52" s="2317"/>
      <c r="H52" s="596"/>
      <c r="I52" s="596"/>
      <c r="J52" s="600"/>
    </row>
    <row r="53" spans="1:11" ht="11.25" customHeight="1" x14ac:dyDescent="0.2">
      <c r="A53" s="604" t="s">
        <v>907</v>
      </c>
      <c r="B53" s="605" t="s">
        <v>945</v>
      </c>
      <c r="C53" s="600"/>
      <c r="D53" s="597"/>
      <c r="E53" s="603" t="s">
        <v>494</v>
      </c>
      <c r="F53" s="2318"/>
      <c r="G53" s="2319"/>
      <c r="H53" s="596"/>
      <c r="I53" s="596"/>
      <c r="J53" s="600"/>
    </row>
    <row r="54" spans="1:11" ht="11.25" customHeight="1" x14ac:dyDescent="0.2">
      <c r="A54" s="606" t="s">
        <v>908</v>
      </c>
      <c r="B54" s="601" t="s">
        <v>946</v>
      </c>
      <c r="C54" s="600"/>
      <c r="D54" s="597"/>
      <c r="E54" s="603" t="s">
        <v>495</v>
      </c>
      <c r="F54" s="2318"/>
      <c r="G54" s="231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23" sqref="H2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0" t="s">
        <v>851</v>
      </c>
      <c r="B1" s="2351"/>
      <c r="C1" s="2351"/>
      <c r="D1" s="2351"/>
      <c r="E1" s="2351"/>
      <c r="F1" s="2351"/>
      <c r="G1" s="2352"/>
      <c r="H1" s="1298"/>
      <c r="I1" s="614"/>
      <c r="J1" s="400"/>
    </row>
    <row r="2" spans="1:11" ht="26.25" x14ac:dyDescent="0.2">
      <c r="A2" s="2327" t="s">
        <v>1661</v>
      </c>
      <c r="B2" s="2328"/>
      <c r="C2" s="2328"/>
      <c r="D2" s="2328"/>
      <c r="E2" s="2329"/>
      <c r="F2" s="615" t="s">
        <v>898</v>
      </c>
      <c r="G2" s="616" t="s">
        <v>1658</v>
      </c>
      <c r="H2" s="616" t="s">
        <v>407</v>
      </c>
      <c r="I2" s="616" t="s">
        <v>1150</v>
      </c>
      <c r="J2" s="616" t="s">
        <v>1789</v>
      </c>
      <c r="K2" s="616" t="s">
        <v>137</v>
      </c>
    </row>
    <row r="3" spans="1:11" x14ac:dyDescent="0.2">
      <c r="A3" s="2330" t="str">
        <f>"Cash Basis Fund Balance as of July 1, "&amp;'AFR20'!E2-1</f>
        <v>Cash Basis Fund Balance as of July 1, 2019</v>
      </c>
      <c r="B3" s="2331"/>
      <c r="C3" s="2331"/>
      <c r="D3" s="2331"/>
      <c r="E3" s="2332"/>
      <c r="F3" s="617"/>
      <c r="G3" s="1744"/>
      <c r="H3" s="1744">
        <v>1324316</v>
      </c>
      <c r="I3" s="1744"/>
      <c r="J3" s="1745">
        <v>1080817</v>
      </c>
      <c r="K3" s="1745">
        <v>0</v>
      </c>
    </row>
    <row r="4" spans="1:11" x14ac:dyDescent="0.2">
      <c r="A4" s="2333" t="s">
        <v>366</v>
      </c>
      <c r="B4" s="2334"/>
      <c r="C4" s="2334"/>
      <c r="D4" s="2334"/>
      <c r="E4" s="2315"/>
      <c r="F4" s="620"/>
      <c r="G4" s="1746"/>
      <c r="H4" s="1747"/>
      <c r="I4" s="1746"/>
      <c r="J4" s="1748"/>
      <c r="K4" s="1748"/>
    </row>
    <row r="5" spans="1:11" x14ac:dyDescent="0.2">
      <c r="A5" s="2353" t="s">
        <v>1062</v>
      </c>
      <c r="B5" s="2324"/>
      <c r="C5" s="2324"/>
      <c r="D5" s="2324"/>
      <c r="E5" s="2354"/>
      <c r="F5" s="622" t="s">
        <v>843</v>
      </c>
      <c r="G5" s="1749"/>
      <c r="H5" s="1744">
        <v>736794</v>
      </c>
      <c r="I5" s="1750"/>
      <c r="J5" s="1751"/>
      <c r="K5" s="1751"/>
    </row>
    <row r="6" spans="1:11" x14ac:dyDescent="0.2">
      <c r="A6" s="625" t="s">
        <v>715</v>
      </c>
      <c r="B6" s="626"/>
      <c r="C6" s="626"/>
      <c r="D6" s="626"/>
      <c r="E6" s="627"/>
      <c r="F6" s="628" t="s">
        <v>844</v>
      </c>
      <c r="G6" s="1744"/>
      <c r="H6" s="1744"/>
      <c r="I6" s="1744"/>
      <c r="J6" s="1745">
        <v>39468</v>
      </c>
      <c r="K6" s="1745"/>
    </row>
    <row r="7" spans="1:11" x14ac:dyDescent="0.2">
      <c r="A7" s="629" t="s">
        <v>244</v>
      </c>
      <c r="B7" s="630"/>
      <c r="C7" s="630"/>
      <c r="D7" s="630"/>
      <c r="E7" s="631"/>
      <c r="F7" s="622" t="s">
        <v>845</v>
      </c>
      <c r="G7" s="1746"/>
      <c r="H7" s="1746"/>
      <c r="I7" s="1746"/>
      <c r="J7" s="1752"/>
      <c r="K7" s="1745">
        <v>8725</v>
      </c>
    </row>
    <row r="8" spans="1:11" x14ac:dyDescent="0.2">
      <c r="A8" s="629" t="s">
        <v>342</v>
      </c>
      <c r="B8" s="630"/>
      <c r="C8" s="630"/>
      <c r="D8" s="630"/>
      <c r="E8" s="631"/>
      <c r="F8" s="622" t="s">
        <v>846</v>
      </c>
      <c r="G8" s="1753"/>
      <c r="H8" s="1753"/>
      <c r="I8" s="1753"/>
      <c r="J8" s="1745">
        <v>3419734</v>
      </c>
      <c r="K8" s="1748"/>
    </row>
    <row r="9" spans="1:11" x14ac:dyDescent="0.2">
      <c r="A9" s="629" t="s">
        <v>137</v>
      </c>
      <c r="B9" s="630"/>
      <c r="C9" s="630"/>
      <c r="D9" s="630"/>
      <c r="E9" s="631"/>
      <c r="F9" s="628" t="s">
        <v>848</v>
      </c>
      <c r="G9" s="1753"/>
      <c r="H9" s="1749"/>
      <c r="I9" s="1749"/>
      <c r="J9" s="1752"/>
      <c r="K9" s="1745">
        <v>40480</v>
      </c>
    </row>
    <row r="10" spans="1:11" x14ac:dyDescent="0.2">
      <c r="A10" s="2353" t="s">
        <v>1790</v>
      </c>
      <c r="B10" s="2324"/>
      <c r="C10" s="2324"/>
      <c r="D10" s="2324"/>
      <c r="E10" s="2355"/>
      <c r="F10" s="633" t="s">
        <v>857</v>
      </c>
      <c r="G10" s="1753"/>
      <c r="H10" s="1754"/>
      <c r="I10" s="1744"/>
      <c r="J10" s="1745"/>
      <c r="K10" s="1745"/>
    </row>
    <row r="11" spans="1:11" x14ac:dyDescent="0.2">
      <c r="A11" s="2353" t="s">
        <v>159</v>
      </c>
      <c r="B11" s="2324"/>
      <c r="C11" s="2324"/>
      <c r="D11" s="2324"/>
      <c r="E11" s="2354"/>
      <c r="F11" s="622" t="s">
        <v>847</v>
      </c>
      <c r="G11" s="1749"/>
      <c r="H11" s="1744"/>
      <c r="I11" s="1744"/>
      <c r="J11" s="1745"/>
      <c r="K11" s="1751"/>
    </row>
    <row r="12" spans="1:11" ht="13.5" thickBot="1" x14ac:dyDescent="0.25">
      <c r="A12" s="2341" t="s">
        <v>899</v>
      </c>
      <c r="B12" s="2342"/>
      <c r="C12" s="2342"/>
      <c r="D12" s="2342"/>
      <c r="E12" s="2343"/>
      <c r="F12" s="1433"/>
      <c r="G12" s="1755">
        <f>SUM(G5:G11)</f>
        <v>0</v>
      </c>
      <c r="H12" s="1755">
        <f>SUM(H5:H11)</f>
        <v>736794</v>
      </c>
      <c r="I12" s="1755">
        <f>SUM(I5:I11)</f>
        <v>0</v>
      </c>
      <c r="J12" s="1755">
        <f>SUM(J5:J11)</f>
        <v>3459202</v>
      </c>
      <c r="K12" s="1755">
        <f>SUM(K5:K11)</f>
        <v>49205</v>
      </c>
    </row>
    <row r="13" spans="1:11" ht="13.5" thickTop="1" x14ac:dyDescent="0.2">
      <c r="A13" s="2335" t="s">
        <v>367</v>
      </c>
      <c r="B13" s="2336"/>
      <c r="C13" s="2336"/>
      <c r="D13" s="2336"/>
      <c r="E13" s="2337"/>
      <c r="F13" s="634"/>
      <c r="G13" s="1756"/>
      <c r="H13" s="1757"/>
      <c r="I13" s="1758"/>
      <c r="J13" s="1758"/>
      <c r="K13" s="1758"/>
    </row>
    <row r="14" spans="1:11" x14ac:dyDescent="0.2">
      <c r="A14" s="2359" t="s">
        <v>453</v>
      </c>
      <c r="B14" s="2359"/>
      <c r="C14" s="2359"/>
      <c r="D14" s="2359"/>
      <c r="E14" s="2360"/>
      <c r="F14" s="635" t="s">
        <v>849</v>
      </c>
      <c r="G14" s="1753"/>
      <c r="H14" s="1744"/>
      <c r="I14" s="1749"/>
      <c r="J14" s="1751"/>
      <c r="K14" s="1745">
        <v>53212</v>
      </c>
    </row>
    <row r="15" spans="1:11" x14ac:dyDescent="0.2">
      <c r="A15" s="2324" t="s">
        <v>4</v>
      </c>
      <c r="B15" s="2324"/>
      <c r="C15" s="2324"/>
      <c r="D15" s="2324"/>
      <c r="E15" s="2354"/>
      <c r="F15" s="635" t="s">
        <v>850</v>
      </c>
      <c r="G15" s="1749"/>
      <c r="H15" s="1744"/>
      <c r="I15" s="1744"/>
      <c r="J15" s="1745">
        <v>30350</v>
      </c>
      <c r="K15" s="1745"/>
    </row>
    <row r="16" spans="1:11" x14ac:dyDescent="0.2">
      <c r="A16" s="2324" t="s">
        <v>295</v>
      </c>
      <c r="B16" s="2324"/>
      <c r="C16" s="2324"/>
      <c r="D16" s="2324"/>
      <c r="E16" s="2354"/>
      <c r="F16" s="635" t="s">
        <v>917</v>
      </c>
      <c r="G16" s="1750"/>
      <c r="H16" s="1746"/>
      <c r="I16" s="1746"/>
      <c r="J16" s="1748"/>
      <c r="K16" s="1748"/>
    </row>
    <row r="17" spans="1:15" x14ac:dyDescent="0.2">
      <c r="A17" s="2348" t="s">
        <v>929</v>
      </c>
      <c r="B17" s="2348"/>
      <c r="C17" s="2348"/>
      <c r="D17" s="2348"/>
      <c r="E17" s="2349"/>
      <c r="F17" s="636"/>
      <c r="G17" s="1759"/>
      <c r="H17" s="1760"/>
      <c r="I17" s="1760"/>
      <c r="J17" s="1761"/>
      <c r="K17" s="1762"/>
    </row>
    <row r="18" spans="1:15" x14ac:dyDescent="0.2">
      <c r="A18" s="2338" t="s">
        <v>365</v>
      </c>
      <c r="B18" s="2339"/>
      <c r="C18" s="2339"/>
      <c r="D18" s="2339"/>
      <c r="E18" s="2340"/>
      <c r="F18" s="635" t="s">
        <v>926</v>
      </c>
      <c r="G18" s="1753"/>
      <c r="H18" s="1753"/>
      <c r="I18" s="1753"/>
      <c r="J18" s="1745">
        <v>319117</v>
      </c>
      <c r="K18" s="1763"/>
    </row>
    <row r="19" spans="1:15" ht="21.75" customHeight="1" x14ac:dyDescent="0.2">
      <c r="A19" s="2361" t="s">
        <v>1786</v>
      </c>
      <c r="B19" s="2361"/>
      <c r="C19" s="2361"/>
      <c r="D19" s="2361"/>
      <c r="E19" s="2362"/>
      <c r="F19" s="635" t="s">
        <v>927</v>
      </c>
      <c r="G19" s="1753"/>
      <c r="H19" s="1753"/>
      <c r="I19" s="1753"/>
      <c r="J19" s="1745">
        <v>1585000</v>
      </c>
      <c r="K19" s="1763"/>
    </row>
    <row r="20" spans="1:15" x14ac:dyDescent="0.2">
      <c r="A20" s="2338" t="s">
        <v>1791</v>
      </c>
      <c r="B20" s="2339"/>
      <c r="C20" s="2339"/>
      <c r="D20" s="2339"/>
      <c r="E20" s="2340"/>
      <c r="F20" s="635" t="s">
        <v>928</v>
      </c>
      <c r="G20" s="1753"/>
      <c r="H20" s="1753"/>
      <c r="I20" s="1753"/>
      <c r="J20" s="1745"/>
      <c r="K20" s="1763"/>
    </row>
    <row r="21" spans="1:15" ht="13.5" thickBot="1" x14ac:dyDescent="0.25">
      <c r="A21" s="2344" t="s">
        <v>633</v>
      </c>
      <c r="B21" s="2344"/>
      <c r="C21" s="2344"/>
      <c r="D21" s="2344"/>
      <c r="E21" s="2344"/>
      <c r="F21" s="1434"/>
      <c r="G21" s="1760"/>
      <c r="H21" s="1764"/>
      <c r="I21" s="1764"/>
      <c r="J21" s="1765">
        <f>SUM(J18:J20)</f>
        <v>1904117</v>
      </c>
      <c r="K21" s="1761"/>
    </row>
    <row r="22" spans="1:15" ht="13.5" thickTop="1" x14ac:dyDescent="0.2">
      <c r="A22" s="2324" t="s">
        <v>1792</v>
      </c>
      <c r="B22" s="2324"/>
      <c r="C22" s="2324"/>
      <c r="D22" s="2324"/>
      <c r="E22" s="2354"/>
      <c r="F22" s="635" t="s">
        <v>857</v>
      </c>
      <c r="G22" s="1753"/>
      <c r="H22" s="1744">
        <v>2061110</v>
      </c>
      <c r="I22" s="1744"/>
      <c r="J22" s="1766"/>
      <c r="K22" s="1745"/>
    </row>
    <row r="23" spans="1:15" ht="13.5" thickBot="1" x14ac:dyDescent="0.25">
      <c r="A23" s="2345" t="s">
        <v>900</v>
      </c>
      <c r="B23" s="2344"/>
      <c r="C23" s="2344"/>
      <c r="D23" s="2344"/>
      <c r="E23" s="2344"/>
      <c r="F23" s="1436"/>
      <c r="G23" s="1755">
        <f>SUM(G14:G16,G21,G22)</f>
        <v>0</v>
      </c>
      <c r="H23" s="1755">
        <f>SUM(H14:H16,H21,H22)</f>
        <v>2061110</v>
      </c>
      <c r="I23" s="1755">
        <f>SUM(I14:I16,I21,I22)</f>
        <v>0</v>
      </c>
      <c r="J23" s="1755">
        <f>SUM(J14:J16,J21,J22)</f>
        <v>1934467</v>
      </c>
      <c r="K23" s="1755">
        <f>SUM(K14:K16,K21,K22)</f>
        <v>53212</v>
      </c>
      <c r="M23" s="1846"/>
      <c r="N23" s="1846"/>
      <c r="O23" s="1846"/>
    </row>
    <row r="24" spans="1:15" ht="14.25" thickTop="1" thickBot="1" x14ac:dyDescent="0.25">
      <c r="A24" s="2346" t="str">
        <f>"Ending Cash Basis Fund Balance as of June 30, "&amp;'AFR20'!E2</f>
        <v>Ending Cash Basis Fund Balance as of June 30, 2020</v>
      </c>
      <c r="B24" s="2347"/>
      <c r="C24" s="2347"/>
      <c r="D24" s="2347"/>
      <c r="E24" s="2347"/>
      <c r="F24" s="1437"/>
      <c r="G24" s="1767">
        <f>SUM(G3,G12)-G23</f>
        <v>0</v>
      </c>
      <c r="H24" s="1767">
        <f>SUM(H3,H12)-H23</f>
        <v>0</v>
      </c>
      <c r="I24" s="1767">
        <f>SUM(I3,I12)-I23</f>
        <v>0</v>
      </c>
      <c r="J24" s="1767">
        <f>SUM(J3,J12)-J23</f>
        <v>2605552</v>
      </c>
      <c r="K24" s="1767">
        <f>SUM(K3,K12)-K23</f>
        <v>-4007</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2605552</v>
      </c>
      <c r="K26" s="1755">
        <f>K24-K25</f>
        <v>-4007</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2048</v>
      </c>
      <c r="E30" s="648" t="s">
        <v>763</v>
      </c>
      <c r="F30" s="197"/>
      <c r="G30" s="645"/>
    </row>
    <row r="31" spans="1:15" x14ac:dyDescent="0.2">
      <c r="A31" s="649"/>
      <c r="D31" s="232"/>
      <c r="E31" s="650" t="s">
        <v>764</v>
      </c>
      <c r="F31" s="651" t="s">
        <v>536</v>
      </c>
      <c r="G31" s="618"/>
      <c r="H31" s="2356"/>
      <c r="I31" s="2357"/>
      <c r="J31" s="2357"/>
      <c r="K31" s="2357"/>
    </row>
    <row r="32" spans="1:15" x14ac:dyDescent="0.2">
      <c r="A32" s="649"/>
      <c r="B32" s="232"/>
      <c r="C32" s="232"/>
      <c r="D32" s="232"/>
      <c r="E32" s="645"/>
      <c r="F32" s="651" t="s">
        <v>537</v>
      </c>
      <c r="G32" s="618"/>
      <c r="H32" s="2358"/>
      <c r="I32" s="2357"/>
      <c r="J32" s="2357"/>
      <c r="K32" s="2357"/>
    </row>
    <row r="33" spans="1:11" ht="1.5" customHeight="1" x14ac:dyDescent="0.2">
      <c r="A33" s="652" t="s">
        <v>1161</v>
      </c>
      <c r="B33" s="341"/>
      <c r="C33" s="341"/>
      <c r="D33" s="341"/>
      <c r="E33" s="341"/>
      <c r="F33" s="341"/>
      <c r="G33" s="653"/>
      <c r="H33" s="2358"/>
      <c r="I33" s="2357"/>
      <c r="J33" s="2357"/>
      <c r="K33" s="235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25"/>
      <c r="C41" s="2325"/>
      <c r="D41" s="2325"/>
      <c r="E41" s="2325"/>
      <c r="F41" s="232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1659</v>
      </c>
    </row>
    <row r="47" spans="1:11" s="663" customFormat="1" ht="12.75" customHeight="1" x14ac:dyDescent="0.2">
      <c r="A47" s="661"/>
      <c r="B47" s="662" t="s">
        <v>1660</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D8" activeCellId="1" sqref="D12 D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5" t="s">
        <v>1875</v>
      </c>
      <c r="B1" s="2366"/>
      <c r="C1" s="2367"/>
      <c r="D1" s="666"/>
      <c r="E1" s="667"/>
      <c r="F1" s="667"/>
      <c r="G1" s="668"/>
      <c r="H1" s="669"/>
      <c r="I1" s="670"/>
      <c r="J1" s="2363"/>
      <c r="K1" s="2364"/>
      <c r="L1" s="2364"/>
    </row>
    <row r="2" spans="1:14" ht="69.75" customHeight="1" x14ac:dyDescent="0.2">
      <c r="A2" s="671" t="s">
        <v>1662</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1085540</v>
      </c>
      <c r="D5" s="1770">
        <v>8581</v>
      </c>
      <c r="E5" s="1770"/>
      <c r="F5" s="1765">
        <f>(C5+D5)-E5</f>
        <v>1094121</v>
      </c>
      <c r="G5" s="676"/>
      <c r="H5" s="680"/>
      <c r="I5" s="680"/>
      <c r="J5" s="680"/>
      <c r="K5" s="637"/>
      <c r="L5" s="1442">
        <f>F5-K5</f>
        <v>1094121</v>
      </c>
    </row>
    <row r="6" spans="1:14" ht="14.25" thickTop="1" thickBot="1" x14ac:dyDescent="0.25">
      <c r="A6" s="629" t="s">
        <v>1109</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1110</v>
      </c>
      <c r="B8" s="679">
        <v>231</v>
      </c>
      <c r="C8" s="1771">
        <v>130102367</v>
      </c>
      <c r="D8" s="1771">
        <v>1493132</v>
      </c>
      <c r="E8" s="1771"/>
      <c r="F8" s="1765">
        <f>(C8+D8)-E8</f>
        <v>131595499</v>
      </c>
      <c r="G8" s="681">
        <v>50</v>
      </c>
      <c r="H8" s="619">
        <v>44225631</v>
      </c>
      <c r="I8" s="619">
        <v>2631910</v>
      </c>
      <c r="J8" s="619"/>
      <c r="K8" s="1442">
        <f>(H8+I8)-J8</f>
        <v>46857541</v>
      </c>
      <c r="L8" s="1442">
        <f>F8-K8</f>
        <v>84737958</v>
      </c>
    </row>
    <row r="9" spans="1:14" ht="14.25" thickTop="1" thickBot="1" x14ac:dyDescent="0.25">
      <c r="A9" s="629" t="s">
        <v>1111</v>
      </c>
      <c r="B9" s="679">
        <v>232</v>
      </c>
      <c r="C9" s="1745"/>
      <c r="D9" s="1745"/>
      <c r="E9" s="1745"/>
      <c r="F9" s="1765">
        <f>(C9+D9)-E9</f>
        <v>0</v>
      </c>
      <c r="G9" s="681">
        <v>20</v>
      </c>
      <c r="H9" s="619"/>
      <c r="I9" s="619"/>
      <c r="J9" s="619"/>
      <c r="K9" s="1442">
        <f>(H9+I9)-J9</f>
        <v>0</v>
      </c>
      <c r="L9" s="1442">
        <f>F9-K9</f>
        <v>0</v>
      </c>
    </row>
    <row r="10" spans="1:14" ht="24" thickTop="1" thickBot="1" x14ac:dyDescent="0.25">
      <c r="A10" s="682" t="s">
        <v>1112</v>
      </c>
      <c r="B10" s="679">
        <v>240</v>
      </c>
      <c r="C10" s="1772">
        <v>1096679</v>
      </c>
      <c r="D10" s="1772"/>
      <c r="E10" s="1772"/>
      <c r="F10" s="1773">
        <f>(C10+D10)-E10</f>
        <v>1096679</v>
      </c>
      <c r="G10" s="681">
        <v>20</v>
      </c>
      <c r="H10" s="683">
        <v>1096679</v>
      </c>
      <c r="I10" s="683"/>
      <c r="J10" s="683"/>
      <c r="K10" s="1442">
        <f>(H10+I10)-J10</f>
        <v>1096679</v>
      </c>
      <c r="L10" s="1442">
        <f>F10-K10</f>
        <v>0</v>
      </c>
    </row>
    <row r="11" spans="1:14" ht="13.5" thickTop="1" x14ac:dyDescent="0.2">
      <c r="A11" s="1367" t="s">
        <v>1128</v>
      </c>
      <c r="B11" s="1365">
        <v>250</v>
      </c>
      <c r="C11" s="1752"/>
      <c r="D11" s="1752"/>
      <c r="E11" s="1752"/>
      <c r="F11" s="1751"/>
      <c r="G11" s="681"/>
      <c r="H11" s="632"/>
      <c r="I11" s="632"/>
      <c r="J11" s="632"/>
      <c r="K11" s="624"/>
      <c r="L11" s="624"/>
    </row>
    <row r="12" spans="1:14" ht="13.5" thickBot="1" x14ac:dyDescent="0.25">
      <c r="A12" s="684" t="s">
        <v>1113</v>
      </c>
      <c r="B12" s="679">
        <v>251</v>
      </c>
      <c r="C12" s="1771">
        <v>22042302</v>
      </c>
      <c r="D12" s="1771">
        <v>871230</v>
      </c>
      <c r="E12" s="1771"/>
      <c r="F12" s="1765">
        <f>(C12+D12)-E12</f>
        <v>22913532</v>
      </c>
      <c r="G12" s="681">
        <v>10</v>
      </c>
      <c r="H12" s="619">
        <v>17684186</v>
      </c>
      <c r="I12" s="619">
        <v>522935</v>
      </c>
      <c r="J12" s="619"/>
      <c r="K12" s="1442">
        <f>(H12+I12)-J12</f>
        <v>18207121</v>
      </c>
      <c r="L12" s="1442">
        <f>F12-K12</f>
        <v>4706411</v>
      </c>
    </row>
    <row r="13" spans="1:14" ht="14.25" thickTop="1" thickBot="1" x14ac:dyDescent="0.25">
      <c r="A13" s="684" t="s">
        <v>1114</v>
      </c>
      <c r="B13" s="679">
        <v>252</v>
      </c>
      <c r="C13" s="1771">
        <v>96446</v>
      </c>
      <c r="D13" s="1771"/>
      <c r="E13" s="1771"/>
      <c r="F13" s="1765">
        <f>(C13+D13)-E13</f>
        <v>96446</v>
      </c>
      <c r="G13" s="681">
        <v>5</v>
      </c>
      <c r="H13" s="619">
        <v>96446</v>
      </c>
      <c r="I13" s="619"/>
      <c r="J13" s="619"/>
      <c r="K13" s="1442">
        <f>(H13+I13)-J13</f>
        <v>96446</v>
      </c>
      <c r="L13" s="1442">
        <f>F13-K13</f>
        <v>0</v>
      </c>
    </row>
    <row r="14" spans="1:14" ht="14.25" thickTop="1" thickBot="1" x14ac:dyDescent="0.25">
      <c r="A14" s="684" t="s">
        <v>1115</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154423334</v>
      </c>
      <c r="D16" s="1765">
        <f>SUM(D3,D5:D6,D8:D10,D12:D15)</f>
        <v>2372943</v>
      </c>
      <c r="E16" s="1765">
        <f>SUM(E3,E5:E6,E8:E10,E12:E15)</f>
        <v>0</v>
      </c>
      <c r="F16" s="1765">
        <f>SUM(F3,F5:F6,F8:F10,F12:F15)</f>
        <v>156796277</v>
      </c>
      <c r="G16" s="681"/>
      <c r="H16" s="1435">
        <f>SUM(H3,H6,H8:H10,H12:H14,)</f>
        <v>63102942</v>
      </c>
      <c r="I16" s="1435">
        <f>SUM(I3,I6,I8:I10,I12:I14,)</f>
        <v>3154845</v>
      </c>
      <c r="J16" s="1435">
        <f>SUM(J3,J6,J8:J10,J12:J14,)</f>
        <v>0</v>
      </c>
      <c r="K16" s="1435">
        <f>(H16+I16)-J16</f>
        <v>66257787</v>
      </c>
      <c r="L16" s="1435">
        <f>F16-K16</f>
        <v>90538490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3154845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B106"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1" t="str">
        <f>"ESTIMATED OPERATING EXPENSE PER PUPIL (OEPP)/PER CAPITA TUITION CHARGE (PCTC) COMPUTATIONS ("&amp;'AFR20'!E2-1&amp;" - "&amp;'AFR20'!E2&amp;")"</f>
        <v>ESTIMATED OPERATING EXPENSE PER PUPIL (OEPP)/PER CAPITA TUITION CHARGE (PCTC) COMPUTATIONS (2019 - 2020)</v>
      </c>
      <c r="B1" s="2372"/>
      <c r="C1" s="2372"/>
      <c r="D1" s="2372"/>
      <c r="E1" s="2372"/>
      <c r="F1" s="2373"/>
      <c r="G1" s="691"/>
      <c r="I1" s="701"/>
    </row>
    <row r="2" spans="1:9" ht="15" customHeight="1" thickBot="1" x14ac:dyDescent="0.25">
      <c r="A2" s="2374" t="s">
        <v>474</v>
      </c>
      <c r="B2" s="2375"/>
      <c r="C2" s="2375"/>
      <c r="D2" s="2375"/>
      <c r="E2" s="2375"/>
      <c r="F2" s="2376"/>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7"/>
      <c r="B5" s="2378"/>
      <c r="C5" s="2378"/>
      <c r="D5" s="2378"/>
      <c r="E5" s="2378"/>
      <c r="F5" s="2378"/>
    </row>
    <row r="6" spans="1:9" ht="13.5" customHeight="1" thickBot="1" x14ac:dyDescent="0.25">
      <c r="A6" s="2368" t="s">
        <v>1097</v>
      </c>
      <c r="B6" s="2369"/>
      <c r="C6" s="2369"/>
      <c r="D6" s="2369"/>
      <c r="E6" s="2369"/>
      <c r="F6" s="2370"/>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4">
        <f>'Expenditures 15-22'!K114</f>
        <v>56161178</v>
      </c>
      <c r="G8" s="701"/>
    </row>
    <row r="9" spans="1:9" x14ac:dyDescent="0.2">
      <c r="A9" s="705" t="s">
        <v>457</v>
      </c>
      <c r="B9" s="706" t="s">
        <v>1848</v>
      </c>
      <c r="C9" s="707"/>
      <c r="D9" s="705" t="s">
        <v>498</v>
      </c>
      <c r="E9" s="704"/>
      <c r="F9" s="1775">
        <f>'Expenditures 15-22'!K151</f>
        <v>3611076</v>
      </c>
      <c r="G9" s="708"/>
    </row>
    <row r="10" spans="1:9" x14ac:dyDescent="0.2">
      <c r="A10" s="705" t="s">
        <v>496</v>
      </c>
      <c r="B10" s="706" t="s">
        <v>1849</v>
      </c>
      <c r="C10" s="707"/>
      <c r="D10" s="705" t="s">
        <v>498</v>
      </c>
      <c r="E10" s="704"/>
      <c r="F10" s="1775">
        <f>'Expenditures 15-22'!K174</f>
        <v>4804667</v>
      </c>
      <c r="G10" s="708"/>
    </row>
    <row r="11" spans="1:9" x14ac:dyDescent="0.2">
      <c r="A11" s="705" t="s">
        <v>458</v>
      </c>
      <c r="B11" s="706" t="s">
        <v>1850</v>
      </c>
      <c r="C11" s="707"/>
      <c r="D11" s="705" t="s">
        <v>498</v>
      </c>
      <c r="E11" s="704"/>
      <c r="F11" s="1775">
        <f>'Expenditures 15-22'!K210</f>
        <v>2315393</v>
      </c>
      <c r="G11" s="708"/>
    </row>
    <row r="12" spans="1:9" x14ac:dyDescent="0.2">
      <c r="A12" s="705" t="s">
        <v>459</v>
      </c>
      <c r="B12" s="706" t="s">
        <v>1851</v>
      </c>
      <c r="C12" s="707"/>
      <c r="D12" s="705" t="s">
        <v>498</v>
      </c>
      <c r="E12" s="704"/>
      <c r="F12" s="1775">
        <f>'Expenditures 15-22'!K295</f>
        <v>1558291</v>
      </c>
      <c r="G12" s="708"/>
    </row>
    <row r="13" spans="1:9" x14ac:dyDescent="0.2">
      <c r="A13" s="705" t="s">
        <v>106</v>
      </c>
      <c r="B13" s="706" t="s">
        <v>1852</v>
      </c>
      <c r="C13" s="707"/>
      <c r="D13" s="705" t="s">
        <v>498</v>
      </c>
      <c r="E13" s="704"/>
      <c r="F13" s="1775">
        <f>'Expenditures 15-22'!K342</f>
        <v>656261</v>
      </c>
      <c r="G13" s="709"/>
    </row>
    <row r="14" spans="1:9" ht="12" customHeight="1" thickBot="1" x14ac:dyDescent="0.25">
      <c r="A14" s="1443"/>
      <c r="B14" s="1444"/>
      <c r="C14" s="1445"/>
      <c r="D14" s="1446" t="s">
        <v>498</v>
      </c>
      <c r="E14" s="1447" t="s">
        <v>952</v>
      </c>
      <c r="F14" s="1776">
        <f>SUM(F8:F13)</f>
        <v>69106866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1090</v>
      </c>
      <c r="B29" s="706" t="s">
        <v>805</v>
      </c>
      <c r="C29" s="716">
        <f>'Revenues 9-14'!B149</f>
        <v>3410</v>
      </c>
      <c r="D29" s="717" t="str">
        <f>'Revenues 9-14'!A149</f>
        <v>Adult Ed (from ICCB)</v>
      </c>
      <c r="E29" s="704"/>
      <c r="F29" s="1782">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783">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1455</v>
      </c>
      <c r="C34" s="721" t="str">
        <f>'Expenditures 15-22'!B7</f>
        <v>1125</v>
      </c>
      <c r="D34" s="722" t="str">
        <f>'Expenditures 15-22'!A7</f>
        <v>Pre-K Programs</v>
      </c>
      <c r="E34" s="704"/>
      <c r="F34" s="1782">
        <f>'Expenditures 15-22'!K7-SUM('Expenditures 15-22'!G7,'Expenditures 15-22'!I7)</f>
        <v>1074756</v>
      </c>
      <c r="G34" s="701"/>
    </row>
    <row r="35" spans="1:7" x14ac:dyDescent="0.2">
      <c r="A35" s="705" t="s">
        <v>456</v>
      </c>
      <c r="B35" s="705" t="s">
        <v>1456</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2">
        <f>'Expenditures 15-22'!K12-SUM('Expenditures 15-22'!G12+'Expenditures 15-22'!I12)</f>
        <v>588326</v>
      </c>
      <c r="G37" s="701"/>
    </row>
    <row r="38" spans="1:7" x14ac:dyDescent="0.2">
      <c r="A38" s="705" t="s">
        <v>456</v>
      </c>
      <c r="B38" s="705" t="s">
        <v>1458</v>
      </c>
      <c r="C38" s="721">
        <f>'Expenditures 15-22'!B15</f>
        <v>1600</v>
      </c>
      <c r="D38" s="723" t="str">
        <f>'Expenditures 15-22'!A15</f>
        <v>Summer School Programs</v>
      </c>
      <c r="E38" s="704"/>
      <c r="F38" s="1782">
        <f>'Expenditures 15-22'!K15-SUM('Expenditures 15-22'!G15,'Expenditures 15-22'!I15)</f>
        <v>19453</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1460</v>
      </c>
      <c r="C52" s="724" t="str">
        <f>'Expenditures 15-22'!B75</f>
        <v>3000</v>
      </c>
      <c r="D52" s="723" t="s">
        <v>446</v>
      </c>
      <c r="E52" s="704"/>
      <c r="F52" s="1782">
        <f>'Expenditures 15-22'!K75-SUM('Expenditures 15-22'!G75,'Expenditures 15-22'!I75)</f>
        <v>1587986</v>
      </c>
      <c r="G52" s="701"/>
    </row>
    <row r="53" spans="1:7" x14ac:dyDescent="0.2">
      <c r="A53" s="705" t="s">
        <v>456</v>
      </c>
      <c r="B53" s="705" t="s">
        <v>1461</v>
      </c>
      <c r="C53" s="724">
        <f>'Expenditures 15-22'!B102</f>
        <v>4000</v>
      </c>
      <c r="D53" s="723" t="str">
        <f>'Expenditures 15-22'!A102</f>
        <v>Total Payments to Other Govt Units</v>
      </c>
      <c r="E53" s="704"/>
      <c r="F53" s="1782">
        <f>'Expenditures 15-22'!K102</f>
        <v>858290</v>
      </c>
      <c r="G53" s="701"/>
    </row>
    <row r="54" spans="1:7" x14ac:dyDescent="0.2">
      <c r="A54" s="705" t="s">
        <v>456</v>
      </c>
      <c r="B54" s="705" t="s">
        <v>1462</v>
      </c>
      <c r="C54" s="724" t="s">
        <v>975</v>
      </c>
      <c r="D54" s="720" t="s">
        <v>1088</v>
      </c>
      <c r="E54" s="704"/>
      <c r="F54" s="1782">
        <f>'Expenditures 15-22'!G114</f>
        <v>123588</v>
      </c>
      <c r="G54" s="701"/>
    </row>
    <row r="55" spans="1:7" x14ac:dyDescent="0.2">
      <c r="A55" s="705" t="s">
        <v>456</v>
      </c>
      <c r="B55" s="705" t="s">
        <v>1463</v>
      </c>
      <c r="C55" s="724" t="s">
        <v>975</v>
      </c>
      <c r="D55" s="720" t="s">
        <v>288</v>
      </c>
      <c r="E55" s="704"/>
      <c r="F55" s="1782">
        <f>'Expenditures 15-22'!I114</f>
        <v>0</v>
      </c>
      <c r="G55" s="701"/>
    </row>
    <row r="56" spans="1:7" x14ac:dyDescent="0.2">
      <c r="A56" s="705" t="s">
        <v>457</v>
      </c>
      <c r="B56" s="705" t="s">
        <v>1464</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1088</v>
      </c>
      <c r="E58" s="704"/>
      <c r="F58" s="1784">
        <f>'Expenditures 15-22'!G151</f>
        <v>175541</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3807000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1088</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1465</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13073</v>
      </c>
      <c r="G70" s="701"/>
    </row>
    <row r="71" spans="1:9" x14ac:dyDescent="0.2">
      <c r="A71" s="705" t="s">
        <v>459</v>
      </c>
      <c r="B71" s="705" t="s">
        <v>1866</v>
      </c>
      <c r="C71" s="721">
        <f>'Expenditures 15-22'!B224</f>
        <v>1600</v>
      </c>
      <c r="D71" s="722" t="str">
        <f>'Expenditures 15-22'!A224</f>
        <v>Summer School Programs</v>
      </c>
      <c r="E71" s="704"/>
      <c r="F71" s="1782">
        <f>'Expenditures 15-22'!K224</f>
        <v>355</v>
      </c>
      <c r="G71" s="701"/>
    </row>
    <row r="72" spans="1:9" x14ac:dyDescent="0.2">
      <c r="A72" s="705" t="s">
        <v>459</v>
      </c>
      <c r="B72" s="705" t="s">
        <v>1867</v>
      </c>
      <c r="C72" s="721">
        <f>'Expenditures 15-22'!B280</f>
        <v>3000</v>
      </c>
      <c r="D72" s="712" t="s">
        <v>446</v>
      </c>
      <c r="E72" s="704"/>
      <c r="F72" s="1782">
        <f>'Expenditures 15-22'!K280</f>
        <v>11724</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1473</v>
      </c>
      <c r="E74" s="704"/>
      <c r="F74" s="1786">
        <f>'Expenditures 15-22'!K334</f>
        <v>0</v>
      </c>
      <c r="G74" s="701"/>
    </row>
    <row r="75" spans="1:9" x14ac:dyDescent="0.2">
      <c r="A75" s="705" t="s">
        <v>2008</v>
      </c>
      <c r="B75" s="705" t="s">
        <v>2009</v>
      </c>
      <c r="C75" s="721" t="s">
        <v>975</v>
      </c>
      <c r="D75" s="722" t="s">
        <v>1088</v>
      </c>
      <c r="E75" s="704"/>
      <c r="F75" s="1786">
        <f>'Expenditures 15-22'!G342</f>
        <v>24476</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8284568</v>
      </c>
      <c r="G77" s="701"/>
    </row>
    <row r="78" spans="1:9" s="728" customFormat="1" ht="12" customHeight="1" thickTop="1" thickBot="1" x14ac:dyDescent="0.25">
      <c r="A78" s="1450"/>
      <c r="B78" s="1448"/>
      <c r="C78" s="1445"/>
      <c r="D78" s="1449" t="s">
        <v>2012</v>
      </c>
      <c r="E78" s="1447"/>
      <c r="F78" s="1788">
        <f>(F14-F77)</f>
        <v>60822298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3387.4</v>
      </c>
      <c r="G79" s="733"/>
      <c r="H79" s="705"/>
      <c r="I79" s="705"/>
    </row>
    <row r="80" spans="1:9" s="728" customFormat="1" ht="12" customHeight="1" thickBot="1" x14ac:dyDescent="0.25">
      <c r="A80" s="1452"/>
      <c r="B80" s="1448"/>
      <c r="C80" s="1445"/>
      <c r="D80" s="1449" t="s">
        <v>2013</v>
      </c>
      <c r="E80" s="1447" t="s">
        <v>952</v>
      </c>
      <c r="F80" s="1790">
        <f>IF(F79&gt;0,F78/F79," Complete Line 79")</f>
        <v>17955.451969061818</v>
      </c>
      <c r="G80" s="705"/>
    </row>
    <row r="81" spans="1:7" s="728" customFormat="1" ht="8.25" customHeight="1" thickTop="1" x14ac:dyDescent="0.2">
      <c r="A81" s="734"/>
      <c r="B81" s="705"/>
      <c r="C81" s="707"/>
      <c r="D81" s="735"/>
      <c r="E81" s="704"/>
      <c r="F81" s="1791"/>
      <c r="G81" s="705"/>
    </row>
    <row r="82" spans="1:7" s="728" customFormat="1" ht="12" thickBot="1" x14ac:dyDescent="0.25">
      <c r="A82" s="2368" t="s">
        <v>1098</v>
      </c>
      <c r="B82" s="2369"/>
      <c r="C82" s="2369"/>
      <c r="D82" s="2369"/>
      <c r="E82" s="2369"/>
      <c r="F82" s="237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15782</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41930</v>
      </c>
      <c r="G95" s="745"/>
    </row>
    <row r="96" spans="1:7" x14ac:dyDescent="0.2">
      <c r="A96" s="741" t="s">
        <v>139</v>
      </c>
      <c r="B96" s="741" t="s">
        <v>174</v>
      </c>
      <c r="C96" s="743">
        <v>1700</v>
      </c>
      <c r="D96" s="751" t="str">
        <f>'Revenues 9-14'!A82</f>
        <v>Total District/School Activity Income</v>
      </c>
      <c r="E96" s="739"/>
      <c r="F96" s="1793">
        <f>SUM('Revenues 9-14'!C82,'Revenues 9-14'!D82)</f>
        <v>429743</v>
      </c>
      <c r="G96" s="745"/>
    </row>
    <row r="97" spans="1:7" x14ac:dyDescent="0.2">
      <c r="A97" s="741" t="s">
        <v>456</v>
      </c>
      <c r="B97" s="741" t="s">
        <v>175</v>
      </c>
      <c r="C97" s="743">
        <f>'Revenues 9-14'!B84</f>
        <v>1811</v>
      </c>
      <c r="D97" s="744" t="str">
        <f>'Revenues 9-14'!A84</f>
        <v>Rentals - Regular Textbooks</v>
      </c>
      <c r="E97" s="739"/>
      <c r="F97" s="1793">
        <f>'Revenues 9-14'!C84</f>
        <v>122167</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30370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3004679</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31066</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39165</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40480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970496</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159489</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329259</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2359730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1806658</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517152</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1202390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285664</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1403</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1413</v>
      </c>
      <c r="D159" s="774" t="s">
        <v>1414</v>
      </c>
      <c r="E159" s="775"/>
      <c r="F159" s="1793">
        <f>SUM('Revenues 9-14'!C253)</f>
        <v>0</v>
      </c>
      <c r="G159" s="738"/>
    </row>
    <row r="160" spans="1:7" s="703" customFormat="1" x14ac:dyDescent="0.2">
      <c r="A160" s="771" t="s">
        <v>497</v>
      </c>
      <c r="B160" s="772" t="s">
        <v>1953</v>
      </c>
      <c r="C160" s="773" t="s">
        <v>1452</v>
      </c>
      <c r="D160" s="774" t="s">
        <v>1453</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6727</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95222</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166226</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142965</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114850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418930</v>
      </c>
      <c r="G171" s="760"/>
    </row>
    <row r="172" spans="1:7" x14ac:dyDescent="0.2">
      <c r="A172" s="1529" t="s">
        <v>5</v>
      </c>
      <c r="B172" s="1530" t="s">
        <v>1885</v>
      </c>
      <c r="C172" s="1531">
        <v>3100</v>
      </c>
      <c r="D172" s="1532" t="s">
        <v>1887</v>
      </c>
      <c r="E172" s="739"/>
      <c r="F172" s="1794">
        <v>1902122</v>
      </c>
      <c r="G172" s="760"/>
    </row>
    <row r="173" spans="1:7" x14ac:dyDescent="0.2">
      <c r="A173" s="1529" t="s">
        <v>659</v>
      </c>
      <c r="B173" s="1530" t="s">
        <v>1885</v>
      </c>
      <c r="C173" s="1531">
        <v>3300</v>
      </c>
      <c r="D173" s="1532" t="s">
        <v>1888</v>
      </c>
      <c r="E173" s="739"/>
      <c r="F173" s="1794">
        <v>315521</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14548783</v>
      </c>
    </row>
    <row r="176" spans="1:7" ht="12" customHeight="1" x14ac:dyDescent="0.2">
      <c r="A176" s="1443"/>
      <c r="B176" s="1453"/>
      <c r="C176" s="1454"/>
      <c r="D176" s="1455" t="s">
        <v>2014</v>
      </c>
      <c r="E176" s="1456"/>
      <c r="F176" s="1793">
        <f>'PCTC-OEPP 27-28'!F78-F175</f>
        <v>46273515</v>
      </c>
    </row>
    <row r="177" spans="1:9" ht="12" customHeight="1" x14ac:dyDescent="0.2">
      <c r="A177" s="1443"/>
      <c r="B177" s="1453"/>
      <c r="C177" s="1454"/>
      <c r="D177" s="1455" t="s">
        <v>1794</v>
      </c>
      <c r="E177" s="1456"/>
      <c r="F177" s="1793">
        <f>'Cap Outlay Deprec 26'!I18</f>
        <v>3154845</v>
      </c>
    </row>
    <row r="178" spans="1:9" ht="12" customHeight="1" x14ac:dyDescent="0.2">
      <c r="A178" s="1443"/>
      <c r="B178" s="1453"/>
      <c r="C178" s="1454"/>
      <c r="D178" s="1455" t="s">
        <v>2015</v>
      </c>
      <c r="E178" s="1456"/>
      <c r="F178" s="1793">
        <f>F176+F177</f>
        <v>49428360</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3387.4</v>
      </c>
      <c r="G179" s="763"/>
      <c r="I179" s="701"/>
    </row>
    <row r="180" spans="1:9" ht="12" customHeight="1" thickBot="1" x14ac:dyDescent="0.25">
      <c r="A180" s="1443"/>
      <c r="B180" s="1457"/>
      <c r="C180" s="1454"/>
      <c r="D180" s="1455" t="s">
        <v>2017</v>
      </c>
      <c r="E180" s="1456" t="s">
        <v>1531</v>
      </c>
      <c r="F180" s="1798">
        <f>F178/F179</f>
        <v>14591.828541063942</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4" zoomScaleNormal="100" workbookViewId="0">
      <selection activeCell="A38" sqref="A38"/>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2" t="s">
        <v>1795</v>
      </c>
      <c r="B4" s="2383"/>
      <c r="C4" s="2383"/>
      <c r="D4" s="2383"/>
      <c r="E4" s="2383"/>
      <c r="F4" s="2384"/>
    </row>
    <row r="5" spans="1:6" x14ac:dyDescent="0.25">
      <c r="A5" s="2385"/>
      <c r="B5" s="2386"/>
      <c r="C5" s="2386"/>
      <c r="D5" s="2386"/>
      <c r="E5" s="2386"/>
      <c r="F5" s="2387"/>
    </row>
    <row r="6" spans="1:6" ht="18.75" x14ac:dyDescent="0.25">
      <c r="A6" s="1867" t="s">
        <v>1796</v>
      </c>
      <c r="B6" s="1868"/>
      <c r="C6" s="1869"/>
      <c r="D6" s="1869"/>
      <c r="E6" s="1869"/>
      <c r="F6" s="1870"/>
    </row>
    <row r="7" spans="1:6" ht="47.25" customHeight="1" x14ac:dyDescent="0.25">
      <c r="A7" s="2388" t="s">
        <v>1985</v>
      </c>
      <c r="B7" s="2389"/>
      <c r="C7" s="2389"/>
      <c r="D7" s="2389"/>
      <c r="E7" s="2389"/>
      <c r="F7" s="2390"/>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91" t="s">
        <v>1981</v>
      </c>
      <c r="B10" s="2392"/>
      <c r="C10" s="2392"/>
      <c r="D10" s="2392"/>
      <c r="E10" s="2392"/>
      <c r="F10" s="2393"/>
    </row>
    <row r="11" spans="1:6" ht="33" customHeight="1" x14ac:dyDescent="0.25">
      <c r="A11" s="2388" t="s">
        <v>1986</v>
      </c>
      <c r="B11" s="2389"/>
      <c r="C11" s="2389"/>
      <c r="D11" s="2389"/>
      <c r="E11" s="2389"/>
      <c r="F11" s="2390"/>
    </row>
    <row r="12" spans="1:6" ht="15" customHeight="1" x14ac:dyDescent="0.25">
      <c r="A12" s="1873" t="s">
        <v>1982</v>
      </c>
      <c r="B12" s="1874"/>
      <c r="C12" s="1875"/>
      <c r="D12" s="1875"/>
      <c r="E12" s="1875"/>
      <c r="F12" s="1876"/>
    </row>
    <row r="13" spans="1:6" ht="17.25" customHeight="1" x14ac:dyDescent="0.25">
      <c r="A13" s="2388" t="s">
        <v>1983</v>
      </c>
      <c r="B13" s="2389"/>
      <c r="C13" s="2389"/>
      <c r="D13" s="2389"/>
      <c r="E13" s="2389"/>
      <c r="F13" s="2390"/>
    </row>
    <row r="14" spans="1:6" ht="15" customHeight="1" x14ac:dyDescent="0.25">
      <c r="A14" s="1873" t="s">
        <v>1800</v>
      </c>
      <c r="B14" s="1874"/>
      <c r="C14" s="1875"/>
      <c r="D14" s="1875"/>
      <c r="E14" s="1875"/>
      <c r="F14" s="1876"/>
    </row>
    <row r="15" spans="1:6" ht="32.25" customHeight="1" x14ac:dyDescent="0.25">
      <c r="A15" s="237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0"/>
      <c r="C15" s="2380"/>
      <c r="D15" s="2380"/>
      <c r="E15" s="2380"/>
      <c r="F15" s="2381"/>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1914"/>
      <c r="B18" s="1908"/>
      <c r="C18" s="1915"/>
      <c r="D18" s="1886"/>
      <c r="E18" s="1906">
        <f t="shared" ref="E18:E81" si="0">IF(D18&lt;25000,D18,"25,000")</f>
        <v>0</v>
      </c>
      <c r="F18" s="1906" t="str">
        <f t="shared" ref="F18:F81" si="1">IF(D18&gt;=25000,(D18-E18),"0")</f>
        <v>0</v>
      </c>
      <c r="G18" s="1887"/>
    </row>
    <row r="19" spans="1:7" x14ac:dyDescent="0.25">
      <c r="A19" s="2039" t="s">
        <v>2181</v>
      </c>
      <c r="B19" s="1908">
        <v>102540300</v>
      </c>
      <c r="C19" s="2040" t="s">
        <v>2182</v>
      </c>
      <c r="D19" s="1886">
        <v>8894</v>
      </c>
      <c r="E19" s="1906">
        <f t="shared" si="0"/>
        <v>8894</v>
      </c>
      <c r="F19" s="1906" t="str">
        <f t="shared" si="1"/>
        <v>0</v>
      </c>
    </row>
    <row r="20" spans="1:7" x14ac:dyDescent="0.25">
      <c r="A20" s="2039" t="s">
        <v>2183</v>
      </c>
      <c r="B20" s="1908">
        <v>102540300</v>
      </c>
      <c r="C20" s="2040" t="s">
        <v>2182</v>
      </c>
      <c r="D20" s="1886">
        <v>68061</v>
      </c>
      <c r="E20" s="1906" t="str">
        <f t="shared" si="0"/>
        <v>25,000</v>
      </c>
      <c r="F20" s="1906">
        <f t="shared" si="1"/>
        <v>43061</v>
      </c>
    </row>
    <row r="21" spans="1:7" x14ac:dyDescent="0.25">
      <c r="A21" s="1888"/>
      <c r="B21" s="1908"/>
      <c r="C21" s="2038"/>
      <c r="D21" s="1886"/>
      <c r="E21" s="1906">
        <f t="shared" si="0"/>
        <v>0</v>
      </c>
      <c r="F21" s="1906" t="str">
        <f t="shared" si="1"/>
        <v>0</v>
      </c>
    </row>
    <row r="22" spans="1:7" x14ac:dyDescent="0.25">
      <c r="A22" s="2039" t="s">
        <v>2183</v>
      </c>
      <c r="B22" s="1908">
        <v>102200300</v>
      </c>
      <c r="C22" s="2040" t="s">
        <v>2184</v>
      </c>
      <c r="D22" s="1886">
        <v>310</v>
      </c>
      <c r="E22" s="1906">
        <f t="shared" si="0"/>
        <v>310</v>
      </c>
      <c r="F22" s="1906" t="str">
        <f t="shared" si="1"/>
        <v>0</v>
      </c>
    </row>
    <row r="23" spans="1:7" x14ac:dyDescent="0.25">
      <c r="A23" s="2039" t="s">
        <v>2181</v>
      </c>
      <c r="B23" s="1908">
        <v>202540300</v>
      </c>
      <c r="C23" s="2040" t="s">
        <v>2184</v>
      </c>
      <c r="D23" s="1886">
        <v>1230342</v>
      </c>
      <c r="E23" s="1906" t="str">
        <f t="shared" si="0"/>
        <v>25,000</v>
      </c>
      <c r="F23" s="1906">
        <f t="shared" si="1"/>
        <v>1205342</v>
      </c>
    </row>
    <row r="24" spans="1:7" x14ac:dyDescent="0.25">
      <c r="A24" s="1888"/>
      <c r="B24" s="1908"/>
      <c r="C24" s="1885"/>
      <c r="D24" s="1886"/>
      <c r="E24" s="1906">
        <f t="shared" si="0"/>
        <v>0</v>
      </c>
      <c r="F24" s="1906" t="str">
        <f t="shared" si="1"/>
        <v>0</v>
      </c>
    </row>
    <row r="25" spans="1:7" x14ac:dyDescent="0.25">
      <c r="A25" s="2039" t="s">
        <v>2185</v>
      </c>
      <c r="B25" s="1908">
        <v>102560300</v>
      </c>
      <c r="C25" s="2040" t="s">
        <v>2186</v>
      </c>
      <c r="D25" s="1886">
        <v>25941</v>
      </c>
      <c r="E25" s="1906" t="str">
        <f t="shared" si="0"/>
        <v>25,000</v>
      </c>
      <c r="F25" s="1906">
        <f t="shared" si="1"/>
        <v>941</v>
      </c>
    </row>
    <row r="26" spans="1:7" x14ac:dyDescent="0.25">
      <c r="A26" s="2039"/>
      <c r="B26" s="1908"/>
      <c r="C26" s="1885"/>
      <c r="D26" s="1886"/>
      <c r="E26" s="1906">
        <f t="shared" si="0"/>
        <v>0</v>
      </c>
      <c r="F26" s="1906" t="str">
        <f t="shared" si="1"/>
        <v>0</v>
      </c>
    </row>
    <row r="27" spans="1:7" x14ac:dyDescent="0.25">
      <c r="A27" s="2039" t="s">
        <v>2185</v>
      </c>
      <c r="B27" s="1908">
        <v>102560300</v>
      </c>
      <c r="C27" s="2040" t="s">
        <v>2187</v>
      </c>
      <c r="D27" s="1886">
        <v>1694694</v>
      </c>
      <c r="E27" s="1906" t="str">
        <f t="shared" si="0"/>
        <v>25,000</v>
      </c>
      <c r="F27" s="1906">
        <f t="shared" si="1"/>
        <v>1669694</v>
      </c>
    </row>
    <row r="28" spans="1:7" x14ac:dyDescent="0.25">
      <c r="A28" s="1888"/>
      <c r="B28" s="1908">
        <v>103000300</v>
      </c>
      <c r="C28" s="2040" t="s">
        <v>2187</v>
      </c>
      <c r="D28" s="1886">
        <v>23389</v>
      </c>
      <c r="E28" s="1906">
        <f t="shared" si="0"/>
        <v>23389</v>
      </c>
      <c r="F28" s="1906" t="str">
        <f t="shared" si="1"/>
        <v>0</v>
      </c>
    </row>
    <row r="29" spans="1:7" x14ac:dyDescent="0.25">
      <c r="A29" s="1888"/>
      <c r="B29" s="1908"/>
      <c r="C29" s="1889"/>
      <c r="D29" s="1886"/>
      <c r="E29" s="1906">
        <f t="shared" si="0"/>
        <v>0</v>
      </c>
      <c r="F29" s="1906" t="str">
        <f t="shared" si="1"/>
        <v>0</v>
      </c>
    </row>
    <row r="30" spans="1:7" x14ac:dyDescent="0.25">
      <c r="A30" s="2039" t="s">
        <v>2188</v>
      </c>
      <c r="B30" s="1908">
        <v>402550300</v>
      </c>
      <c r="C30" s="2040" t="s">
        <v>2189</v>
      </c>
      <c r="D30" s="1886">
        <v>2117041</v>
      </c>
      <c r="E30" s="1906" t="str">
        <f t="shared" si="0"/>
        <v>25,000</v>
      </c>
      <c r="F30" s="1906">
        <f t="shared" si="1"/>
        <v>2092041</v>
      </c>
    </row>
    <row r="31" spans="1:7" x14ac:dyDescent="0.25">
      <c r="A31" s="1888"/>
      <c r="B31" s="1908"/>
      <c r="C31" s="1889"/>
      <c r="D31" s="1886"/>
      <c r="E31" s="1906">
        <f t="shared" si="0"/>
        <v>0</v>
      </c>
      <c r="F31" s="1906" t="str">
        <f t="shared" si="1"/>
        <v>0</v>
      </c>
    </row>
    <row r="32" spans="1:7" x14ac:dyDescent="0.25">
      <c r="A32" s="2039" t="s">
        <v>2190</v>
      </c>
      <c r="B32" s="1908">
        <v>102100300</v>
      </c>
      <c r="C32" s="2040" t="s">
        <v>2191</v>
      </c>
      <c r="D32" s="1886">
        <v>208970</v>
      </c>
      <c r="E32" s="1906" t="str">
        <f t="shared" si="0"/>
        <v>25,000</v>
      </c>
      <c r="F32" s="1906">
        <f t="shared" si="1"/>
        <v>183970</v>
      </c>
    </row>
    <row r="33" spans="1:6" x14ac:dyDescent="0.25">
      <c r="A33" s="1888"/>
      <c r="B33" s="1908"/>
      <c r="C33" s="1889"/>
      <c r="D33" s="1886"/>
      <c r="E33" s="1906">
        <f t="shared" si="0"/>
        <v>0</v>
      </c>
      <c r="F33" s="1906" t="str">
        <f t="shared" si="1"/>
        <v>0</v>
      </c>
    </row>
    <row r="34" spans="1:6" x14ac:dyDescent="0.25">
      <c r="A34" s="2039" t="s">
        <v>2192</v>
      </c>
      <c r="B34" s="1908">
        <v>102520400</v>
      </c>
      <c r="C34" s="2040" t="s">
        <v>2193</v>
      </c>
      <c r="D34" s="1886">
        <v>38784</v>
      </c>
      <c r="E34" s="1906" t="str">
        <f t="shared" si="0"/>
        <v>25,000</v>
      </c>
      <c r="F34" s="1906">
        <f t="shared" si="1"/>
        <v>13784</v>
      </c>
    </row>
    <row r="35" spans="1:6" x14ac:dyDescent="0.25">
      <c r="A35" s="1888"/>
      <c r="B35" s="1908">
        <v>102200300</v>
      </c>
      <c r="C35" s="2040" t="s">
        <v>2193</v>
      </c>
      <c r="D35" s="1886">
        <v>61074</v>
      </c>
      <c r="E35" s="1906" t="str">
        <f t="shared" si="0"/>
        <v>25,000</v>
      </c>
      <c r="F35" s="1906">
        <f t="shared" si="1"/>
        <v>36074</v>
      </c>
    </row>
    <row r="36" spans="1:6" x14ac:dyDescent="0.25">
      <c r="A36" s="1888"/>
      <c r="B36" s="1908"/>
      <c r="C36" s="1889"/>
      <c r="D36" s="1886"/>
      <c r="E36" s="1906">
        <f t="shared" si="0"/>
        <v>0</v>
      </c>
      <c r="F36" s="1906" t="str">
        <f t="shared" si="1"/>
        <v>0</v>
      </c>
    </row>
    <row r="37" spans="1:6" x14ac:dyDescent="0.25">
      <c r="A37" s="2039" t="s">
        <v>2194</v>
      </c>
      <c r="B37" s="1908">
        <v>402550300</v>
      </c>
      <c r="C37" s="2040" t="s">
        <v>2195</v>
      </c>
      <c r="D37" s="1886">
        <v>179143</v>
      </c>
      <c r="E37" s="1906" t="str">
        <f t="shared" si="0"/>
        <v>25,000</v>
      </c>
      <c r="F37" s="1906">
        <f t="shared" si="1"/>
        <v>154143</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5656643</v>
      </c>
      <c r="E142" s="1893">
        <f>SUM(E18:E141)</f>
        <v>32593</v>
      </c>
      <c r="F142" s="1894">
        <f>SUM(F18:F141)</f>
        <v>5399050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4" t="s">
        <v>1663</v>
      </c>
      <c r="B5" s="2395"/>
      <c r="C5" s="2395"/>
      <c r="D5" s="2395"/>
      <c r="E5" s="2395"/>
      <c r="F5" s="2395"/>
      <c r="G5" s="2396"/>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0"/>
      <c r="C11" s="2400"/>
      <c r="D11" s="2401"/>
      <c r="E11" s="1801">
        <v>125439</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35645595</v>
      </c>
      <c r="F19" s="1802"/>
      <c r="G19" s="1804">
        <f>'Expenditures 15-22'!K33-SUM('Expenditures 15-22'!G33,'Expenditures 15-22'!I33)+'Expenditures 15-22'!D229</f>
        <v>35645595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7988340</v>
      </c>
      <c r="F21" s="1805"/>
      <c r="G21" s="1808">
        <f>'Expenditures 15-22'!K42-SUM('Expenditures 15-22'!G42,'Expenditures 15-22'!I42)+'Expenditures 15-22'!K120-SUM('Expenditures 15-22'!G120,'Expenditures 15-22'!I120)+'Expenditures 15-22'!K180-SUM('Expenditures 15-22'!G180,'Expenditures 15-22'!I180)+'Expenditures 15-22'!D238</f>
        <v>7988340</v>
      </c>
      <c r="H21" s="817"/>
      <c r="I21" s="157"/>
    </row>
    <row r="22" spans="1:9" s="542" customFormat="1" ht="12" customHeight="1" x14ac:dyDescent="0.2">
      <c r="A22" s="824" t="s">
        <v>560</v>
      </c>
      <c r="B22" s="825"/>
      <c r="C22" s="823">
        <v>2200</v>
      </c>
      <c r="D22" s="1805"/>
      <c r="E22" s="1807">
        <f>'Expenditures 15-22'!K47-SUM('Expenditures 15-22'!G47,'Expenditures 15-22'!I47)+'Expenditures 15-22'!D243</f>
        <v>2608407</v>
      </c>
      <c r="F22" s="1805"/>
      <c r="G22" s="1808">
        <f>'Expenditures 15-22'!K47-SUM('Expenditures 15-22'!G47,'Expenditures 15-22'!I47)+'Expenditures 15-22'!D243</f>
        <v>2608407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2198610</v>
      </c>
      <c r="F23" s="1805"/>
      <c r="G23" s="1807">
        <f>'Expenditures 15-22'!K53-SUM('Expenditures 15-22'!G53,'Expenditures 15-22'!I53)+'Expenditures 15-22'!D257+'Expenditures 15-22'!K330-SUM('Expenditures 15-22'!G330,'Expenditures 15-22'!I330)</f>
        <v>2198610</v>
      </c>
      <c r="H23" s="817"/>
      <c r="I23" s="157"/>
    </row>
    <row r="24" spans="1:9" s="542" customFormat="1" ht="12" customHeight="1" x14ac:dyDescent="0.2">
      <c r="A24" s="824" t="s">
        <v>562</v>
      </c>
      <c r="B24" s="825"/>
      <c r="C24" s="823">
        <v>2400</v>
      </c>
      <c r="D24" s="1805"/>
      <c r="E24" s="1807">
        <f>'Expenditures 15-22'!K57-SUM('Expenditures 15-22'!G57,'Expenditures 15-22'!I57)+'Expenditures 15-22'!D261</f>
        <v>3146736</v>
      </c>
      <c r="F24" s="1805"/>
      <c r="G24" s="1808">
        <f>'Expenditures 15-22'!K57-SUM('Expenditures 15-22'!G57,'Expenditures 15-22'!I57)+'Expenditures 15-22'!D261</f>
        <v>3146736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233682</v>
      </c>
      <c r="E26" s="1807">
        <f>'Expenditures 15-22'!K122-SUM('Expenditures 15-22'!G122,'Expenditures 15-22'!I122)+E7</f>
        <v>0</v>
      </c>
      <c r="F26" s="1807">
        <f>'Expenditures 15-22'!K59-SUM('Expenditures 15-22'!G59,'Expenditures 15-22'!I59)+'Expenditures 15-22'!D263-E7</f>
        <v>233682</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437097</v>
      </c>
      <c r="E27" s="1807">
        <f>E8</f>
        <v>0</v>
      </c>
      <c r="F27" s="1807">
        <f>'Expenditures 15-22'!K60-SUM('Expenditures 15-22'!G60,'Expenditures 15-22'!I60)+'Expenditures 15-22'!D264-E8</f>
        <v>437097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5000227</v>
      </c>
      <c r="F28" s="1809">
        <f>'Expenditures 15-22'!K61-SUM('Expenditures 15-22'!G61,'Expenditures 15-22'!I61)+'Expenditures 15-22'!K124-SUM('Expenditures 15-22'!G124,'Expenditures 15-22'!I124)+'Expenditures 15-22'!D266-E9</f>
        <v>5000227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1000</v>
      </c>
      <c r="F29" s="1805"/>
      <c r="G29" s="1808">
        <f>'Expenditures 15-22'!K62-SUM('Expenditures 15-22'!G62,'Expenditures 15-22'!I62)+'Expenditures 15-22'!K125-SUM('Expenditures 15-22'!G125,'Expenditures 15-22'!I125)+'Expenditures 15-22'!K182-SUM('Expenditures 15-22'!G182,'Expenditures 15-22'!I182)+'Expenditures 15-22'!D267</f>
        <v>1000</v>
      </c>
      <c r="H29" s="815"/>
    </row>
    <row r="30" spans="1:9" ht="12" customHeight="1" x14ac:dyDescent="0.2">
      <c r="A30" s="824" t="s">
        <v>100</v>
      </c>
      <c r="B30" s="827"/>
      <c r="C30" s="823">
        <v>2560</v>
      </c>
      <c r="D30" s="1805"/>
      <c r="E30" s="1807">
        <f>'Expenditures 15-22'!K63-SUM('Expenditures 15-22'!G63,'Expenditures 15-22'!I63)+'Expenditures 15-22'!D268-E10</f>
        <v>1952545</v>
      </c>
      <c r="F30" s="1805"/>
      <c r="G30" s="1807">
        <f>'Expenditures 15-22'!K63-SUM('Expenditures 15-22'!G63,'Expenditures 15-22'!I63)+'Expenditures 15-22'!D268-E10</f>
        <v>1952545</v>
      </c>
    </row>
    <row r="31" spans="1:9" ht="12" customHeight="1" x14ac:dyDescent="0.2">
      <c r="A31" s="824" t="s">
        <v>101</v>
      </c>
      <c r="B31" s="827"/>
      <c r="C31" s="823">
        <v>2570</v>
      </c>
      <c r="D31" s="1807">
        <f>'Expenditures 15-22'!K64-SUM('Expenditures 15-22'!G64,'Expenditures 15-22'!I64)+'Expenditures 15-22'!D269-E12</f>
        <v>453592</v>
      </c>
      <c r="E31" s="1807">
        <f>E12</f>
        <v>0</v>
      </c>
      <c r="F31" s="1807">
        <f>'Expenditures 15-22'!K64-SUM('Expenditures 15-22'!G64,'Expenditures 15-22'!I64)+'Expenditures 15-22'!D269-E12</f>
        <v>453592</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806356</v>
      </c>
      <c r="F34" s="1805"/>
      <c r="G34" s="1807">
        <f>'Expenditures 15-22'!K68-SUM('Expenditures 15-22'!G68,'Expenditures 15-22'!I68)+'Expenditures 15-22'!D273</f>
        <v>806356</v>
      </c>
    </row>
    <row r="35" spans="1:7" ht="12" customHeight="1" x14ac:dyDescent="0.2">
      <c r="A35" s="824" t="s">
        <v>1054</v>
      </c>
      <c r="B35" s="827"/>
      <c r="C35" s="823">
        <v>2630</v>
      </c>
      <c r="D35" s="1805"/>
      <c r="E35" s="1807">
        <f>'Expenditures 15-22'!K69-SUM('Expenditures 15-22'!G69,'Expenditures 15-22'!I69)+'Expenditures 15-22'!D274</f>
        <v>36343</v>
      </c>
      <c r="F35" s="1805"/>
      <c r="G35" s="1807">
        <f>'Expenditures 15-22'!K69-SUM('Expenditures 15-22'!G69,'Expenditures 15-22'!I69)+'Expenditures 15-22'!D274</f>
        <v>36343</v>
      </c>
    </row>
    <row r="36" spans="1:7" ht="12" customHeight="1" x14ac:dyDescent="0.2">
      <c r="A36" s="824" t="s">
        <v>400</v>
      </c>
      <c r="B36" s="827"/>
      <c r="C36" s="823">
        <v>2640</v>
      </c>
      <c r="D36" s="1807">
        <f>'Expenditures 15-22'!K70-SUM('Expenditures 15-22'!G70,'Expenditures 15-22'!I70)+'Expenditures 15-22'!D275-E13</f>
        <v>776490</v>
      </c>
      <c r="E36" s="1807">
        <f>E13</f>
        <v>0</v>
      </c>
      <c r="F36" s="1807">
        <f>'Expenditures 15-22'!K70-SUM('Expenditures 15-22'!G70,'Expenditures 15-22'!I70)+'Expenditures 15-22'!D275-E13</f>
        <v>776490</v>
      </c>
      <c r="G36" s="1807">
        <f>E13</f>
        <v>0</v>
      </c>
    </row>
    <row r="37" spans="1:7" ht="12" customHeight="1" x14ac:dyDescent="0.2">
      <c r="A37" s="824" t="s">
        <v>401</v>
      </c>
      <c r="B37" s="827"/>
      <c r="C37" s="823">
        <v>2660</v>
      </c>
      <c r="D37" s="1807">
        <f>'Expenditures 15-22'!K71-SUM('Expenditures 15-22'!G71,'Expenditures 15-22'!I71)+'Expenditures 15-22'!D276-E14</f>
        <v>15272</v>
      </c>
      <c r="E37" s="1807">
        <f>E14</f>
        <v>0</v>
      </c>
      <c r="F37" s="1807">
        <f>'Expenditures 15-22'!K71-SUM('Expenditures 15-22'!G71,'Expenditures 15-22'!I71)+'Expenditures 15-22'!D276-E14</f>
        <v>15272</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197929</v>
      </c>
      <c r="F38" s="1805"/>
      <c r="G38" s="1807">
        <f>'Expenditures 15-22'!K73-SUM('Expenditures 15-22'!G73,'Expenditures 15-22'!I73)+'Expenditures 15-22'!K128-SUM('Expenditures 15-22'!G128,'Expenditures 15-22'!I128)+'Expenditures 15-22'!K183-SUM('Expenditures 15-22'!G183,'Expenditures 15-22'!I183)+'Expenditures 15-22'!D278</f>
        <v>197929</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1599710</v>
      </c>
      <c r="F39" s="1805"/>
      <c r="G39" s="1807">
        <f>'Expenditures 15-22'!K75-SUM('Expenditures 15-22'!G75,'Expenditures 15-22'!I75)+'Expenditures 15-22'!K130-SUM('Expenditures 15-22'!G130,'Expenditures 15-22'!I130)+'Expenditures 15-22'!K185-SUM('Expenditures 15-22'!G185,'Expenditures 15-22'!I185)+'Expenditures 15-22'!D280</f>
        <v>1599710</v>
      </c>
    </row>
    <row r="40" spans="1:7" ht="12" customHeight="1" x14ac:dyDescent="0.2">
      <c r="A40" s="820" t="s">
        <v>1798</v>
      </c>
      <c r="B40" s="821"/>
      <c r="C40" s="823"/>
      <c r="D40" s="1805"/>
      <c r="E40" s="1809">
        <f>-'Contracts Paid in CY 29'!F142</f>
        <v>-5399050</v>
      </c>
      <c r="F40" s="1805"/>
      <c r="G40" s="1809">
        <f>-'Contracts Paid in CY 29'!F142</f>
        <v>-5399050</v>
      </c>
    </row>
    <row r="41" spans="1:7" ht="12" customHeight="1" x14ac:dyDescent="0.2">
      <c r="A41" s="828" t="s">
        <v>155</v>
      </c>
      <c r="B41" s="829"/>
      <c r="C41" s="830"/>
      <c r="D41" s="1809">
        <f>SUM(D19:D39)</f>
        <v>1916133</v>
      </c>
      <c r="E41" s="1809">
        <f>SUM(E19:E40)</f>
        <v>55782748</v>
      </c>
      <c r="F41" s="1809">
        <f>SUM(F19:F39)</f>
        <v>6916360</v>
      </c>
      <c r="G41" s="1809">
        <f>SUM(G19:G40)</f>
        <v>50782521</v>
      </c>
    </row>
    <row r="42" spans="1:7" x14ac:dyDescent="0.2">
      <c r="A42" s="817"/>
      <c r="B42" s="157"/>
      <c r="C42" s="831"/>
      <c r="D42" s="2397" t="s">
        <v>519</v>
      </c>
      <c r="E42" s="2398"/>
      <c r="F42" s="832" t="s">
        <v>520</v>
      </c>
      <c r="G42" s="833"/>
    </row>
    <row r="43" spans="1:7" ht="12" customHeight="1" x14ac:dyDescent="0.2">
      <c r="A43" s="817"/>
      <c r="B43" s="157"/>
      <c r="C43" s="831"/>
      <c r="D43" s="1458" t="s">
        <v>470</v>
      </c>
      <c r="E43" s="1810">
        <f>D41</f>
        <v>1916133</v>
      </c>
      <c r="F43" s="1458" t="s">
        <v>470</v>
      </c>
      <c r="G43" s="1810">
        <f>F41</f>
        <v>6916360</v>
      </c>
    </row>
    <row r="44" spans="1:7" ht="12" customHeight="1" x14ac:dyDescent="0.2">
      <c r="A44" s="817"/>
      <c r="B44" s="157"/>
      <c r="C44" s="831"/>
      <c r="D44" s="1458" t="s">
        <v>471</v>
      </c>
      <c r="E44" s="1810">
        <f>E41</f>
        <v>55782748</v>
      </c>
      <c r="F44" s="1458" t="s">
        <v>471</v>
      </c>
      <c r="G44" s="1810">
        <f>G41</f>
        <v>50782521</v>
      </c>
    </row>
    <row r="45" spans="1:7" ht="12" customHeight="1" x14ac:dyDescent="0.2">
      <c r="A45" s="817"/>
      <c r="B45" s="157"/>
      <c r="C45" s="157"/>
      <c r="D45" s="1459" t="s">
        <v>999</v>
      </c>
      <c r="E45" s="1811">
        <f>(E43/E44)</f>
        <v>3.4349921233711903E-2</v>
      </c>
      <c r="F45" s="1459" t="s">
        <v>999</v>
      </c>
      <c r="G45" s="1811">
        <f>(G43/G44)</f>
        <v>0.13619568039956109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B1" zoomScale="110" zoomScaleNormal="110" workbookViewId="0">
      <selection activeCell="C20" sqref="C20"/>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5" t="s">
        <v>1365</v>
      </c>
      <c r="B1" s="2405"/>
      <c r="C1" s="2405"/>
      <c r="D1" s="2405"/>
      <c r="E1" s="2405"/>
      <c r="F1" s="2405"/>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6" t="s">
        <v>1532</v>
      </c>
      <c r="B5" s="2407"/>
      <c r="C5" s="2408"/>
      <c r="D5" s="2408"/>
      <c r="E5" s="2408"/>
      <c r="F5" s="2408"/>
      <c r="G5" s="1507"/>
      <c r="L5" s="1507"/>
      <c r="M5" s="1855"/>
      <c r="N5" s="1855"/>
      <c r="O5" s="1855"/>
    </row>
    <row r="6" spans="1:15" ht="12" customHeight="1" x14ac:dyDescent="0.25">
      <c r="A6" s="1480"/>
      <c r="B6" s="1481"/>
      <c r="C6" s="2409" t="str">
        <f>COVER!A17</f>
        <v xml:space="preserve"> Urbana SD 116</v>
      </c>
      <c r="D6" s="2409"/>
      <c r="E6" s="2409"/>
      <c r="F6" s="1482"/>
      <c r="G6" s="1507"/>
      <c r="L6" s="1507"/>
      <c r="M6" s="1855"/>
      <c r="N6" s="1855"/>
      <c r="O6" s="1855"/>
    </row>
    <row r="7" spans="1:15" ht="11.25" customHeight="1" thickBot="1" x14ac:dyDescent="0.3">
      <c r="A7" s="1480"/>
      <c r="B7" s="1481"/>
      <c r="C7" s="2410">
        <f>COVER!A13</f>
        <v>9010116022</v>
      </c>
      <c r="D7" s="2410"/>
      <c r="E7" s="2410"/>
      <c r="F7" s="1482"/>
      <c r="G7" s="1507"/>
      <c r="L7" s="1507"/>
      <c r="M7" s="1855"/>
      <c r="N7" s="1855"/>
      <c r="O7" s="1855"/>
    </row>
    <row r="8" spans="1:15" ht="25.5" customHeight="1" thickBot="1" x14ac:dyDescent="0.25">
      <c r="A8" s="1519" t="s">
        <v>1874</v>
      </c>
      <c r="B8" s="1483" t="s">
        <v>2048</v>
      </c>
      <c r="C8" s="1515" t="s">
        <v>1665</v>
      </c>
      <c r="D8" s="1514" t="s">
        <v>1666</v>
      </c>
      <c r="E8" s="1516" t="s">
        <v>1366</v>
      </c>
      <c r="F8" s="1514" t="s">
        <v>1667</v>
      </c>
      <c r="G8" s="1507"/>
      <c r="H8" s="1484" t="b">
        <v>0</v>
      </c>
      <c r="L8" s="1507"/>
      <c r="M8" s="1855"/>
      <c r="N8" s="1855"/>
      <c r="O8" s="1855"/>
    </row>
    <row r="9" spans="1:15" ht="15.75" customHeight="1" x14ac:dyDescent="0.2">
      <c r="A9" s="1485" t="s">
        <v>1528</v>
      </c>
      <c r="B9" s="1486"/>
      <c r="C9" s="1487"/>
      <c r="D9" s="1487"/>
      <c r="E9" s="1488"/>
      <c r="F9" s="1489"/>
      <c r="G9" s="1507"/>
      <c r="L9" s="1507"/>
      <c r="M9" s="1855"/>
      <c r="N9" s="1855"/>
      <c r="O9" s="1855"/>
    </row>
    <row r="10" spans="1:15" ht="27.75" customHeight="1" x14ac:dyDescent="0.2">
      <c r="A10" s="1490" t="s">
        <v>1664</v>
      </c>
      <c r="B10" s="1491"/>
      <c r="C10" s="1492"/>
      <c r="D10" s="1492"/>
      <c r="E10" s="1517" t="s">
        <v>1367</v>
      </c>
      <c r="F10" s="1518" t="s">
        <v>1368</v>
      </c>
      <c r="G10" s="1507"/>
      <c r="L10" s="1507"/>
      <c r="M10" s="1855"/>
      <c r="N10" s="1855"/>
      <c r="O10" s="1855"/>
    </row>
    <row r="11" spans="1:15" ht="12" customHeight="1" x14ac:dyDescent="0.2">
      <c r="A11" s="1493" t="s">
        <v>1369</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1370</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1371</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1372</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1373</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1374</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1375</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1376</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1513</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1514</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1515</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1516</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1517</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1518</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1519</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1520</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1521</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1522</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1523</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1524</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1525</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1526</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1527</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1378</v>
      </c>
      <c r="B35" s="1501"/>
      <c r="C35" s="2411"/>
      <c r="D35" s="2411"/>
      <c r="E35" s="2411"/>
      <c r="F35" s="2412"/>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16"/>
      <c r="B38" s="2417"/>
      <c r="C38" s="2417"/>
      <c r="D38" s="2417"/>
      <c r="E38" s="2417"/>
      <c r="F38" s="2418"/>
    </row>
    <row r="39" spans="1:15" ht="4.5" hidden="1" customHeight="1" x14ac:dyDescent="0.2">
      <c r="A39" s="1502"/>
      <c r="B39" s="1502"/>
      <c r="C39" s="1502"/>
      <c r="D39" s="1502"/>
      <c r="E39" s="1502"/>
      <c r="F39" s="1502"/>
    </row>
    <row r="40" spans="1:15" s="1499" customFormat="1" ht="12" customHeight="1" x14ac:dyDescent="0.25">
      <c r="A40" s="1503" t="s">
        <v>1377</v>
      </c>
      <c r="B40" s="1504"/>
      <c r="C40" s="2419"/>
      <c r="D40" s="2419"/>
      <c r="E40" s="2419"/>
      <c r="F40" s="2420"/>
      <c r="H40" s="1508"/>
      <c r="I40" s="1508"/>
      <c r="J40" s="1508"/>
      <c r="K40" s="1508"/>
    </row>
    <row r="41" spans="1:15" s="1499" customFormat="1" ht="12" customHeight="1" x14ac:dyDescent="0.25">
      <c r="A41" s="2421"/>
      <c r="B41" s="2422"/>
      <c r="C41" s="2422"/>
      <c r="D41" s="2422"/>
      <c r="E41" s="2422"/>
      <c r="F41" s="2423"/>
      <c r="H41" s="1508"/>
      <c r="I41" s="1508"/>
      <c r="J41" s="1508"/>
      <c r="K41" s="1508"/>
    </row>
    <row r="42" spans="1:15" s="1499" customFormat="1" ht="12" customHeight="1" x14ac:dyDescent="0.25">
      <c r="A42" s="2421"/>
      <c r="B42" s="2422"/>
      <c r="C42" s="2422"/>
      <c r="D42" s="2422"/>
      <c r="E42" s="2422"/>
      <c r="F42" s="2423"/>
      <c r="H42" s="1508"/>
      <c r="I42" s="1508"/>
      <c r="J42" s="1508"/>
      <c r="K42" s="1508"/>
    </row>
    <row r="43" spans="1:15" s="1499" customFormat="1" ht="15" x14ac:dyDescent="0.25">
      <c r="A43" s="2413"/>
      <c r="B43" s="2414"/>
      <c r="C43" s="2414"/>
      <c r="D43" s="2414"/>
      <c r="E43" s="2414"/>
      <c r="F43" s="2415"/>
      <c r="H43" s="1508"/>
      <c r="I43" s="1508"/>
      <c r="J43" s="1508"/>
      <c r="K43" s="1508"/>
    </row>
    <row r="44" spans="1:15" s="1499" customFormat="1" ht="12" hidden="1" customHeight="1" x14ac:dyDescent="0.25">
      <c r="A44" s="2413"/>
      <c r="B44" s="2414"/>
      <c r="C44" s="2414"/>
      <c r="D44" s="2414"/>
      <c r="E44" s="2414"/>
      <c r="F44" s="2415"/>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D34" zoomScaleNormal="100" workbookViewId="0">
      <selection activeCell="I71" sqref="I71"/>
    </sheetView>
  </sheetViews>
  <sheetFormatPr defaultColWidth="9.140625" defaultRowHeight="12.75" x14ac:dyDescent="0.2"/>
  <cols>
    <col min="1" max="1" width="2.85546875" style="1923" customWidth="1"/>
    <col min="2" max="2" width="3" style="1923" customWidth="1"/>
    <col min="3" max="3" width="48.5703125" style="1923" customWidth="1"/>
    <col min="4" max="4" width="7.42578125" style="1923" customWidth="1"/>
    <col min="5" max="5" width="11.28515625" style="1923" customWidth="1"/>
    <col min="6" max="6" width="10.85546875" style="1923" customWidth="1"/>
    <col min="7" max="8" width="9.140625" style="1923"/>
    <col min="9" max="9" width="11.140625" style="1923" customWidth="1"/>
    <col min="10" max="10" width="10.85546875" style="1923" customWidth="1"/>
    <col min="11" max="11" width="9.140625" style="1923"/>
    <col min="12" max="12" width="14.140625" style="1923" customWidth="1"/>
    <col min="13" max="13" width="9.140625" style="1923"/>
    <col min="14" max="14" width="18.7109375" style="1923" customWidth="1"/>
    <col min="15" max="16384" width="9.140625" style="1923"/>
  </cols>
  <sheetData>
    <row r="1" spans="1:14" x14ac:dyDescent="0.2">
      <c r="A1" s="1981"/>
      <c r="B1" s="1982"/>
      <c r="C1" s="1982"/>
      <c r="D1" s="1982"/>
      <c r="E1" s="1982"/>
      <c r="F1" s="1982"/>
      <c r="G1" s="1997" t="s">
        <v>402</v>
      </c>
      <c r="H1" s="1998"/>
      <c r="I1" s="1982"/>
      <c r="J1" s="1982"/>
      <c r="K1" s="1982"/>
      <c r="L1" s="1982"/>
      <c r="M1" s="1982"/>
      <c r="N1" s="1983"/>
    </row>
    <row r="2" spans="1:14" x14ac:dyDescent="0.2">
      <c r="A2" s="1999"/>
      <c r="B2" s="838"/>
      <c r="C2" s="838"/>
      <c r="D2" s="838"/>
      <c r="E2" s="838"/>
      <c r="F2" s="838"/>
      <c r="G2" s="1925" t="s">
        <v>2002</v>
      </c>
      <c r="H2" s="1922"/>
      <c r="I2" s="838"/>
      <c r="J2" s="838"/>
      <c r="K2" s="838"/>
      <c r="L2" s="838"/>
      <c r="M2" s="838"/>
      <c r="N2" s="2000"/>
    </row>
    <row r="3" spans="1:14" x14ac:dyDescent="0.2">
      <c r="A3" s="1999"/>
      <c r="B3" s="838"/>
      <c r="C3" s="838"/>
      <c r="D3" s="838"/>
      <c r="E3" s="838"/>
      <c r="F3" s="838"/>
      <c r="G3" s="1925" t="s">
        <v>403</v>
      </c>
      <c r="H3" s="838"/>
      <c r="I3" s="838"/>
      <c r="J3" s="838"/>
      <c r="K3" s="838"/>
      <c r="L3" s="838"/>
      <c r="M3" s="838"/>
      <c r="N3" s="2000"/>
    </row>
    <row r="4" spans="1:14" x14ac:dyDescent="0.2">
      <c r="A4" s="1999"/>
      <c r="B4" s="838"/>
      <c r="C4" s="838"/>
      <c r="D4" s="838"/>
      <c r="E4" s="838"/>
      <c r="F4" s="838"/>
      <c r="G4" s="1925" t="s">
        <v>863</v>
      </c>
      <c r="H4" s="838"/>
      <c r="I4" s="838"/>
      <c r="J4" s="838"/>
      <c r="K4" s="838"/>
      <c r="L4" s="838"/>
      <c r="M4" s="838"/>
      <c r="N4" s="2000"/>
    </row>
    <row r="5" spans="1:14" x14ac:dyDescent="0.2">
      <c r="A5" s="1999"/>
      <c r="B5" s="838"/>
      <c r="C5" s="838"/>
      <c r="D5" s="838"/>
      <c r="E5" s="838"/>
      <c r="F5" s="1925"/>
      <c r="G5" s="1925"/>
      <c r="H5" s="838"/>
      <c r="I5" s="838"/>
      <c r="J5" s="838"/>
      <c r="K5" s="838"/>
      <c r="L5" s="838"/>
      <c r="M5" s="838"/>
      <c r="N5" s="2000"/>
    </row>
    <row r="6" spans="1:14" x14ac:dyDescent="0.2">
      <c r="A6" s="2001" t="s">
        <v>667</v>
      </c>
      <c r="B6" s="1377"/>
      <c r="C6" s="1377"/>
      <c r="D6" s="1377"/>
      <c r="E6" s="1378"/>
      <c r="F6" s="1924"/>
      <c r="G6" s="1925"/>
      <c r="H6" s="838"/>
      <c r="I6" s="1926" t="s">
        <v>1021</v>
      </c>
      <c r="J6" s="2425" t="str">
        <f>COVER!A17</f>
        <v xml:space="preserve"> Urbana SD 116</v>
      </c>
      <c r="K6" s="2425"/>
      <c r="L6" s="2426"/>
      <c r="M6" s="838"/>
      <c r="N6" s="2000"/>
    </row>
    <row r="7" spans="1:14" x14ac:dyDescent="0.2">
      <c r="A7" s="2427" t="s">
        <v>864</v>
      </c>
      <c r="B7" s="2428"/>
      <c r="C7" s="2428"/>
      <c r="D7" s="2428"/>
      <c r="E7" s="2429"/>
      <c r="F7" s="839"/>
      <c r="G7" s="838"/>
      <c r="H7" s="838"/>
      <c r="I7" s="1926" t="s">
        <v>369</v>
      </c>
      <c r="J7" s="2430">
        <f>COVER!A13</f>
        <v>9010116022</v>
      </c>
      <c r="K7" s="2430"/>
      <c r="L7" s="2430"/>
      <c r="M7" s="838"/>
      <c r="N7" s="2000"/>
    </row>
    <row r="8" spans="1:14" x14ac:dyDescent="0.2">
      <c r="A8" s="2002"/>
      <c r="B8" s="1927"/>
      <c r="C8" s="1927"/>
      <c r="D8" s="1927"/>
      <c r="E8" s="1928"/>
      <c r="F8" s="1929"/>
      <c r="G8" s="1912"/>
      <c r="H8" s="1912"/>
      <c r="I8" s="1912"/>
      <c r="J8" s="1912"/>
      <c r="K8" s="1912"/>
      <c r="L8" s="1912"/>
      <c r="M8" s="838"/>
      <c r="N8" s="2000"/>
    </row>
    <row r="9" spans="1:14" x14ac:dyDescent="0.2">
      <c r="A9" s="2003"/>
      <c r="B9" s="840"/>
      <c r="C9" s="840"/>
      <c r="D9" s="841"/>
      <c r="E9" s="1930" t="s">
        <v>2018</v>
      </c>
      <c r="F9" s="1857"/>
      <c r="G9" s="1857"/>
      <c r="H9" s="1857"/>
      <c r="I9" s="1931" t="s">
        <v>2019</v>
      </c>
      <c r="J9" s="1857"/>
      <c r="K9" s="1857"/>
      <c r="L9" s="1858"/>
      <c r="M9" s="838"/>
      <c r="N9" s="2000"/>
    </row>
    <row r="10" spans="1:14" x14ac:dyDescent="0.2">
      <c r="A10" s="2004"/>
      <c r="B10" s="1932"/>
      <c r="C10" s="1933"/>
      <c r="D10" s="1934"/>
      <c r="E10" s="1935" t="s">
        <v>422</v>
      </c>
      <c r="F10" s="1936" t="s">
        <v>423</v>
      </c>
      <c r="G10" s="1937" t="s">
        <v>429</v>
      </c>
      <c r="H10" s="1938"/>
      <c r="I10" s="1936" t="s">
        <v>422</v>
      </c>
      <c r="J10" s="1936" t="s">
        <v>423</v>
      </c>
      <c r="K10" s="1937" t="s">
        <v>429</v>
      </c>
      <c r="L10" s="1936"/>
      <c r="M10" s="838"/>
      <c r="N10" s="2000"/>
    </row>
    <row r="11" spans="1:14" ht="51" x14ac:dyDescent="0.2">
      <c r="A11" s="2431" t="s">
        <v>478</v>
      </c>
      <c r="B11" s="2432"/>
      <c r="C11" s="2433"/>
      <c r="D11" s="1939" t="s">
        <v>866</v>
      </c>
      <c r="E11" s="1939" t="s">
        <v>64</v>
      </c>
      <c r="F11" s="1939" t="s">
        <v>6</v>
      </c>
      <c r="G11" s="1940" t="s">
        <v>2020</v>
      </c>
      <c r="H11" s="1941" t="s">
        <v>155</v>
      </c>
      <c r="I11" s="1939" t="s">
        <v>64</v>
      </c>
      <c r="J11" s="1939" t="s">
        <v>6</v>
      </c>
      <c r="K11" s="1940" t="s">
        <v>2001</v>
      </c>
      <c r="L11" s="1941" t="s">
        <v>155</v>
      </c>
      <c r="M11" s="838"/>
      <c r="N11" s="2000"/>
    </row>
    <row r="12" spans="1:14" x14ac:dyDescent="0.2">
      <c r="A12" s="2005">
        <v>1</v>
      </c>
      <c r="B12" s="1942" t="s">
        <v>813</v>
      </c>
      <c r="C12" s="842"/>
      <c r="D12" s="1943">
        <v>2320</v>
      </c>
      <c r="E12" s="1946">
        <f>'Expenditures 15-22'!K50</f>
        <v>474038</v>
      </c>
      <c r="F12" s="1944"/>
      <c r="G12" s="1970">
        <f>G68</f>
        <v>0</v>
      </c>
      <c r="H12" s="1946">
        <f t="shared" ref="H12:H18" si="0">SUM(E12:G12)</f>
        <v>474038</v>
      </c>
      <c r="I12" s="1945">
        <v>329803</v>
      </c>
      <c r="J12" s="1944"/>
      <c r="K12" s="1945"/>
      <c r="L12" s="1946">
        <f t="shared" ref="L12:L18" si="1">SUM(I12:K12)</f>
        <v>329803</v>
      </c>
      <c r="M12" s="838"/>
      <c r="N12" s="2000"/>
    </row>
    <row r="13" spans="1:14" x14ac:dyDescent="0.2">
      <c r="A13" s="2005">
        <v>2</v>
      </c>
      <c r="B13" s="1942" t="s">
        <v>42</v>
      </c>
      <c r="C13" s="842"/>
      <c r="D13" s="1943">
        <v>2330</v>
      </c>
      <c r="E13" s="1946">
        <f>'Expenditures 15-22'!K51</f>
        <v>826298</v>
      </c>
      <c r="F13" s="1944"/>
      <c r="G13" s="1970">
        <f>H68</f>
        <v>0</v>
      </c>
      <c r="H13" s="1946">
        <f t="shared" si="0"/>
        <v>826298</v>
      </c>
      <c r="I13" s="1945">
        <v>863433</v>
      </c>
      <c r="J13" s="1944"/>
      <c r="K13" s="1945"/>
      <c r="L13" s="1946">
        <f t="shared" si="1"/>
        <v>863433</v>
      </c>
      <c r="M13" s="838"/>
      <c r="N13" s="2000"/>
    </row>
    <row r="14" spans="1:14" x14ac:dyDescent="0.2">
      <c r="A14" s="2005">
        <v>3</v>
      </c>
      <c r="B14" s="1942" t="s">
        <v>43</v>
      </c>
      <c r="C14" s="842"/>
      <c r="D14" s="1947">
        <v>2490</v>
      </c>
      <c r="E14" s="1946">
        <f>'Expenditures 15-22'!K56</f>
        <v>0</v>
      </c>
      <c r="F14" s="1944"/>
      <c r="G14" s="1970">
        <f>I68</f>
        <v>0</v>
      </c>
      <c r="H14" s="1946">
        <f t="shared" si="0"/>
        <v>0</v>
      </c>
      <c r="I14" s="1945"/>
      <c r="J14" s="1944"/>
      <c r="K14" s="1945"/>
      <c r="L14" s="1946">
        <f t="shared" si="1"/>
        <v>0</v>
      </c>
      <c r="M14" s="838"/>
      <c r="N14" s="2000"/>
    </row>
    <row r="15" spans="1:14" x14ac:dyDescent="0.2">
      <c r="A15" s="2005">
        <v>4</v>
      </c>
      <c r="B15" s="1942" t="s">
        <v>1061</v>
      </c>
      <c r="C15" s="842"/>
      <c r="D15" s="1943">
        <v>2510</v>
      </c>
      <c r="E15" s="1946">
        <f>'Expenditures 15-22'!K59</f>
        <v>200945</v>
      </c>
      <c r="F15" s="1946">
        <f>'Expenditures 15-22'!K122</f>
        <v>0</v>
      </c>
      <c r="G15" s="1970">
        <f>J68</f>
        <v>0</v>
      </c>
      <c r="H15" s="1946">
        <f t="shared" si="0"/>
        <v>200945</v>
      </c>
      <c r="I15" s="1945">
        <v>204315</v>
      </c>
      <c r="J15" s="1945"/>
      <c r="K15" s="1945"/>
      <c r="L15" s="1946">
        <f t="shared" si="1"/>
        <v>204315</v>
      </c>
      <c r="M15" s="838"/>
      <c r="N15" s="2000"/>
    </row>
    <row r="16" spans="1:14" x14ac:dyDescent="0.2">
      <c r="A16" s="2005">
        <v>5</v>
      </c>
      <c r="B16" s="1942" t="s">
        <v>101</v>
      </c>
      <c r="C16" s="842"/>
      <c r="D16" s="1943">
        <v>2570</v>
      </c>
      <c r="E16" s="1946">
        <f>'Expenditures 15-22'!K64</f>
        <v>425298</v>
      </c>
      <c r="F16" s="1944"/>
      <c r="G16" s="1970">
        <f>K68</f>
        <v>0</v>
      </c>
      <c r="H16" s="1946">
        <f t="shared" si="0"/>
        <v>425298</v>
      </c>
      <c r="I16" s="1945">
        <v>422807</v>
      </c>
      <c r="J16" s="1944"/>
      <c r="K16" s="1945"/>
      <c r="L16" s="1946">
        <f t="shared" si="1"/>
        <v>422807</v>
      </c>
      <c r="M16" s="838"/>
      <c r="N16" s="2000"/>
    </row>
    <row r="17" spans="1:14" x14ac:dyDescent="0.2">
      <c r="A17" s="2005">
        <v>6</v>
      </c>
      <c r="B17" s="1942" t="s">
        <v>1053</v>
      </c>
      <c r="C17" s="842"/>
      <c r="D17" s="1943">
        <v>2610</v>
      </c>
      <c r="E17" s="1946">
        <f>'Expenditures 15-22'!K67</f>
        <v>0</v>
      </c>
      <c r="F17" s="1944"/>
      <c r="G17" s="1970">
        <f>L68</f>
        <v>0</v>
      </c>
      <c r="H17" s="1946">
        <f t="shared" si="0"/>
        <v>0</v>
      </c>
      <c r="I17" s="1945"/>
      <c r="J17" s="1944"/>
      <c r="K17" s="1945"/>
      <c r="L17" s="1946">
        <f t="shared" si="1"/>
        <v>0</v>
      </c>
      <c r="M17" s="838"/>
      <c r="N17" s="2000"/>
    </row>
    <row r="18" spans="1:14" ht="26.25" customHeight="1" x14ac:dyDescent="0.2">
      <c r="A18" s="2006">
        <v>7</v>
      </c>
      <c r="B18" s="2434" t="s">
        <v>7</v>
      </c>
      <c r="C18" s="2435"/>
      <c r="D18" s="2436"/>
      <c r="E18" s="1948"/>
      <c r="F18" s="1948"/>
      <c r="G18" s="1945"/>
      <c r="H18" s="1949">
        <f t="shared" si="0"/>
        <v>0</v>
      </c>
      <c r="I18" s="1945"/>
      <c r="J18" s="1945"/>
      <c r="K18" s="1945"/>
      <c r="L18" s="1946">
        <f t="shared" si="1"/>
        <v>0</v>
      </c>
      <c r="M18" s="838"/>
      <c r="N18" s="2000"/>
    </row>
    <row r="19" spans="1:14" ht="13.5" thickBot="1" x14ac:dyDescent="0.25">
      <c r="A19" s="2005">
        <v>8</v>
      </c>
      <c r="B19" s="1950" t="s">
        <v>1153</v>
      </c>
      <c r="C19" s="838"/>
      <c r="D19" s="1951"/>
      <c r="E19" s="1952">
        <f t="shared" ref="E19:L19" si="2">SUM(E12:E17)-E18</f>
        <v>1926579</v>
      </c>
      <c r="F19" s="1952">
        <f t="shared" si="2"/>
        <v>0</v>
      </c>
      <c r="G19" s="1952">
        <f t="shared" ref="G19" si="3">SUM(G12:G17)-G18</f>
        <v>0</v>
      </c>
      <c r="H19" s="1952">
        <f t="shared" si="2"/>
        <v>1926579</v>
      </c>
      <c r="I19" s="1952">
        <f t="shared" si="2"/>
        <v>1820358</v>
      </c>
      <c r="J19" s="1952">
        <f t="shared" si="2"/>
        <v>0</v>
      </c>
      <c r="K19" s="1952">
        <f t="shared" si="2"/>
        <v>0</v>
      </c>
      <c r="L19" s="1952">
        <f t="shared" si="2"/>
        <v>1820358</v>
      </c>
      <c r="M19" s="838"/>
      <c r="N19" s="2000"/>
    </row>
    <row r="20" spans="1:14" ht="13.5" thickTop="1" x14ac:dyDescent="0.2">
      <c r="A20" s="2005">
        <v>9</v>
      </c>
      <c r="B20" s="2437" t="s">
        <v>2021</v>
      </c>
      <c r="C20" s="2437"/>
      <c r="D20" s="2438"/>
      <c r="E20" s="1953"/>
      <c r="F20" s="1953"/>
      <c r="G20" s="1953"/>
      <c r="H20" s="1953"/>
      <c r="I20" s="1953"/>
      <c r="J20" s="1953"/>
      <c r="K20" s="1953"/>
      <c r="L20" s="1954">
        <f>IF(AND(H19&gt;0,L19&gt;0),(((L19-H19)/H19)),"Enter Budget Data")</f>
        <v>-5.5134515636265112E-2</v>
      </c>
      <c r="M20" s="838"/>
      <c r="N20" s="2000"/>
    </row>
    <row r="21" spans="1:14" x14ac:dyDescent="0.2">
      <c r="A21" s="2007" t="s">
        <v>194</v>
      </c>
      <c r="B21" s="2008" t="s">
        <v>2046</v>
      </c>
      <c r="C21" s="838"/>
      <c r="D21" s="1955"/>
      <c r="E21" s="1956"/>
      <c r="F21" s="1957"/>
      <c r="G21" s="1957"/>
      <c r="H21" s="1957"/>
      <c r="I21" s="1957"/>
      <c r="J21" s="1957"/>
      <c r="K21" s="1957"/>
      <c r="L21" s="1958"/>
      <c r="M21" s="838"/>
      <c r="N21" s="2000"/>
    </row>
    <row r="22" spans="1:14" x14ac:dyDescent="0.2">
      <c r="A22" s="1999"/>
      <c r="B22" s="2009"/>
      <c r="C22" s="838"/>
      <c r="D22" s="838"/>
      <c r="E22" s="838"/>
      <c r="F22" s="838"/>
      <c r="G22" s="838"/>
      <c r="H22" s="838"/>
      <c r="I22" s="838"/>
      <c r="J22" s="838"/>
      <c r="K22" s="838"/>
      <c r="L22" s="838"/>
      <c r="M22" s="838"/>
      <c r="N22" s="2000"/>
    </row>
    <row r="23" spans="1:14" x14ac:dyDescent="0.2">
      <c r="A23" s="2010" t="s">
        <v>132</v>
      </c>
      <c r="B23" s="2009"/>
      <c r="C23" s="838"/>
      <c r="D23" s="838"/>
      <c r="E23" s="838"/>
      <c r="F23" s="838"/>
      <c r="G23" s="838"/>
      <c r="H23" s="838"/>
      <c r="I23" s="838"/>
      <c r="J23" s="838"/>
      <c r="K23" s="838"/>
      <c r="L23" s="838"/>
      <c r="M23" s="838"/>
      <c r="N23" s="2000"/>
    </row>
    <row r="24" spans="1:14" x14ac:dyDescent="0.2">
      <c r="A24" s="2011" t="s">
        <v>2022</v>
      </c>
      <c r="B24" s="2012"/>
      <c r="C24" s="2013"/>
      <c r="D24" s="2013"/>
      <c r="E24" s="2013"/>
      <c r="F24" s="2013"/>
      <c r="G24" s="2013"/>
      <c r="H24" s="2013"/>
      <c r="I24" s="2013"/>
      <c r="J24" s="2013"/>
      <c r="K24" s="2013"/>
      <c r="L24" s="838"/>
      <c r="M24" s="838"/>
      <c r="N24" s="2000"/>
    </row>
    <row r="25" spans="1:14" x14ac:dyDescent="0.2">
      <c r="A25" s="2011" t="s">
        <v>2023</v>
      </c>
      <c r="B25" s="2012"/>
      <c r="C25" s="2013"/>
      <c r="D25" s="2013"/>
      <c r="E25" s="2013"/>
      <c r="F25" s="2013"/>
      <c r="G25" s="2013"/>
      <c r="H25" s="2013"/>
      <c r="I25" s="2013"/>
      <c r="J25" s="2013"/>
      <c r="K25" s="2013"/>
      <c r="L25" s="838"/>
      <c r="M25" s="838"/>
      <c r="N25" s="2000"/>
    </row>
    <row r="26" spans="1:14" x14ac:dyDescent="0.2">
      <c r="A26" s="2014"/>
      <c r="B26" s="2009"/>
      <c r="C26" s="838"/>
      <c r="D26" s="838"/>
      <c r="E26" s="838"/>
      <c r="F26" s="838"/>
      <c r="G26" s="838"/>
      <c r="H26" s="838"/>
      <c r="I26" s="838"/>
      <c r="J26" s="838"/>
      <c r="K26" s="838"/>
      <c r="L26" s="838"/>
      <c r="M26" s="838"/>
      <c r="N26" s="2000"/>
    </row>
    <row r="27" spans="1:14" x14ac:dyDescent="0.2">
      <c r="A27" s="1999"/>
      <c r="B27" s="2009"/>
      <c r="C27" s="2439"/>
      <c r="D27" s="2439"/>
      <c r="E27" s="843"/>
      <c r="F27" s="2440"/>
      <c r="G27" s="2440"/>
      <c r="H27" s="2440"/>
      <c r="I27" s="838"/>
      <c r="J27" s="838"/>
      <c r="K27" s="838"/>
      <c r="L27" s="838"/>
      <c r="M27" s="838"/>
      <c r="N27" s="2000"/>
    </row>
    <row r="28" spans="1:14" x14ac:dyDescent="0.2">
      <c r="A28" s="1999"/>
      <c r="B28" s="2009"/>
      <c r="C28" s="1959" t="s">
        <v>1026</v>
      </c>
      <c r="D28" s="844"/>
      <c r="E28" s="1960"/>
      <c r="F28" s="2441" t="s">
        <v>1495</v>
      </c>
      <c r="G28" s="2441"/>
      <c r="H28" s="2441"/>
      <c r="I28" s="838"/>
      <c r="J28" s="838"/>
      <c r="K28" s="838"/>
      <c r="L28" s="838"/>
      <c r="M28" s="838"/>
      <c r="N28" s="2000"/>
    </row>
    <row r="29" spans="1:14" x14ac:dyDescent="0.2">
      <c r="A29" s="1999"/>
      <c r="B29" s="2009"/>
      <c r="C29" s="2442"/>
      <c r="D29" s="2442"/>
      <c r="E29" s="845"/>
      <c r="F29" s="2442"/>
      <c r="G29" s="2442"/>
      <c r="H29" s="2442"/>
      <c r="I29" s="838"/>
      <c r="J29" s="838"/>
      <c r="K29" s="838"/>
      <c r="L29" s="838"/>
      <c r="M29" s="838"/>
      <c r="N29" s="2000"/>
    </row>
    <row r="30" spans="1:14" x14ac:dyDescent="0.2">
      <c r="A30" s="1999"/>
      <c r="B30" s="2009"/>
      <c r="C30" s="1962" t="s">
        <v>1547</v>
      </c>
      <c r="D30" s="838"/>
      <c r="E30" s="1961"/>
      <c r="F30" s="2424" t="s">
        <v>1496</v>
      </c>
      <c r="G30" s="2424"/>
      <c r="H30" s="2424"/>
      <c r="I30" s="838"/>
      <c r="J30" s="838"/>
      <c r="K30" s="838"/>
      <c r="L30" s="838"/>
      <c r="M30" s="838"/>
      <c r="N30" s="2000"/>
    </row>
    <row r="31" spans="1:14" x14ac:dyDescent="0.2">
      <c r="A31" s="1999"/>
      <c r="B31" s="2009"/>
      <c r="C31" s="2015"/>
      <c r="D31" s="838"/>
      <c r="E31" s="1955"/>
      <c r="F31" s="1956"/>
      <c r="G31" s="1956"/>
      <c r="H31" s="1956"/>
      <c r="I31" s="838"/>
      <c r="J31" s="838"/>
      <c r="K31" s="838"/>
      <c r="L31" s="838"/>
      <c r="M31" s="838"/>
      <c r="N31" s="2000"/>
    </row>
    <row r="32" spans="1:14" x14ac:dyDescent="0.2">
      <c r="A32" s="1999"/>
      <c r="B32" s="2016" t="s">
        <v>1027</v>
      </c>
      <c r="C32" s="838"/>
      <c r="D32" s="838"/>
      <c r="E32" s="838"/>
      <c r="F32" s="838"/>
      <c r="G32" s="838"/>
      <c r="H32" s="838"/>
      <c r="I32" s="838"/>
      <c r="J32" s="838"/>
      <c r="K32" s="838"/>
      <c r="L32" s="838"/>
      <c r="M32" s="838"/>
      <c r="N32" s="2000"/>
    </row>
    <row r="33" spans="1:14" x14ac:dyDescent="0.2">
      <c r="A33" s="1999"/>
      <c r="B33" s="2017"/>
      <c r="C33" s="838"/>
      <c r="D33" s="838"/>
      <c r="E33" s="838"/>
      <c r="F33" s="838"/>
      <c r="G33" s="838"/>
      <c r="H33" s="838"/>
      <c r="I33" s="838"/>
      <c r="J33" s="838"/>
      <c r="K33" s="838"/>
      <c r="L33" s="838"/>
      <c r="M33" s="838"/>
      <c r="N33" s="2000"/>
    </row>
    <row r="34" spans="1:14" x14ac:dyDescent="0.2">
      <c r="A34" s="1999"/>
      <c r="B34" s="846"/>
      <c r="C34" s="2445" t="s">
        <v>2024</v>
      </c>
      <c r="D34" s="2446"/>
      <c r="E34" s="2446"/>
      <c r="F34" s="2446"/>
      <c r="G34" s="2446"/>
      <c r="H34" s="2446"/>
      <c r="I34" s="2446"/>
      <c r="J34" s="2446"/>
      <c r="K34" s="2018"/>
      <c r="L34" s="838"/>
      <c r="M34" s="838"/>
      <c r="N34" s="2000"/>
    </row>
    <row r="35" spans="1:14" x14ac:dyDescent="0.2">
      <c r="A35" s="1999"/>
      <c r="B35" s="838"/>
      <c r="C35" s="2446"/>
      <c r="D35" s="2446"/>
      <c r="E35" s="2446"/>
      <c r="F35" s="2446"/>
      <c r="G35" s="2446"/>
      <c r="H35" s="2446"/>
      <c r="I35" s="2446"/>
      <c r="J35" s="2446"/>
      <c r="K35" s="2018"/>
      <c r="L35" s="838"/>
      <c r="M35" s="838"/>
      <c r="N35" s="2000"/>
    </row>
    <row r="36" spans="1:14" x14ac:dyDescent="0.2">
      <c r="A36" s="1999"/>
      <c r="B36" s="838"/>
      <c r="C36" s="2019"/>
      <c r="D36" s="838"/>
      <c r="E36" s="838"/>
      <c r="F36" s="838"/>
      <c r="G36" s="838"/>
      <c r="H36" s="838"/>
      <c r="I36" s="838"/>
      <c r="J36" s="838"/>
      <c r="K36" s="838"/>
      <c r="L36" s="838"/>
      <c r="M36" s="838"/>
      <c r="N36" s="2000"/>
    </row>
    <row r="37" spans="1:14" x14ac:dyDescent="0.2">
      <c r="A37" s="1999"/>
      <c r="B37" s="846"/>
      <c r="C37" s="2445" t="s">
        <v>2025</v>
      </c>
      <c r="D37" s="2446"/>
      <c r="E37" s="2446"/>
      <c r="F37" s="2446"/>
      <c r="G37" s="2446"/>
      <c r="H37" s="2446"/>
      <c r="I37" s="2446"/>
      <c r="J37" s="2446"/>
      <c r="K37" s="2018"/>
      <c r="L37" s="2020"/>
      <c r="M37" s="838"/>
      <c r="N37" s="2000"/>
    </row>
    <row r="38" spans="1:14" x14ac:dyDescent="0.2">
      <c r="A38" s="1999"/>
      <c r="B38" s="838"/>
      <c r="C38" s="2446"/>
      <c r="D38" s="2446"/>
      <c r="E38" s="2446"/>
      <c r="F38" s="2446"/>
      <c r="G38" s="2446"/>
      <c r="H38" s="2446"/>
      <c r="I38" s="2446"/>
      <c r="J38" s="2446"/>
      <c r="K38" s="2018"/>
      <c r="L38" s="2020"/>
      <c r="M38" s="838"/>
      <c r="N38" s="2000"/>
    </row>
    <row r="39" spans="1:14" x14ac:dyDescent="0.2">
      <c r="A39" s="1999"/>
      <c r="B39" s="838"/>
      <c r="C39" s="2019"/>
      <c r="D39" s="838"/>
      <c r="E39" s="1963"/>
      <c r="F39" s="1964"/>
      <c r="G39" s="1964"/>
      <c r="H39" s="1963"/>
      <c r="I39" s="838"/>
      <c r="J39" s="838"/>
      <c r="K39" s="838"/>
      <c r="L39" s="838"/>
      <c r="M39" s="838"/>
      <c r="N39" s="2000"/>
    </row>
    <row r="40" spans="1:14" x14ac:dyDescent="0.2">
      <c r="A40" s="1999"/>
      <c r="B40" s="846"/>
      <c r="C40" s="2447" t="s">
        <v>2026</v>
      </c>
      <c r="D40" s="2448"/>
      <c r="E40" s="2448"/>
      <c r="F40" s="2448"/>
      <c r="G40" s="2448"/>
      <c r="H40" s="2448"/>
      <c r="I40" s="2448"/>
      <c r="J40" s="2448"/>
      <c r="K40" s="1965"/>
      <c r="L40" s="838"/>
      <c r="M40" s="838"/>
      <c r="N40" s="2000"/>
    </row>
    <row r="41" spans="1:14" x14ac:dyDescent="0.2">
      <c r="A41" s="1999"/>
      <c r="B41" s="838"/>
      <c r="C41" s="2021"/>
      <c r="D41" s="2021"/>
      <c r="E41" s="2021"/>
      <c r="F41" s="2021"/>
      <c r="G41" s="2021"/>
      <c r="H41" s="2021"/>
      <c r="I41" s="2021"/>
      <c r="J41" s="2021"/>
      <c r="K41" s="2021"/>
      <c r="L41" s="838"/>
      <c r="M41" s="838"/>
      <c r="N41" s="2000"/>
    </row>
    <row r="42" spans="1:14" ht="13.5" thickBot="1" x14ac:dyDescent="0.25">
      <c r="A42" s="2022"/>
      <c r="B42" s="2023"/>
      <c r="C42" s="2023"/>
      <c r="D42" s="2023"/>
      <c r="E42" s="2023"/>
      <c r="F42" s="2023"/>
      <c r="G42" s="2023"/>
      <c r="H42" s="2023"/>
      <c r="I42" s="2023"/>
      <c r="J42" s="2023"/>
      <c r="K42" s="2023"/>
      <c r="L42" s="2023"/>
      <c r="M42" s="2023"/>
      <c r="N42" s="2024"/>
    </row>
    <row r="43" spans="1:14" ht="27" thickBot="1" x14ac:dyDescent="0.45">
      <c r="A43" s="2449" t="s">
        <v>2027</v>
      </c>
      <c r="B43" s="2450"/>
      <c r="C43" s="2450"/>
      <c r="D43" s="2450"/>
      <c r="E43" s="2450"/>
      <c r="F43" s="2450"/>
      <c r="G43" s="2450"/>
      <c r="H43" s="2450"/>
      <c r="I43" s="2450"/>
      <c r="J43" s="2450"/>
      <c r="K43" s="2450"/>
      <c r="L43" s="2450"/>
      <c r="M43" s="2450"/>
      <c r="N43" s="2451"/>
    </row>
    <row r="44" spans="1:14" x14ac:dyDescent="0.2">
      <c r="A44" s="1984"/>
      <c r="B44" s="1985"/>
      <c r="C44" s="1985"/>
      <c r="D44" s="1985"/>
      <c r="E44" s="1985"/>
      <c r="F44" s="1985"/>
      <c r="G44" s="1985"/>
      <c r="H44" s="1985"/>
      <c r="I44" s="1985"/>
      <c r="J44" s="1985"/>
      <c r="K44" s="1985"/>
      <c r="L44" s="1985"/>
      <c r="M44" s="1985"/>
      <c r="N44" s="1986"/>
    </row>
    <row r="45" spans="1:14" x14ac:dyDescent="0.2">
      <c r="A45" s="1984" t="s">
        <v>2028</v>
      </c>
      <c r="B45" s="1985"/>
      <c r="C45" s="1985"/>
      <c r="D45" s="1985"/>
      <c r="E45" s="1985"/>
      <c r="F45" s="1985"/>
      <c r="G45" s="1985"/>
      <c r="H45" s="1985"/>
      <c r="I45" s="1985"/>
      <c r="J45" s="1985"/>
      <c r="K45" s="1985"/>
      <c r="L45" s="1985"/>
      <c r="M45" s="1985"/>
      <c r="N45" s="1986"/>
    </row>
    <row r="46" spans="1:14" x14ac:dyDescent="0.2">
      <c r="A46" s="2452" t="s">
        <v>2029</v>
      </c>
      <c r="B46" s="2453"/>
      <c r="C46" s="2453"/>
      <c r="D46" s="2453"/>
      <c r="E46" s="2453"/>
      <c r="F46" s="2453"/>
      <c r="G46" s="2453"/>
      <c r="H46" s="2453"/>
      <c r="I46" s="2453"/>
      <c r="J46" s="2453"/>
      <c r="K46" s="2453"/>
      <c r="L46" s="2453"/>
      <c r="M46" s="2453"/>
      <c r="N46" s="2454"/>
    </row>
    <row r="47" spans="1:14" x14ac:dyDescent="0.2">
      <c r="A47" s="2452"/>
      <c r="B47" s="2453"/>
      <c r="C47" s="2453"/>
      <c r="D47" s="2453"/>
      <c r="E47" s="2453"/>
      <c r="F47" s="2453"/>
      <c r="G47" s="2453"/>
      <c r="H47" s="2453"/>
      <c r="I47" s="2453"/>
      <c r="J47" s="2453"/>
      <c r="K47" s="2453"/>
      <c r="L47" s="2453"/>
      <c r="M47" s="2453"/>
      <c r="N47" s="2454"/>
    </row>
    <row r="48" spans="1:14" x14ac:dyDescent="0.2">
      <c r="A48" s="1987"/>
      <c r="B48" s="1985"/>
      <c r="C48" s="1985"/>
      <c r="D48" s="1988"/>
      <c r="E48" s="1988"/>
      <c r="F48" s="1988"/>
      <c r="G48" s="1988"/>
      <c r="H48" s="1988"/>
      <c r="I48" s="1988"/>
      <c r="J48" s="1988"/>
      <c r="K48" s="1988"/>
      <c r="L48" s="1988"/>
      <c r="M48" s="1988"/>
      <c r="N48" s="1989"/>
    </row>
    <row r="49" spans="1:14" s="2029" customFormat="1" ht="15.75" x14ac:dyDescent="0.25">
      <c r="A49" s="2030" t="s">
        <v>2045</v>
      </c>
      <c r="B49" s="2026"/>
      <c r="C49" s="2026"/>
      <c r="D49" s="2027"/>
      <c r="E49" s="2027"/>
      <c r="F49" s="2027"/>
      <c r="G49" s="2027"/>
      <c r="H49" s="2027"/>
      <c r="I49" s="2027"/>
      <c r="J49" s="2027"/>
      <c r="K49" s="2027"/>
      <c r="L49" s="2027"/>
      <c r="M49" s="2027"/>
      <c r="N49" s="2028"/>
    </row>
    <row r="50" spans="1:14" ht="15" x14ac:dyDescent="0.25">
      <c r="A50" s="2030" t="s">
        <v>2044</v>
      </c>
      <c r="B50" s="1985"/>
      <c r="C50" s="1985"/>
      <c r="D50" s="1985"/>
      <c r="E50" s="1985"/>
      <c r="F50" s="1985"/>
      <c r="G50" s="1985"/>
      <c r="H50" s="1985"/>
      <c r="I50" s="1985"/>
      <c r="J50" s="1985"/>
      <c r="K50" s="1985"/>
      <c r="L50" s="1985"/>
      <c r="M50" s="1985"/>
      <c r="N50" s="1986"/>
    </row>
    <row r="51" spans="1:14" x14ac:dyDescent="0.2">
      <c r="A51" s="1984"/>
      <c r="B51" s="1985"/>
      <c r="C51" s="1985"/>
      <c r="D51" s="1985"/>
      <c r="E51" s="1985"/>
      <c r="F51" s="1985"/>
      <c r="G51" s="1985"/>
      <c r="H51" s="1985"/>
      <c r="I51" s="1985"/>
      <c r="J51" s="1985"/>
      <c r="K51" s="1985"/>
      <c r="L51" s="1985"/>
      <c r="M51" s="1985"/>
      <c r="N51" s="1986"/>
    </row>
    <row r="52" spans="1:14" x14ac:dyDescent="0.2">
      <c r="A52" s="1984"/>
      <c r="B52" s="1985"/>
      <c r="C52" s="1985"/>
      <c r="D52" s="1985"/>
      <c r="E52" s="1985"/>
      <c r="F52" s="1985"/>
      <c r="G52" s="1985"/>
      <c r="H52" s="1985"/>
      <c r="I52" s="1985"/>
      <c r="J52" s="1985"/>
      <c r="K52" s="1926" t="s">
        <v>1021</v>
      </c>
      <c r="L52" s="2425" t="str">
        <f>J6</f>
        <v xml:space="preserve"> Urbana SD 116</v>
      </c>
      <c r="M52" s="2425"/>
      <c r="N52" s="2455"/>
    </row>
    <row r="53" spans="1:14" x14ac:dyDescent="0.2">
      <c r="A53" s="1984"/>
      <c r="B53" s="1985"/>
      <c r="C53" s="1985"/>
      <c r="D53" s="1985"/>
      <c r="E53" s="1985"/>
      <c r="F53" s="1985"/>
      <c r="G53" s="1985"/>
      <c r="H53" s="1985"/>
      <c r="I53" s="1985"/>
      <c r="J53" s="1985"/>
      <c r="K53" s="1926" t="s">
        <v>369</v>
      </c>
      <c r="L53" s="2430">
        <f>J7</f>
        <v>9010116022</v>
      </c>
      <c r="M53" s="2430"/>
      <c r="N53" s="2456"/>
    </row>
    <row r="54" spans="1:14" ht="13.5" thickBot="1" x14ac:dyDescent="0.25">
      <c r="A54" s="1984"/>
      <c r="B54" s="1985"/>
      <c r="C54" s="1985"/>
      <c r="D54" s="1985"/>
      <c r="E54" s="1985"/>
      <c r="F54" s="1985"/>
      <c r="G54" s="1985"/>
      <c r="H54" s="1985"/>
      <c r="I54" s="1985"/>
      <c r="J54" s="1985"/>
      <c r="K54" s="1985"/>
      <c r="L54" s="1985"/>
      <c r="M54" s="1985"/>
      <c r="N54" s="1986"/>
    </row>
    <row r="55" spans="1:14" x14ac:dyDescent="0.2">
      <c r="A55" s="2457"/>
      <c r="B55" s="2458"/>
      <c r="C55" s="2458"/>
      <c r="D55" s="1972"/>
      <c r="E55" s="1972"/>
      <c r="F55" s="1972"/>
      <c r="G55" s="2459" t="s">
        <v>2030</v>
      </c>
      <c r="H55" s="2459"/>
      <c r="I55" s="2459"/>
      <c r="J55" s="2459"/>
      <c r="K55" s="2459"/>
      <c r="L55" s="2459"/>
      <c r="M55" s="2459"/>
      <c r="N55" s="2460"/>
    </row>
    <row r="56" spans="1:14" ht="63.75" x14ac:dyDescent="0.2">
      <c r="A56" s="2461" t="s">
        <v>2031</v>
      </c>
      <c r="B56" s="2462"/>
      <c r="C56" s="2463"/>
      <c r="D56" s="1966" t="s">
        <v>2032</v>
      </c>
      <c r="E56" s="1966" t="s">
        <v>2033</v>
      </c>
      <c r="F56" s="1973"/>
      <c r="G56" s="1966" t="s">
        <v>2034</v>
      </c>
      <c r="H56" s="1966" t="s">
        <v>2035</v>
      </c>
      <c r="I56" s="1966" t="s">
        <v>2036</v>
      </c>
      <c r="J56" s="1966" t="s">
        <v>2037</v>
      </c>
      <c r="K56" s="1966" t="s">
        <v>2038</v>
      </c>
      <c r="L56" s="1966" t="s">
        <v>2039</v>
      </c>
      <c r="M56" s="1966" t="s">
        <v>2040</v>
      </c>
      <c r="N56" s="1967" t="s">
        <v>2047</v>
      </c>
    </row>
    <row r="57" spans="1:14" ht="24.75" customHeight="1" x14ac:dyDescent="0.2">
      <c r="A57" s="2464" t="s">
        <v>296</v>
      </c>
      <c r="B57" s="2465"/>
      <c r="C57" s="2465"/>
      <c r="D57" s="1968">
        <v>2361</v>
      </c>
      <c r="E57" s="1978">
        <f>'Expenditures 15-22'!K319</f>
        <v>0</v>
      </c>
      <c r="F57" s="1974"/>
      <c r="G57" s="2031"/>
      <c r="H57" s="2032"/>
      <c r="I57" s="2032"/>
      <c r="J57" s="2032"/>
      <c r="K57" s="2032"/>
      <c r="L57" s="2032"/>
      <c r="M57" s="2032"/>
      <c r="N57" s="1977">
        <f>IF((SUM(G57:M57))=E57,SUM(G57:M57),"Column N does not agree with Column E")</f>
        <v>0</v>
      </c>
    </row>
    <row r="58" spans="1:14" ht="24" customHeight="1" x14ac:dyDescent="0.2">
      <c r="A58" s="2443" t="s">
        <v>2041</v>
      </c>
      <c r="B58" s="2444"/>
      <c r="C58" s="2444"/>
      <c r="D58" s="1969">
        <v>2362</v>
      </c>
      <c r="E58" s="1979">
        <f>'Expenditures 15-22'!K320</f>
        <v>0</v>
      </c>
      <c r="F58" s="1974"/>
      <c r="G58" s="2033"/>
      <c r="H58" s="2034"/>
      <c r="I58" s="2034"/>
      <c r="J58" s="2034"/>
      <c r="K58" s="2034"/>
      <c r="L58" s="2034"/>
      <c r="M58" s="2034"/>
      <c r="N58" s="1977">
        <f>IF((SUM(G58:M58))=E58,SUM(G58:M58),"Column N does not agree with Column E")</f>
        <v>0</v>
      </c>
    </row>
    <row r="59" spans="1:14" ht="24.75" customHeight="1" x14ac:dyDescent="0.2">
      <c r="A59" s="2466" t="s">
        <v>297</v>
      </c>
      <c r="B59" s="2467"/>
      <c r="C59" s="2467"/>
      <c r="D59" s="1969">
        <v>2363</v>
      </c>
      <c r="E59" s="1979">
        <f>'Expenditures 15-22'!K321</f>
        <v>0</v>
      </c>
      <c r="F59" s="1974"/>
      <c r="G59" s="2033"/>
      <c r="H59" s="2034"/>
      <c r="I59" s="2034"/>
      <c r="J59" s="2034"/>
      <c r="K59" s="2034"/>
      <c r="L59" s="2034"/>
      <c r="M59" s="2034"/>
      <c r="N59" s="1977">
        <f>IF((SUM(G59:M59))=E59,SUM(G59:M59),"Column N does not agree with Column E")</f>
        <v>0</v>
      </c>
    </row>
    <row r="60" spans="1:14" ht="24" customHeight="1" x14ac:dyDescent="0.2">
      <c r="A60" s="2466" t="s">
        <v>236</v>
      </c>
      <c r="B60" s="2467"/>
      <c r="C60" s="2467"/>
      <c r="D60" s="1969">
        <v>2364</v>
      </c>
      <c r="E60" s="1979">
        <f>'Expenditures 15-22'!K322</f>
        <v>337886</v>
      </c>
      <c r="F60" s="1974"/>
      <c r="G60" s="2033"/>
      <c r="H60" s="2034"/>
      <c r="I60" s="2034"/>
      <c r="J60" s="2034"/>
      <c r="K60" s="2034"/>
      <c r="L60" s="2034"/>
      <c r="M60" s="2034">
        <v>337886</v>
      </c>
      <c r="N60" s="1977">
        <f t="shared" ref="N60:N67" si="4">IF((SUM(G60:M60))=E60,SUM(G60:M60),"Column N does not agree with Column E")</f>
        <v>337886</v>
      </c>
    </row>
    <row r="61" spans="1:14" ht="24.75" customHeight="1" x14ac:dyDescent="0.2">
      <c r="A61" s="2466" t="s">
        <v>697</v>
      </c>
      <c r="B61" s="2467"/>
      <c r="C61" s="2467"/>
      <c r="D61" s="1969">
        <v>2365</v>
      </c>
      <c r="E61" s="1979">
        <f>'Expenditures 15-22'!K323</f>
        <v>31220</v>
      </c>
      <c r="F61" s="1974"/>
      <c r="G61" s="2033"/>
      <c r="H61" s="2034"/>
      <c r="I61" s="2034"/>
      <c r="J61" s="2034"/>
      <c r="K61" s="2034"/>
      <c r="L61" s="2034"/>
      <c r="M61" s="2034">
        <v>31220</v>
      </c>
      <c r="N61" s="1977">
        <f t="shared" si="4"/>
        <v>31220</v>
      </c>
    </row>
    <row r="62" spans="1:14" ht="24" customHeight="1" x14ac:dyDescent="0.2">
      <c r="A62" s="2466" t="s">
        <v>237</v>
      </c>
      <c r="B62" s="2467"/>
      <c r="C62" s="2467"/>
      <c r="D62" s="1969">
        <v>2366</v>
      </c>
      <c r="E62" s="1979">
        <f>'Expenditures 15-22'!K324</f>
        <v>0</v>
      </c>
      <c r="F62" s="1974"/>
      <c r="G62" s="2033"/>
      <c r="H62" s="2034"/>
      <c r="I62" s="2034"/>
      <c r="J62" s="2034"/>
      <c r="K62" s="2034"/>
      <c r="L62" s="2034"/>
      <c r="M62" s="2034"/>
      <c r="N62" s="1977">
        <f t="shared" si="4"/>
        <v>0</v>
      </c>
    </row>
    <row r="63" spans="1:14" ht="24" customHeight="1" x14ac:dyDescent="0.2">
      <c r="A63" s="2443" t="s">
        <v>1022</v>
      </c>
      <c r="B63" s="2444"/>
      <c r="C63" s="2444"/>
      <c r="D63" s="1969">
        <v>2367</v>
      </c>
      <c r="E63" s="1979">
        <f>'Expenditures 15-22'!K325</f>
        <v>23692</v>
      </c>
      <c r="F63" s="1974"/>
      <c r="G63" s="2033"/>
      <c r="H63" s="2034"/>
      <c r="I63" s="2034"/>
      <c r="J63" s="2034"/>
      <c r="K63" s="2034"/>
      <c r="L63" s="2034"/>
      <c r="M63" s="2034">
        <v>23692</v>
      </c>
      <c r="N63" s="1977">
        <f t="shared" si="4"/>
        <v>23692</v>
      </c>
    </row>
    <row r="64" spans="1:14" ht="24" customHeight="1" x14ac:dyDescent="0.2">
      <c r="A64" s="2466" t="s">
        <v>1023</v>
      </c>
      <c r="B64" s="2467"/>
      <c r="C64" s="2467"/>
      <c r="D64" s="1969">
        <v>2368</v>
      </c>
      <c r="E64" s="1979">
        <f>'Expenditures 15-22'!K326</f>
        <v>0</v>
      </c>
      <c r="F64" s="1974"/>
      <c r="G64" s="2033"/>
      <c r="H64" s="2034"/>
      <c r="I64" s="2034"/>
      <c r="J64" s="2034"/>
      <c r="K64" s="2034"/>
      <c r="L64" s="2034"/>
      <c r="M64" s="2034"/>
      <c r="N64" s="1977">
        <f t="shared" si="4"/>
        <v>0</v>
      </c>
    </row>
    <row r="65" spans="1:14" ht="24" customHeight="1" x14ac:dyDescent="0.2">
      <c r="A65" s="2466" t="s">
        <v>965</v>
      </c>
      <c r="B65" s="2467"/>
      <c r="C65" s="2467"/>
      <c r="D65" s="1969">
        <v>2369</v>
      </c>
      <c r="E65" s="1979">
        <f>'Expenditures 15-22'!K327</f>
        <v>263463</v>
      </c>
      <c r="F65" s="1974"/>
      <c r="G65" s="2033"/>
      <c r="H65" s="2034"/>
      <c r="I65" s="2034"/>
      <c r="J65" s="2034"/>
      <c r="K65" s="2034"/>
      <c r="L65" s="2034"/>
      <c r="M65" s="2034">
        <v>263463</v>
      </c>
      <c r="N65" s="1977">
        <f t="shared" si="4"/>
        <v>263463</v>
      </c>
    </row>
    <row r="66" spans="1:14" ht="24" customHeight="1" x14ac:dyDescent="0.2">
      <c r="A66" s="2466" t="s">
        <v>469</v>
      </c>
      <c r="B66" s="2467"/>
      <c r="C66" s="2467"/>
      <c r="D66" s="1969">
        <v>2371</v>
      </c>
      <c r="E66" s="1979">
        <f>'Expenditures 15-22'!K328</f>
        <v>0</v>
      </c>
      <c r="F66" s="1974"/>
      <c r="G66" s="2033"/>
      <c r="H66" s="2034"/>
      <c r="I66" s="2034"/>
      <c r="J66" s="2034"/>
      <c r="K66" s="2034"/>
      <c r="L66" s="2034"/>
      <c r="M66" s="2034"/>
      <c r="N66" s="1977">
        <f t="shared" si="4"/>
        <v>0</v>
      </c>
    </row>
    <row r="67" spans="1:14" ht="24.75" customHeight="1" x14ac:dyDescent="0.2">
      <c r="A67" s="2468" t="s">
        <v>2042</v>
      </c>
      <c r="B67" s="2469"/>
      <c r="C67" s="2469"/>
      <c r="D67" s="1971">
        <v>2372</v>
      </c>
      <c r="E67" s="1980">
        <f>'Expenditures 15-22'!K329</f>
        <v>0</v>
      </c>
      <c r="F67" s="1974"/>
      <c r="G67" s="2035"/>
      <c r="H67" s="2036"/>
      <c r="I67" s="2036"/>
      <c r="J67" s="2036"/>
      <c r="K67" s="2036"/>
      <c r="L67" s="2036"/>
      <c r="M67" s="2036"/>
      <c r="N67" s="1977">
        <f t="shared" si="4"/>
        <v>0</v>
      </c>
    </row>
    <row r="68" spans="1:14" x14ac:dyDescent="0.2">
      <c r="A68" s="2470" t="s">
        <v>1153</v>
      </c>
      <c r="B68" s="2471"/>
      <c r="C68" s="2471"/>
      <c r="D68" s="1972"/>
      <c r="E68" s="1976">
        <f>SUM(E57:E67)</f>
        <v>656261</v>
      </c>
      <c r="F68" s="1975"/>
      <c r="G68" s="1976">
        <f t="shared" ref="G68:N68" si="5">SUM(G57:G67)</f>
        <v>0</v>
      </c>
      <c r="H68" s="1976">
        <f t="shared" si="5"/>
        <v>0</v>
      </c>
      <c r="I68" s="1976">
        <f t="shared" si="5"/>
        <v>0</v>
      </c>
      <c r="J68" s="1976">
        <f t="shared" si="5"/>
        <v>0</v>
      </c>
      <c r="K68" s="1976">
        <f t="shared" si="5"/>
        <v>0</v>
      </c>
      <c r="L68" s="1976">
        <f t="shared" si="5"/>
        <v>0</v>
      </c>
      <c r="M68" s="1976">
        <f t="shared" si="5"/>
        <v>656261</v>
      </c>
      <c r="N68" s="1990">
        <f t="shared" si="5"/>
        <v>656261</v>
      </c>
    </row>
    <row r="69" spans="1:14" x14ac:dyDescent="0.2">
      <c r="A69" s="1991"/>
      <c r="B69" s="1992"/>
      <c r="C69" s="1992"/>
      <c r="D69" s="1992"/>
      <c r="E69" s="1992"/>
      <c r="F69" s="1992"/>
      <c r="G69" s="1992"/>
      <c r="H69" s="1992"/>
      <c r="I69" s="1992"/>
      <c r="J69" s="1992"/>
      <c r="K69" s="1992"/>
      <c r="L69" s="1992"/>
      <c r="M69" s="1992"/>
      <c r="N69" s="1993"/>
    </row>
    <row r="70" spans="1:14" ht="15.75" x14ac:dyDescent="0.25">
      <c r="A70" s="2025" t="s">
        <v>2043</v>
      </c>
      <c r="B70" s="1992"/>
      <c r="C70" s="1992"/>
      <c r="D70" s="1992"/>
      <c r="E70" s="1992"/>
      <c r="F70" s="1992"/>
      <c r="G70" s="1992"/>
      <c r="H70" s="1992"/>
      <c r="I70" s="1992"/>
      <c r="J70" s="1992"/>
      <c r="K70" s="1992"/>
      <c r="L70" s="1992"/>
      <c r="M70" s="1992"/>
      <c r="N70" s="1993"/>
    </row>
    <row r="71" spans="1:14" x14ac:dyDescent="0.2">
      <c r="A71" s="1991"/>
      <c r="B71" s="1992"/>
      <c r="C71" s="1992"/>
      <c r="D71" s="1992"/>
      <c r="E71" s="1992"/>
      <c r="F71" s="1992"/>
      <c r="G71" s="1992"/>
      <c r="H71" s="1992"/>
      <c r="I71" s="1992"/>
      <c r="J71" s="1992"/>
      <c r="K71" s="1992"/>
      <c r="L71" s="1992"/>
      <c r="M71" s="1992"/>
      <c r="N71" s="1993"/>
    </row>
    <row r="72" spans="1:14" x14ac:dyDescent="0.2">
      <c r="A72" s="1991"/>
      <c r="B72" s="1992"/>
      <c r="C72" s="1992"/>
      <c r="D72" s="1992"/>
      <c r="E72" s="1992"/>
      <c r="F72" s="1992"/>
      <c r="G72" s="1992"/>
      <c r="H72" s="1992"/>
      <c r="I72" s="1992"/>
      <c r="J72" s="1992"/>
      <c r="K72" s="1992"/>
      <c r="L72" s="1992"/>
      <c r="M72" s="1992"/>
      <c r="N72" s="1993"/>
    </row>
    <row r="73" spans="1:14" x14ac:dyDescent="0.2">
      <c r="A73" s="1991"/>
      <c r="B73" s="1992"/>
      <c r="C73" s="1992"/>
      <c r="D73" s="1992"/>
      <c r="E73" s="1992"/>
      <c r="F73" s="1992"/>
      <c r="G73" s="1992"/>
      <c r="H73" s="1992"/>
      <c r="I73" s="1992"/>
      <c r="J73" s="1992"/>
      <c r="K73" s="1992"/>
      <c r="L73" s="1992"/>
      <c r="M73" s="1992"/>
      <c r="N73" s="1993"/>
    </row>
    <row r="74" spans="1:14" x14ac:dyDescent="0.2">
      <c r="A74" s="1991"/>
      <c r="B74" s="1992"/>
      <c r="C74" s="1992"/>
      <c r="D74" s="1992"/>
      <c r="E74" s="1992"/>
      <c r="F74" s="1992"/>
      <c r="G74" s="1992"/>
      <c r="H74" s="1992"/>
      <c r="I74" s="1992"/>
      <c r="J74" s="1992"/>
      <c r="K74" s="1992"/>
      <c r="L74" s="1992"/>
      <c r="M74" s="1992"/>
      <c r="N74" s="1993"/>
    </row>
    <row r="75" spans="1:14" x14ac:dyDescent="0.2">
      <c r="A75" s="1991"/>
      <c r="B75" s="1992"/>
      <c r="C75" s="1992"/>
      <c r="D75" s="1992"/>
      <c r="E75" s="1992"/>
      <c r="F75" s="1992"/>
      <c r="G75" s="1992"/>
      <c r="H75" s="1992"/>
      <c r="I75" s="1992"/>
      <c r="J75" s="1992"/>
      <c r="K75" s="1992"/>
      <c r="L75" s="1992"/>
      <c r="M75" s="1992"/>
      <c r="N75" s="1993"/>
    </row>
    <row r="76" spans="1:14" x14ac:dyDescent="0.2">
      <c r="A76" s="1991"/>
      <c r="B76" s="1992"/>
      <c r="C76" s="1992"/>
      <c r="D76" s="1992"/>
      <c r="E76" s="1992"/>
      <c r="F76" s="1992"/>
      <c r="G76" s="1992"/>
      <c r="H76" s="1992"/>
      <c r="I76" s="1992"/>
      <c r="J76" s="1992"/>
      <c r="K76" s="1992"/>
      <c r="L76" s="1992"/>
      <c r="M76" s="1992"/>
      <c r="N76" s="1993"/>
    </row>
    <row r="77" spans="1:14" x14ac:dyDescent="0.2">
      <c r="A77" s="1991"/>
      <c r="B77" s="1992"/>
      <c r="C77" s="1992"/>
      <c r="D77" s="1992"/>
      <c r="E77" s="1992"/>
      <c r="F77" s="1992"/>
      <c r="G77" s="1992"/>
      <c r="H77" s="1992"/>
      <c r="I77" s="1992"/>
      <c r="J77" s="1992"/>
      <c r="K77" s="1992"/>
      <c r="L77" s="1992"/>
      <c r="M77" s="1992"/>
      <c r="N77" s="1993"/>
    </row>
    <row r="78" spans="1:14" x14ac:dyDescent="0.2">
      <c r="A78" s="1991"/>
      <c r="B78" s="1992"/>
      <c r="C78" s="1992"/>
      <c r="D78" s="1992"/>
      <c r="E78" s="1992"/>
      <c r="F78" s="1992"/>
      <c r="G78" s="1992"/>
      <c r="H78" s="1992"/>
      <c r="I78" s="1992"/>
      <c r="J78" s="1992"/>
      <c r="K78" s="1992"/>
      <c r="L78" s="1992"/>
      <c r="M78" s="1992"/>
      <c r="N78" s="1993"/>
    </row>
    <row r="79" spans="1:14" x14ac:dyDescent="0.2">
      <c r="A79" s="1991"/>
      <c r="B79" s="1992"/>
      <c r="C79" s="1992"/>
      <c r="D79" s="1992"/>
      <c r="E79" s="1992"/>
      <c r="F79" s="1992"/>
      <c r="G79" s="1992"/>
      <c r="H79" s="1992"/>
      <c r="I79" s="1992"/>
      <c r="J79" s="1992"/>
      <c r="K79" s="1992"/>
      <c r="L79" s="1992"/>
      <c r="M79" s="1992"/>
      <c r="N79" s="1993"/>
    </row>
    <row r="80" spans="1:14" x14ac:dyDescent="0.2">
      <c r="A80" s="1991"/>
      <c r="B80" s="1992"/>
      <c r="C80" s="1992"/>
      <c r="D80" s="1992"/>
      <c r="E80" s="1992"/>
      <c r="F80" s="1992"/>
      <c r="G80" s="1992"/>
      <c r="H80" s="1992"/>
      <c r="I80" s="1992"/>
      <c r="J80" s="1992"/>
      <c r="K80" s="1992"/>
      <c r="L80" s="1992"/>
      <c r="M80" s="1992"/>
      <c r="N80" s="1993"/>
    </row>
    <row r="81" spans="1:14" x14ac:dyDescent="0.2">
      <c r="A81" s="1991"/>
      <c r="B81" s="1992"/>
      <c r="C81" s="1992"/>
      <c r="D81" s="1992"/>
      <c r="E81" s="1992"/>
      <c r="F81" s="1992"/>
      <c r="G81" s="1992"/>
      <c r="H81" s="1992"/>
      <c r="I81" s="1992"/>
      <c r="J81" s="1992"/>
      <c r="K81" s="1992"/>
      <c r="L81" s="1992"/>
      <c r="M81" s="1992"/>
      <c r="N81" s="1993"/>
    </row>
    <row r="82" spans="1:14" x14ac:dyDescent="0.2">
      <c r="A82" s="1991"/>
      <c r="B82" s="1992"/>
      <c r="C82" s="1992"/>
      <c r="D82" s="1992"/>
      <c r="E82" s="1992"/>
      <c r="F82" s="1992"/>
      <c r="G82" s="1992"/>
      <c r="H82" s="1992"/>
      <c r="I82" s="1992"/>
      <c r="J82" s="1992"/>
      <c r="K82" s="1992"/>
      <c r="L82" s="1992"/>
      <c r="M82" s="1992"/>
      <c r="N82" s="1993"/>
    </row>
    <row r="83" spans="1:14" ht="13.5" thickBot="1" x14ac:dyDescent="0.25">
      <c r="A83" s="1994"/>
      <c r="B83" s="1995"/>
      <c r="C83" s="1995"/>
      <c r="D83" s="1995"/>
      <c r="E83" s="1995"/>
      <c r="F83" s="1995"/>
      <c r="G83" s="1995"/>
      <c r="H83" s="1995"/>
      <c r="I83" s="1995"/>
      <c r="J83" s="1995"/>
      <c r="K83" s="1995"/>
      <c r="L83" s="1995"/>
      <c r="M83" s="1995"/>
      <c r="N83" s="1996"/>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3"/>
  <sheetViews>
    <sheetView showGridLines="0" zoomScale="110" zoomScaleNormal="110" workbookViewId="0">
      <selection activeCell="B13" sqref="B13"/>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2177</v>
      </c>
    </row>
    <row r="6" spans="1:2" x14ac:dyDescent="0.2">
      <c r="A6" s="847"/>
      <c r="B6" s="307" t="s">
        <v>2178</v>
      </c>
    </row>
    <row r="7" spans="1:2" x14ac:dyDescent="0.2">
      <c r="A7" s="847">
        <v>2</v>
      </c>
      <c r="B7" s="307" t="s">
        <v>2176</v>
      </c>
    </row>
    <row r="8" spans="1:2" x14ac:dyDescent="0.2">
      <c r="A8" s="847">
        <v>3</v>
      </c>
      <c r="B8" s="307" t="s">
        <v>2175</v>
      </c>
    </row>
    <row r="9" spans="1:2" x14ac:dyDescent="0.2">
      <c r="A9" s="847">
        <v>4</v>
      </c>
      <c r="B9" s="307" t="s">
        <v>2179</v>
      </c>
    </row>
    <row r="10" spans="1:2" x14ac:dyDescent="0.2">
      <c r="A10" s="847">
        <v>5</v>
      </c>
      <c r="B10" s="307" t="s">
        <v>2173</v>
      </c>
    </row>
    <row r="11" spans="1:2" x14ac:dyDescent="0.2">
      <c r="A11" s="847"/>
      <c r="B11" s="307" t="s">
        <v>2174</v>
      </c>
    </row>
    <row r="12" spans="1:2" x14ac:dyDescent="0.2">
      <c r="A12" s="847">
        <v>6</v>
      </c>
      <c r="B12" s="307" t="s">
        <v>2180</v>
      </c>
    </row>
    <row r="13" spans="1:2" x14ac:dyDescent="0.2">
      <c r="A13" s="847">
        <v>7</v>
      </c>
      <c r="B13" s="307" t="s">
        <v>2171</v>
      </c>
    </row>
    <row r="14" spans="1:2" x14ac:dyDescent="0.2">
      <c r="A14" s="847"/>
      <c r="B14" s="307" t="s">
        <v>2172</v>
      </c>
    </row>
    <row r="15" spans="1:2" x14ac:dyDescent="0.2">
      <c r="A15" s="847">
        <v>8</v>
      </c>
      <c r="B15" s="307" t="s">
        <v>2169</v>
      </c>
    </row>
    <row r="16" spans="1:2" x14ac:dyDescent="0.2">
      <c r="A16" s="847"/>
      <c r="B16" s="307" t="s">
        <v>2170</v>
      </c>
    </row>
    <row r="17" spans="1:2" x14ac:dyDescent="0.2">
      <c r="A17" s="847">
        <v>9</v>
      </c>
      <c r="B17" s="307" t="s">
        <v>2168</v>
      </c>
    </row>
    <row r="18" spans="1:2" x14ac:dyDescent="0.2">
      <c r="A18" s="847">
        <v>10</v>
      </c>
      <c r="B18" s="307" t="s">
        <v>2166</v>
      </c>
    </row>
    <row r="19" spans="1:2" x14ac:dyDescent="0.2">
      <c r="A19" s="847"/>
      <c r="B19" s="307" t="s">
        <v>2167</v>
      </c>
    </row>
    <row r="20" spans="1:2" x14ac:dyDescent="0.2">
      <c r="A20" s="847">
        <v>11</v>
      </c>
      <c r="B20" s="307" t="s">
        <v>2164</v>
      </c>
    </row>
    <row r="21" spans="1:2" x14ac:dyDescent="0.2">
      <c r="A21" s="847">
        <v>12</v>
      </c>
      <c r="B21" s="307" t="s">
        <v>2165</v>
      </c>
    </row>
    <row r="22" spans="1:2" x14ac:dyDescent="0.2">
      <c r="A22" s="847"/>
    </row>
    <row r="23" spans="1:2" x14ac:dyDescent="0.2">
      <c r="A23" s="847"/>
    </row>
    <row r="24" spans="1:2" x14ac:dyDescent="0.2">
      <c r="A24" s="847"/>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c r="B62" s="253" t="str">
        <f>COVER!A17</f>
        <v xml:space="preserve"> Urbana SD 116</v>
      </c>
    </row>
    <row r="63" spans="1:2" x14ac:dyDescent="0.2">
      <c r="B63" s="849">
        <f>COVER!A13</f>
        <v>9010116022</v>
      </c>
    </row>
  </sheetData>
  <phoneticPr fontId="17"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470" t="s">
        <v>1597</v>
      </c>
    </row>
    <row r="23" spans="1:5" x14ac:dyDescent="0.2">
      <c r="A23" s="163"/>
      <c r="B23" s="157" t="s">
        <v>1828</v>
      </c>
      <c r="D23" s="162" t="s">
        <v>632</v>
      </c>
      <c r="E23" s="1470"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8" t="s">
        <v>1058</v>
      </c>
      <c r="B35" s="2158"/>
      <c r="C35" s="2158"/>
      <c r="D35" s="2158"/>
      <c r="E35" s="215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5" t="s">
        <v>686</v>
      </c>
      <c r="B40" s="2155"/>
      <c r="C40" s="2155"/>
      <c r="D40" s="2155"/>
      <c r="E40" s="2155"/>
    </row>
    <row r="41" spans="1:5" x14ac:dyDescent="0.2">
      <c r="A41" s="2156" t="s">
        <v>1594</v>
      </c>
      <c r="B41" s="2156"/>
      <c r="C41" s="2156"/>
      <c r="D41" s="2156"/>
      <c r="E41" s="2156"/>
    </row>
    <row r="42" spans="1:5" ht="12.75" customHeight="1" x14ac:dyDescent="0.2">
      <c r="A42" s="2157" t="s">
        <v>1015</v>
      </c>
      <c r="B42" s="2157"/>
      <c r="C42" s="2157"/>
      <c r="D42" s="2157"/>
      <c r="E42" s="2157"/>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2" sqref="B1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2" t="s">
        <v>1668</v>
      </c>
      <c r="B18" s="2472"/>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1</xdr:col>
                <xdr:colOff>323850</xdr:colOff>
                <xdr:row>4</xdr:row>
                <xdr:rowOff>19050</xdr:rowOff>
              </from>
              <to>
                <xdr:col>1</xdr:col>
                <xdr:colOff>1095375</xdr:colOff>
                <xdr:row>8</xdr:row>
                <xdr:rowOff>47625</xdr:rowOff>
              </to>
            </anchor>
          </objectPr>
        </oleObject>
      </mc:Choice>
      <mc:Fallback>
        <oleObject progId="Acrobat Document" dvAspect="DVASPECT_ICON" shapeId="43010"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3" t="s">
        <v>1672</v>
      </c>
      <c r="B1" s="2474"/>
      <c r="C1" s="2474"/>
      <c r="D1" s="2474"/>
      <c r="E1" s="2474"/>
      <c r="F1" s="2475"/>
    </row>
    <row r="2" spans="1:8" ht="45" customHeight="1" x14ac:dyDescent="0.2">
      <c r="A2" s="248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4"/>
      <c r="C2" s="2484"/>
      <c r="D2" s="2484"/>
      <c r="E2" s="2484"/>
      <c r="F2" s="2485"/>
      <c r="G2" s="853"/>
      <c r="H2" s="853"/>
    </row>
    <row r="3" spans="1:8" ht="57" customHeight="1" x14ac:dyDescent="0.2">
      <c r="A3" s="2486" t="s">
        <v>1972</v>
      </c>
      <c r="B3" s="2487"/>
      <c r="C3" s="2487"/>
      <c r="D3" s="2487"/>
      <c r="E3" s="2487"/>
      <c r="F3" s="2488"/>
      <c r="G3" s="853"/>
      <c r="H3" s="853"/>
    </row>
    <row r="4" spans="1:8" ht="14.25" customHeight="1" x14ac:dyDescent="0.2">
      <c r="A4" s="249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3"/>
      <c r="C4" s="2493"/>
      <c r="D4" s="2493"/>
      <c r="E4" s="2493"/>
      <c r="F4" s="2494"/>
      <c r="G4" s="853"/>
      <c r="H4" s="853"/>
    </row>
    <row r="5" spans="1:8" ht="14.25" customHeight="1" x14ac:dyDescent="0.2">
      <c r="A5" s="249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6"/>
      <c r="C5" s="2496"/>
      <c r="D5" s="2496"/>
      <c r="E5" s="2496"/>
      <c r="F5" s="2497"/>
      <c r="G5" s="853"/>
      <c r="H5" s="853"/>
    </row>
    <row r="6" spans="1:8" s="854" customFormat="1" ht="41.25" customHeight="1" x14ac:dyDescent="0.2">
      <c r="A6" s="2489" t="s">
        <v>1673</v>
      </c>
      <c r="B6" s="2490"/>
      <c r="C6" s="2490"/>
      <c r="D6" s="2490"/>
      <c r="E6" s="2490"/>
      <c r="F6" s="2491"/>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3">
        <f>'Acct Summary 7-8'!C8</f>
        <v>51841588</v>
      </c>
      <c r="C8" s="1813">
        <f>'Acct Summary 7-8'!D8</f>
        <v>3851688</v>
      </c>
      <c r="D8" s="1813">
        <f>'Acct Summary 7-8'!F8</f>
        <v>2486485</v>
      </c>
      <c r="E8" s="1813">
        <f>'Acct Summary 7-8'!I8</f>
        <v>1484</v>
      </c>
      <c r="F8" s="1813">
        <f>SUM(B8:E8)</f>
        <v>58181245</v>
      </c>
    </row>
    <row r="9" spans="1:8" s="858" customFormat="1" ht="14.25" customHeight="1" thickBot="1" x14ac:dyDescent="0.25">
      <c r="A9" s="857" t="s">
        <v>1355</v>
      </c>
      <c r="B9" s="1814">
        <f>'Acct Summary 7-8'!C17</f>
        <v>56161178</v>
      </c>
      <c r="C9" s="1814">
        <f>'Acct Summary 7-8'!D17</f>
        <v>3611076</v>
      </c>
      <c r="D9" s="1814">
        <f>'Acct Summary 7-8'!F17</f>
        <v>2315393</v>
      </c>
      <c r="E9" s="1813"/>
      <c r="F9" s="1813">
        <f>SUM(B9:E9)</f>
        <v>62087647</v>
      </c>
    </row>
    <row r="10" spans="1:8" s="858" customFormat="1" ht="14.25" thickTop="1" thickBot="1" x14ac:dyDescent="0.25">
      <c r="A10" s="859" t="s">
        <v>1356</v>
      </c>
      <c r="B10" s="1815">
        <f>(B8-B9)</f>
        <v>-4319590</v>
      </c>
      <c r="C10" s="1815">
        <f>(C8-C9)</f>
        <v>240612</v>
      </c>
      <c r="D10" s="1815">
        <f>(D8-D9)</f>
        <v>171092</v>
      </c>
      <c r="E10" s="1814">
        <f>(E8-E9)</f>
        <v>1484</v>
      </c>
      <c r="F10" s="1816">
        <f>SUM(F8-F9)</f>
        <v>-3906402</v>
      </c>
    </row>
    <row r="11" spans="1:8" s="858" customFormat="1" ht="14.25" thickTop="1" thickBot="1" x14ac:dyDescent="0.25">
      <c r="A11" s="860" t="s">
        <v>1903</v>
      </c>
      <c r="B11" s="1817">
        <f>'Acct Summary 7-8'!C81</f>
        <v>6257915</v>
      </c>
      <c r="C11" s="1817">
        <f>'Acct Summary 7-8'!D81</f>
        <v>-2181404</v>
      </c>
      <c r="D11" s="1817">
        <f>'Acct Summary 7-8'!F81</f>
        <v>-29634</v>
      </c>
      <c r="E11" s="1817">
        <f>'Acct Summary 7-8'!I81</f>
        <v>7047434</v>
      </c>
      <c r="F11" s="1818">
        <f>SUM(B11:E11)</f>
        <v>11094311</v>
      </c>
    </row>
    <row r="12" spans="1:8" ht="16.5" customHeight="1" thickTop="1" x14ac:dyDescent="0.2">
      <c r="A12" s="861"/>
      <c r="B12" s="862"/>
      <c r="C12" s="2477"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478"/>
      <c r="E12" s="2478"/>
      <c r="F12" s="2479"/>
    </row>
    <row r="13" spans="1:8" ht="19.5" customHeight="1" x14ac:dyDescent="0.2">
      <c r="A13" s="863"/>
      <c r="B13" s="864"/>
      <c r="C13" s="2477"/>
      <c r="D13" s="2478"/>
      <c r="E13" s="2478"/>
      <c r="F13" s="2479"/>
      <c r="H13" s="853"/>
    </row>
    <row r="14" spans="1:8" ht="19.5" customHeight="1" x14ac:dyDescent="0.2">
      <c r="A14" s="863"/>
      <c r="B14" s="864"/>
      <c r="C14" s="2477"/>
      <c r="D14" s="2478"/>
      <c r="E14" s="2478"/>
      <c r="F14" s="2479"/>
      <c r="H14" s="853"/>
    </row>
    <row r="15" spans="1:8" ht="17.25" customHeight="1" x14ac:dyDescent="0.2">
      <c r="A15" s="863"/>
      <c r="B15" s="864"/>
      <c r="C15" s="2480"/>
      <c r="D15" s="2481"/>
      <c r="E15" s="2481"/>
      <c r="F15" s="2482"/>
      <c r="H15" s="853"/>
    </row>
    <row r="16" spans="1:8" s="288" customFormat="1" ht="51.75" hidden="1" customHeight="1" x14ac:dyDescent="0.2">
      <c r="A16" s="2476" t="s">
        <v>1669</v>
      </c>
      <c r="B16" s="2476"/>
      <c r="C16" s="2476"/>
      <c r="D16" s="2476"/>
      <c r="E16" s="2476"/>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B49" colorId="8" zoomScale="110" zoomScaleNormal="110" workbookViewId="0">
      <selection activeCell="C84" sqref="C8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8" t="s">
        <v>660</v>
      </c>
      <c r="B3" s="2499"/>
      <c r="C3" s="2499"/>
      <c r="D3" s="2500"/>
    </row>
    <row r="4" spans="1:4" x14ac:dyDescent="0.2">
      <c r="A4" s="931" t="s">
        <v>1674</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9" t="s">
        <v>1490</v>
      </c>
      <c r="D7" s="2510"/>
    </row>
    <row r="8" spans="1:4" s="542" customFormat="1" ht="12.75" x14ac:dyDescent="0.2">
      <c r="A8" s="917"/>
      <c r="B8" s="872"/>
      <c r="C8" s="875" t="s">
        <v>1489</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501" t="s">
        <v>1001</v>
      </c>
      <c r="B15" s="2502"/>
      <c r="C15" s="2502"/>
      <c r="D15" s="2503"/>
    </row>
    <row r="16" spans="1:4" s="542" customFormat="1" ht="24" customHeight="1" x14ac:dyDescent="0.2">
      <c r="A16" s="2504" t="s">
        <v>658</v>
      </c>
      <c r="B16" s="2505"/>
      <c r="C16" s="2505"/>
      <c r="D16" s="2506"/>
    </row>
    <row r="17" spans="1:10" s="542" customFormat="1" ht="12.75" customHeight="1" x14ac:dyDescent="0.2">
      <c r="A17" s="935" t="s">
        <v>1675</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13" t="s">
        <v>311</v>
      </c>
      <c r="D21" s="2514"/>
    </row>
    <row r="22" spans="1:10" ht="12.75" x14ac:dyDescent="0.2">
      <c r="A22" s="918"/>
      <c r="B22" s="919">
        <v>2</v>
      </c>
      <c r="C22" s="2511" t="s">
        <v>1510</v>
      </c>
      <c r="D22" s="2512"/>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1359</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5" t="s">
        <v>533</v>
      </c>
      <c r="D43" s="2516"/>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07" t="s">
        <v>779</v>
      </c>
      <c r="D56" s="2508"/>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7" t="s">
        <v>1677</v>
      </c>
      <c r="D70" s="2508"/>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9010116022</v>
      </c>
      <c r="E2" s="1542">
        <v>2020</v>
      </c>
      <c r="F2" s="1542">
        <v>1</v>
      </c>
      <c r="G2" s="1899">
        <v>101000300</v>
      </c>
    </row>
    <row r="3" spans="1:7" ht="15" x14ac:dyDescent="0.25">
      <c r="A3" t="s">
        <v>950</v>
      </c>
      <c r="B3" s="135" t="str">
        <f>COVER!A15</f>
        <v>Champaign</v>
      </c>
      <c r="E3" s="1830" t="s">
        <v>1971</v>
      </c>
      <c r="F3" s="1830" t="s">
        <v>1970</v>
      </c>
      <c r="G3" s="1899">
        <v>101000400</v>
      </c>
    </row>
    <row r="4" spans="1:7" ht="15" x14ac:dyDescent="0.25">
      <c r="A4" t="s">
        <v>1000</v>
      </c>
      <c r="B4" s="135" t="str">
        <f>COVER!A17</f>
        <v xml:space="preserve"> Urbana SD 116</v>
      </c>
      <c r="E4" s="1828">
        <v>44119</v>
      </c>
      <c r="F4" s="1829">
        <v>44151</v>
      </c>
      <c r="G4" s="1899">
        <v>101000600</v>
      </c>
    </row>
    <row r="5" spans="1:7" ht="15" x14ac:dyDescent="0.25">
      <c r="A5" t="s">
        <v>699</v>
      </c>
      <c r="B5" s="135" t="str">
        <f>COVER!A38</f>
        <v>Jennifer Ivory-Tatum</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 xml:space="preserve">ACCRUAL </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1529</v>
      </c>
      <c r="B12" s="135" t="str">
        <f>IF(COVER!J29="x","Yes",IF(COVER!L29="X","No",0))</f>
        <v>Yes</v>
      </c>
      <c r="G12" s="1899">
        <v>202100600</v>
      </c>
    </row>
    <row r="13" spans="1:7" ht="15" x14ac:dyDescent="0.25">
      <c r="A13" s="1" t="s">
        <v>1530</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066-003844</v>
      </c>
      <c r="G15" s="1899">
        <v>402100400</v>
      </c>
    </row>
    <row r="16" spans="1:7" ht="15" x14ac:dyDescent="0.25">
      <c r="A16" t="s">
        <v>419</v>
      </c>
      <c r="B16" s="135" t="str">
        <f>COVER!T13</f>
        <v>BKD, LLP</v>
      </c>
      <c r="G16" s="1899">
        <v>402100600</v>
      </c>
    </row>
    <row r="17" spans="1:7" ht="15" x14ac:dyDescent="0.25">
      <c r="A17" t="s">
        <v>878</v>
      </c>
      <c r="B17" s="135" t="str">
        <f>COVER!T15</f>
        <v>Heather Powell</v>
      </c>
      <c r="G17" s="1899">
        <v>402100800</v>
      </c>
    </row>
    <row r="18" spans="1:7" ht="15" x14ac:dyDescent="0.25">
      <c r="A18" t="s">
        <v>1142</v>
      </c>
      <c r="B18" s="135" t="str">
        <f>COVER!T17</f>
        <v>225 North Water Street, Suite 400</v>
      </c>
      <c r="G18" s="1899">
        <v>102200300</v>
      </c>
    </row>
    <row r="19" spans="1:7" ht="15" x14ac:dyDescent="0.25">
      <c r="A19" t="s">
        <v>880</v>
      </c>
      <c r="B19" s="135">
        <f>COVER!T25</f>
        <v>0</v>
      </c>
      <c r="G19" s="1899">
        <v>102200400</v>
      </c>
    </row>
    <row r="20" spans="1:7" ht="15" x14ac:dyDescent="0.25">
      <c r="A20" t="s">
        <v>881</v>
      </c>
      <c r="B20" s="135" t="str">
        <f>COVER!T19</f>
        <v>Decatur</v>
      </c>
      <c r="G20" s="1899">
        <v>102200600</v>
      </c>
    </row>
    <row r="21" spans="1:7" ht="15" x14ac:dyDescent="0.25">
      <c r="A21" t="s">
        <v>476</v>
      </c>
      <c r="B21" s="135" t="str">
        <f>COVER!X19</f>
        <v>IL</v>
      </c>
      <c r="G21" s="1899">
        <v>102200800</v>
      </c>
    </row>
    <row r="22" spans="1:7" ht="15" x14ac:dyDescent="0.25">
      <c r="A22" t="s">
        <v>882</v>
      </c>
      <c r="B22" s="135">
        <f>COVER!Z19</f>
        <v>62523</v>
      </c>
      <c r="G22" s="1899">
        <v>102300300</v>
      </c>
    </row>
    <row r="23" spans="1:7" ht="15" x14ac:dyDescent="0.25">
      <c r="A23" t="s">
        <v>1144</v>
      </c>
      <c r="B23" s="135" t="str">
        <f>COVER!T21</f>
        <v>217-429-2411</v>
      </c>
      <c r="G23" s="1899">
        <v>102300400</v>
      </c>
    </row>
    <row r="24" spans="1:7" ht="15" x14ac:dyDescent="0.25">
      <c r="A24" t="s">
        <v>1143</v>
      </c>
      <c r="B24" s="135">
        <f>COVER!Y21</f>
        <v>0</v>
      </c>
      <c r="G24" s="1899">
        <v>102300600</v>
      </c>
    </row>
    <row r="25" spans="1:7" ht="15" x14ac:dyDescent="0.25">
      <c r="A25" t="s">
        <v>756</v>
      </c>
      <c r="B25" s="135">
        <f>COVER!B34</f>
        <v>0</v>
      </c>
      <c r="G25" s="1899">
        <v>102300800</v>
      </c>
    </row>
    <row r="26" spans="1:7" ht="15" x14ac:dyDescent="0.25">
      <c r="A26" t="s">
        <v>1145</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Yes</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1467</v>
      </c>
      <c r="B49" s="135" t="str">
        <f>IF('Aud Quest 2'!B53="x","Yes",IF('Aud Quest 2'!B53&lt;&gt;"x","0"))</f>
        <v>Yes</v>
      </c>
      <c r="G49" s="1899">
        <v>102540800</v>
      </c>
    </row>
    <row r="50" spans="1:7" ht="15" x14ac:dyDescent="0.25">
      <c r="A50" s="1" t="s">
        <v>1466</v>
      </c>
      <c r="B50" s="146">
        <f>'Aud Quest 2'!H53</f>
        <v>35370</v>
      </c>
      <c r="G50" s="1899">
        <v>202540300</v>
      </c>
    </row>
    <row r="51" spans="1:7" ht="15" x14ac:dyDescent="0.25">
      <c r="A51" s="1" t="s">
        <v>1468</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19300966</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86145</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27927900</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15461219</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21669985</v>
      </c>
      <c r="C91" s="2" t="s">
        <v>569</v>
      </c>
      <c r="D91" s="2" t="str">
        <f t="shared" si="0"/>
        <v>Error?</v>
      </c>
      <c r="G91" s="1899">
        <v>102640400</v>
      </c>
    </row>
    <row r="92" spans="1:7" ht="15" x14ac:dyDescent="0.25">
      <c r="A92" s="5">
        <v>31</v>
      </c>
      <c r="B92" s="1832">
        <f>'Assets-Liab 5-6'!C39</f>
        <v>6171770</v>
      </c>
      <c r="D92" s="2" t="str">
        <f t="shared" si="0"/>
        <v>Error?</v>
      </c>
      <c r="G92" s="1899">
        <v>102640600</v>
      </c>
    </row>
    <row r="93" spans="1:7" ht="15" x14ac:dyDescent="0.25">
      <c r="A93" s="5">
        <v>32</v>
      </c>
      <c r="B93" s="1832">
        <f>'Assets-Liab 5-6'!C41</f>
        <v>27927900</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3046714</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3859572</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2440604</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6040976</v>
      </c>
      <c r="C122" s="2" t="s">
        <v>569</v>
      </c>
      <c r="D122" s="2" t="str">
        <f t="shared" si="0"/>
        <v>Error?</v>
      </c>
      <c r="G122" s="1899">
        <v>203000300</v>
      </c>
    </row>
    <row r="123" spans="1:7" ht="15" x14ac:dyDescent="0.25">
      <c r="A123" s="5">
        <v>62</v>
      </c>
      <c r="B123" s="1832">
        <f>'Assets-Liab 5-6'!D39</f>
        <v>-2181404</v>
      </c>
      <c r="D123" s="2" t="str">
        <f t="shared" si="0"/>
        <v>Error?</v>
      </c>
      <c r="G123" s="1899">
        <v>203000400</v>
      </c>
    </row>
    <row r="124" spans="1:7" ht="15" x14ac:dyDescent="0.25">
      <c r="A124" s="5">
        <v>63</v>
      </c>
      <c r="B124" s="1832">
        <f>'Assets-Liab 5-6'!D41</f>
        <v>3859572</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1812512</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2088143</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1451932</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1795710</v>
      </c>
      <c r="C139" s="2" t="s">
        <v>569</v>
      </c>
      <c r="D139" s="2" t="str">
        <f t="shared" si="1"/>
        <v>Error?</v>
      </c>
    </row>
    <row r="140" spans="1:7" x14ac:dyDescent="0.2">
      <c r="A140" s="5">
        <v>79</v>
      </c>
      <c r="B140" s="1832">
        <f>'Assets-Liab 5-6'!E39</f>
        <v>292433</v>
      </c>
      <c r="D140" s="2" t="str">
        <f t="shared" si="1"/>
        <v>Error?</v>
      </c>
    </row>
    <row r="141" spans="1:7" x14ac:dyDescent="0.2">
      <c r="A141" s="5">
        <v>80</v>
      </c>
      <c r="B141" s="1832">
        <f>'Assets-Liab 5-6'!E41</f>
        <v>2088143</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914014</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1552548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732182</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1582182</v>
      </c>
      <c r="C169" s="2" t="s">
        <v>569</v>
      </c>
      <c r="D169" s="2" t="str">
        <f t="shared" si="1"/>
        <v>Error?</v>
      </c>
    </row>
    <row r="170" spans="1:4" x14ac:dyDescent="0.2">
      <c r="A170" s="5">
        <v>109</v>
      </c>
      <c r="B170" s="1832">
        <f>'Assets-Liab 5-6'!F39</f>
        <v>-29634</v>
      </c>
      <c r="D170" s="2" t="str">
        <f t="shared" si="1"/>
        <v>Error?</v>
      </c>
    </row>
    <row r="171" spans="1:4" x14ac:dyDescent="0.2">
      <c r="A171" s="5">
        <v>110</v>
      </c>
      <c r="B171" s="1832">
        <f>'Assets-Liab 5-6'!F41</f>
        <v>1552548</v>
      </c>
      <c r="C171" s="2" t="s">
        <v>569</v>
      </c>
      <c r="D171" s="2" t="str">
        <f t="shared" si="1"/>
        <v>Error?</v>
      </c>
    </row>
    <row r="172" spans="1:4" x14ac:dyDescent="0.2">
      <c r="A172" s="10">
        <v>111</v>
      </c>
      <c r="B172" s="1832"/>
      <c r="D172" s="2" t="str">
        <f t="shared" si="1"/>
        <v>OK</v>
      </c>
    </row>
    <row r="173" spans="1:4" x14ac:dyDescent="0.2">
      <c r="A173" s="5">
        <v>112</v>
      </c>
      <c r="B173" s="1832">
        <f>'Assets-Liab 5-6'!G6</f>
        <v>1048483</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1372004</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839900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1763256</v>
      </c>
      <c r="C188" s="2" t="s">
        <v>569</v>
      </c>
      <c r="D188" s="2" t="str">
        <f t="shared" si="1"/>
        <v>Error?</v>
      </c>
    </row>
    <row r="189" spans="1:4" x14ac:dyDescent="0.2">
      <c r="A189" s="5">
        <v>128</v>
      </c>
      <c r="B189" s="1832">
        <f>'Assets-Liab 5-6'!G39</f>
        <v>-391252</v>
      </c>
      <c r="D189" s="2" t="str">
        <f t="shared" si="1"/>
        <v>Error?</v>
      </c>
    </row>
    <row r="190" spans="1:4" x14ac:dyDescent="0.2">
      <c r="A190" s="5">
        <v>129</v>
      </c>
      <c r="B190" s="1832">
        <f>'Assets-Liab 5-6'!G41</f>
        <v>1372004</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8364744</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737460</v>
      </c>
      <c r="C211" s="2" t="s">
        <v>569</v>
      </c>
      <c r="D211" s="2" t="str">
        <f t="shared" si="2"/>
        <v>Error?</v>
      </c>
    </row>
    <row r="212" spans="1:4" x14ac:dyDescent="0.2">
      <c r="A212" s="5">
        <v>151</v>
      </c>
      <c r="B212" s="1832">
        <f>'Assets-Liab 5-6'!H39</f>
        <v>7627284</v>
      </c>
      <c r="D212" s="2" t="str">
        <f t="shared" si="2"/>
        <v>Error?</v>
      </c>
    </row>
    <row r="213" spans="1:4" x14ac:dyDescent="0.2">
      <c r="A213" s="12">
        <v>152</v>
      </c>
      <c r="B213" s="1832">
        <f>'Assets-Liab 5-6'!H41</f>
        <v>8364744</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1094121</v>
      </c>
      <c r="D273" s="2" t="str">
        <f t="shared" si="3"/>
        <v>Error?</v>
      </c>
    </row>
    <row r="274" spans="1:4" x14ac:dyDescent="0.2">
      <c r="A274" s="5">
        <v>213</v>
      </c>
      <c r="B274" s="1832">
        <f>'Assets-Liab 5-6'!M17</f>
        <v>132692178</v>
      </c>
      <c r="D274" s="2" t="str">
        <f t="shared" si="3"/>
        <v>Error?</v>
      </c>
    </row>
    <row r="275" spans="1:4" x14ac:dyDescent="0.2">
      <c r="A275" s="5">
        <v>214</v>
      </c>
      <c r="B275" s="1832">
        <f>'Assets-Liab 5-6'!M18</f>
        <v>0</v>
      </c>
      <c r="D275" s="2" t="str">
        <f t="shared" si="3"/>
        <v>Error?</v>
      </c>
    </row>
    <row r="276" spans="1:4" x14ac:dyDescent="0.2">
      <c r="A276" s="5">
        <v>215</v>
      </c>
      <c r="B276" s="1832">
        <f>'Assets-Liab 5-6'!M19</f>
        <v>23009978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156796277</v>
      </c>
      <c r="C279" s="2" t="s">
        <v>569</v>
      </c>
      <c r="D279" s="2" t="str">
        <f t="shared" si="3"/>
        <v>Error?</v>
      </c>
    </row>
    <row r="280" spans="1:4" x14ac:dyDescent="0.2">
      <c r="A280" s="5">
        <v>219</v>
      </c>
      <c r="B280" s="1832">
        <f>'Assets-Liab 5-6'!M40</f>
        <v>156796277</v>
      </c>
      <c r="D280" s="2" t="str">
        <f t="shared" si="3"/>
        <v>Error?</v>
      </c>
    </row>
    <row r="281" spans="1:4" x14ac:dyDescent="0.2">
      <c r="A281" s="5">
        <v>220</v>
      </c>
      <c r="B281" s="1832">
        <f>'Assets-Liab 5-6'!M41</f>
        <v>156796277</v>
      </c>
      <c r="C281" s="2" t="s">
        <v>569</v>
      </c>
      <c r="D281" s="2" t="str">
        <f t="shared" si="3"/>
        <v>Error?</v>
      </c>
    </row>
    <row r="282" spans="1:4" x14ac:dyDescent="0.2">
      <c r="A282" s="5">
        <v>221</v>
      </c>
      <c r="B282" s="1832">
        <f>'Assets-Liab 5-6'!N21</f>
        <v>292433</v>
      </c>
      <c r="D282" s="2" t="str">
        <f t="shared" si="3"/>
        <v>Error?</v>
      </c>
    </row>
    <row r="283" spans="1:4" x14ac:dyDescent="0.2">
      <c r="A283" s="5">
        <v>222</v>
      </c>
      <c r="B283" s="1832">
        <f>'Assets-Liab 5-6'!N22</f>
        <v>31726567</v>
      </c>
      <c r="D283" s="2" t="str">
        <f t="shared" si="3"/>
        <v>Error?</v>
      </c>
    </row>
    <row r="284" spans="1:4" x14ac:dyDescent="0.2">
      <c r="A284" s="5">
        <v>223</v>
      </c>
      <c r="B284" s="1832">
        <f>'Assets-Liab 5-6'!N23</f>
        <v>32019000</v>
      </c>
      <c r="C284" s="2" t="s">
        <v>569</v>
      </c>
      <c r="D284" s="2" t="str">
        <f t="shared" si="3"/>
        <v>Error?</v>
      </c>
    </row>
    <row r="285" spans="1:4" x14ac:dyDescent="0.2">
      <c r="A285" s="5">
        <v>224</v>
      </c>
      <c r="B285" s="1832">
        <f>'Assets-Liab 5-6'!N36</f>
        <v>32019000</v>
      </c>
      <c r="D285" s="2" t="str">
        <f t="shared" si="3"/>
        <v>Error?</v>
      </c>
    </row>
    <row r="286" spans="1:4" x14ac:dyDescent="0.2">
      <c r="A286" s="10">
        <v>225</v>
      </c>
      <c r="B286" s="1832"/>
      <c r="D286" s="2" t="str">
        <f t="shared" si="3"/>
        <v>OK</v>
      </c>
    </row>
    <row r="287" spans="1:4" x14ac:dyDescent="0.2">
      <c r="A287" s="5">
        <v>226</v>
      </c>
      <c r="B287" s="1832">
        <f>'Assets-Liab 5-6'!N37</f>
        <v>32019000</v>
      </c>
      <c r="C287" s="2" t="s">
        <v>569</v>
      </c>
      <c r="D287" s="2" t="str">
        <f t="shared" si="3"/>
        <v>Error?</v>
      </c>
    </row>
    <row r="288" spans="1:4" x14ac:dyDescent="0.2">
      <c r="A288" s="5">
        <v>227</v>
      </c>
      <c r="B288" s="1832">
        <f>'Assets-Liab 5-6'!N41</f>
        <v>32019000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588</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14804590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1904491</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455239</v>
      </c>
      <c r="D716" s="2" t="str">
        <f t="shared" si="10"/>
        <v>Error?</v>
      </c>
    </row>
    <row r="717" spans="1:4" x14ac:dyDescent="0.2">
      <c r="A717" s="5">
        <v>656</v>
      </c>
      <c r="B717" s="1832">
        <f>'Expenditures 15-22'!C13</f>
        <v>94684</v>
      </c>
      <c r="D717" s="2" t="str">
        <f t="shared" si="10"/>
        <v>Error?</v>
      </c>
    </row>
    <row r="718" spans="1:4" x14ac:dyDescent="0.2">
      <c r="A718" s="5">
        <v>657</v>
      </c>
      <c r="B718" s="1832">
        <f>'Expenditures 15-22'!C14</f>
        <v>790341</v>
      </c>
      <c r="D718" s="2" t="str">
        <f t="shared" si="10"/>
        <v>Error?</v>
      </c>
    </row>
    <row r="719" spans="1:4" x14ac:dyDescent="0.2">
      <c r="A719" s="5">
        <v>658</v>
      </c>
      <c r="B719" s="1832">
        <f>'Expenditures 15-22'!C15</f>
        <v>18965</v>
      </c>
      <c r="D719" s="2" t="str">
        <f t="shared" si="10"/>
        <v>Error?</v>
      </c>
    </row>
    <row r="720" spans="1:4" x14ac:dyDescent="0.2">
      <c r="A720" s="5">
        <v>659</v>
      </c>
      <c r="B720" s="1832">
        <f>'Expenditures 15-22'!C33</f>
        <v>27300991</v>
      </c>
      <c r="C720" s="2" t="s">
        <v>569</v>
      </c>
      <c r="D720" s="2" t="str">
        <f t="shared" si="10"/>
        <v>Error?</v>
      </c>
    </row>
    <row r="721" spans="1:4" x14ac:dyDescent="0.2">
      <c r="A721" s="5">
        <v>660</v>
      </c>
      <c r="B721" s="1832">
        <f>'Expenditures 15-22'!C36</f>
        <v>1604708</v>
      </c>
      <c r="D721" s="2" t="str">
        <f t="shared" si="10"/>
        <v>Error?</v>
      </c>
    </row>
    <row r="722" spans="1:4" x14ac:dyDescent="0.2">
      <c r="A722" s="5">
        <v>661</v>
      </c>
      <c r="B722" s="1832">
        <f>'Expenditures 15-22'!C37</f>
        <v>625029</v>
      </c>
      <c r="D722" s="2" t="str">
        <f t="shared" si="10"/>
        <v>Error?</v>
      </c>
    </row>
    <row r="723" spans="1:4" x14ac:dyDescent="0.2">
      <c r="A723" s="5">
        <v>662</v>
      </c>
      <c r="B723" s="1832">
        <f>'Expenditures 15-22'!C38</f>
        <v>833163</v>
      </c>
      <c r="D723" s="2" t="str">
        <f t="shared" si="10"/>
        <v>Error?</v>
      </c>
    </row>
    <row r="724" spans="1:4" x14ac:dyDescent="0.2">
      <c r="A724" s="5">
        <v>663</v>
      </c>
      <c r="B724" s="1832">
        <f>'Expenditures 15-22'!C39</f>
        <v>490737</v>
      </c>
      <c r="D724" s="2" t="str">
        <f t="shared" si="10"/>
        <v>Error?</v>
      </c>
    </row>
    <row r="725" spans="1:4" x14ac:dyDescent="0.2">
      <c r="A725" s="5">
        <v>664</v>
      </c>
      <c r="B725" s="1832">
        <f>'Expenditures 15-22'!C40</f>
        <v>870621</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4424258</v>
      </c>
      <c r="C727" s="2" t="s">
        <v>569</v>
      </c>
      <c r="D727" s="2" t="str">
        <f t="shared" si="10"/>
        <v>Error?</v>
      </c>
    </row>
    <row r="728" spans="1:4" x14ac:dyDescent="0.2">
      <c r="A728" s="5">
        <v>667</v>
      </c>
      <c r="B728" s="1832">
        <f>'Expenditures 15-22'!C44</f>
        <v>862412</v>
      </c>
      <c r="D728" s="2" t="str">
        <f t="shared" si="10"/>
        <v>Error?</v>
      </c>
    </row>
    <row r="729" spans="1:4" x14ac:dyDescent="0.2">
      <c r="A729" s="5">
        <v>668</v>
      </c>
      <c r="B729" s="1832">
        <f>'Expenditures 15-22'!C45</f>
        <v>945663</v>
      </c>
      <c r="D729" s="2" t="str">
        <f t="shared" si="10"/>
        <v>Error?</v>
      </c>
    </row>
    <row r="730" spans="1:4" x14ac:dyDescent="0.2">
      <c r="A730" s="5">
        <v>669</v>
      </c>
      <c r="B730" s="1832">
        <f>'Expenditures 15-22'!C46</f>
        <v>51983</v>
      </c>
      <c r="D730" s="2" t="str">
        <f t="shared" si="10"/>
        <v>Error?</v>
      </c>
    </row>
    <row r="731" spans="1:4" x14ac:dyDescent="0.2">
      <c r="A731" s="5">
        <v>670</v>
      </c>
      <c r="B731" s="1832">
        <f>'Expenditures 15-22'!C47</f>
        <v>1860058</v>
      </c>
      <c r="C731" s="2" t="s">
        <v>569</v>
      </c>
      <c r="D731" s="2" t="str">
        <f t="shared" si="10"/>
        <v>Error?</v>
      </c>
    </row>
    <row r="732" spans="1:4" x14ac:dyDescent="0.2">
      <c r="A732" s="5">
        <v>671</v>
      </c>
      <c r="B732" s="1832">
        <f>'Expenditures 15-22'!C49</f>
        <v>57006</v>
      </c>
      <c r="D732" s="2" t="str">
        <f t="shared" si="10"/>
        <v>Error?</v>
      </c>
    </row>
    <row r="733" spans="1:4" x14ac:dyDescent="0.2">
      <c r="A733" s="5">
        <v>672</v>
      </c>
      <c r="B733" s="1832">
        <f>'Expenditures 15-22'!C50</f>
        <v>415945</v>
      </c>
      <c r="D733" s="2" t="str">
        <f t="shared" si="10"/>
        <v>Error?</v>
      </c>
    </row>
    <row r="734" spans="1:4" x14ac:dyDescent="0.2">
      <c r="A734" s="5">
        <v>673</v>
      </c>
      <c r="B734" s="1832">
        <f>'Expenditures 15-22'!C53</f>
        <v>1213002</v>
      </c>
      <c r="C734" s="2" t="s">
        <v>569</v>
      </c>
      <c r="D734" s="2" t="str">
        <f t="shared" si="10"/>
        <v>Error?</v>
      </c>
    </row>
    <row r="735" spans="1:4" x14ac:dyDescent="0.2">
      <c r="A735" s="5">
        <v>674</v>
      </c>
      <c r="B735" s="1832">
        <f>'Expenditures 15-22'!C55</f>
        <v>2630997</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2630997</v>
      </c>
      <c r="C737" s="2" t="s">
        <v>569</v>
      </c>
      <c r="D737" s="2" t="str">
        <f t="shared" si="10"/>
        <v>Error?</v>
      </c>
    </row>
    <row r="738" spans="1:4" x14ac:dyDescent="0.2">
      <c r="A738" s="5">
        <v>677</v>
      </c>
      <c r="B738" s="1832">
        <f>'Expenditures 15-22'!C59</f>
        <v>183693</v>
      </c>
      <c r="D738" s="2" t="str">
        <f t="shared" si="10"/>
        <v>Error?</v>
      </c>
    </row>
    <row r="739" spans="1:4" x14ac:dyDescent="0.2">
      <c r="A739" s="5">
        <v>678</v>
      </c>
      <c r="B739" s="1832">
        <f>'Expenditures 15-22'!C60</f>
        <v>286168</v>
      </c>
      <c r="D739" s="2" t="str">
        <f t="shared" si="10"/>
        <v>Error?</v>
      </c>
    </row>
    <row r="740" spans="1:4" x14ac:dyDescent="0.2">
      <c r="A740" s="5">
        <v>679</v>
      </c>
      <c r="B740" s="1832">
        <f>'Expenditures 15-22'!C61</f>
        <v>44432</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166922</v>
      </c>
      <c r="D742" s="2" t="str">
        <f t="shared" si="10"/>
        <v>Error?</v>
      </c>
    </row>
    <row r="743" spans="1:4" x14ac:dyDescent="0.2">
      <c r="A743" s="5">
        <v>682</v>
      </c>
      <c r="B743" s="1832">
        <f>'Expenditures 15-22'!C64</f>
        <v>209216</v>
      </c>
      <c r="D743" s="2" t="str">
        <f t="shared" si="10"/>
        <v>Error?</v>
      </c>
    </row>
    <row r="744" spans="1:4" x14ac:dyDescent="0.2">
      <c r="A744" s="10">
        <v>683</v>
      </c>
      <c r="B744" s="1832"/>
      <c r="D744" s="2" t="str">
        <f t="shared" si="10"/>
        <v>OK</v>
      </c>
    </row>
    <row r="745" spans="1:4" x14ac:dyDescent="0.2">
      <c r="A745" s="5">
        <v>684</v>
      </c>
      <c r="B745" s="1832">
        <f>'Expenditures 15-22'!C65</f>
        <v>890431</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694058</v>
      </c>
      <c r="D747" s="2" t="str">
        <f t="shared" si="10"/>
        <v>Error?</v>
      </c>
    </row>
    <row r="748" spans="1:4" x14ac:dyDescent="0.2">
      <c r="A748" s="5">
        <v>687</v>
      </c>
      <c r="B748" s="1832">
        <f>'Expenditures 15-22'!C69</f>
        <v>28064</v>
      </c>
      <c r="D748" s="2" t="str">
        <f t="shared" si="10"/>
        <v>Error?</v>
      </c>
    </row>
    <row r="749" spans="1:4" x14ac:dyDescent="0.2">
      <c r="A749" s="5">
        <v>688</v>
      </c>
      <c r="B749" s="1832">
        <f>'Expenditures 15-22'!C70</f>
        <v>575886</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1298008</v>
      </c>
      <c r="C753" s="2" t="s">
        <v>569</v>
      </c>
      <c r="D753" s="2" t="str">
        <f t="shared" si="10"/>
        <v>Error?</v>
      </c>
    </row>
    <row r="754" spans="1:4" x14ac:dyDescent="0.2">
      <c r="A754" s="5">
        <v>693</v>
      </c>
      <c r="B754" s="1832">
        <f>'Expenditures 15-22'!C73</f>
        <v>155789</v>
      </c>
      <c r="D754" s="2" t="str">
        <f t="shared" si="10"/>
        <v>Error?</v>
      </c>
    </row>
    <row r="755" spans="1:4" x14ac:dyDescent="0.2">
      <c r="A755" s="5">
        <v>694</v>
      </c>
      <c r="B755" s="1832">
        <f>'Expenditures 15-22'!C74</f>
        <v>12472543</v>
      </c>
      <c r="C755" s="2" t="s">
        <v>569</v>
      </c>
      <c r="D755" s="2" t="str">
        <f t="shared" si="10"/>
        <v>Error?</v>
      </c>
    </row>
    <row r="756" spans="1:4" x14ac:dyDescent="0.2">
      <c r="A756" s="5">
        <v>695</v>
      </c>
      <c r="B756" s="1832">
        <f>'Expenditures 15-22'!C75</f>
        <v>1120024</v>
      </c>
      <c r="D756" s="2" t="str">
        <f t="shared" si="10"/>
        <v>Error?</v>
      </c>
    </row>
    <row r="757" spans="1:4" x14ac:dyDescent="0.2">
      <c r="A757" s="5">
        <v>696</v>
      </c>
      <c r="B757" s="1832">
        <f>'Expenditures 15-22'!C114</f>
        <v>40893558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1939632</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316338</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102005</v>
      </c>
      <c r="D774" s="2" t="str">
        <f t="shared" si="11"/>
        <v>Error?</v>
      </c>
    </row>
    <row r="775" spans="1:4" x14ac:dyDescent="0.2">
      <c r="A775" s="5">
        <v>714</v>
      </c>
      <c r="B775" s="1832">
        <f>'Expenditures 15-22'!D13</f>
        <v>21356</v>
      </c>
      <c r="D775" s="2" t="str">
        <f t="shared" si="11"/>
        <v>Error?</v>
      </c>
    </row>
    <row r="776" spans="1:4" x14ac:dyDescent="0.2">
      <c r="A776" s="5">
        <v>715</v>
      </c>
      <c r="B776" s="1832">
        <f>'Expenditures 15-22'!D14</f>
        <v>70585</v>
      </c>
      <c r="D776" s="2" t="str">
        <f t="shared" si="11"/>
        <v>Error?</v>
      </c>
    </row>
    <row r="777" spans="1:4" x14ac:dyDescent="0.2">
      <c r="A777" s="5">
        <v>716</v>
      </c>
      <c r="B777" s="1832">
        <f>'Expenditures 15-22'!D15</f>
        <v>488</v>
      </c>
      <c r="D777" s="2" t="str">
        <f t="shared" si="11"/>
        <v>Error?</v>
      </c>
    </row>
    <row r="778" spans="1:4" x14ac:dyDescent="0.2">
      <c r="A778" s="5">
        <v>717</v>
      </c>
      <c r="B778" s="1832">
        <f>'Expenditures 15-22'!D33</f>
        <v>4157858</v>
      </c>
      <c r="C778" s="2" t="s">
        <v>569</v>
      </c>
      <c r="D778" s="2" t="str">
        <f t="shared" si="11"/>
        <v>Error?</v>
      </c>
    </row>
    <row r="779" spans="1:4" x14ac:dyDescent="0.2">
      <c r="A779" s="5">
        <v>718</v>
      </c>
      <c r="B779" s="1832">
        <f>'Expenditures 15-22'!D36</f>
        <v>229571</v>
      </c>
      <c r="D779" s="2" t="str">
        <f t="shared" si="11"/>
        <v>Error?</v>
      </c>
    </row>
    <row r="780" spans="1:4" x14ac:dyDescent="0.2">
      <c r="A780" s="5">
        <v>719</v>
      </c>
      <c r="B780" s="1832">
        <f>'Expenditures 15-22'!D37</f>
        <v>118538</v>
      </c>
      <c r="D780" s="2" t="str">
        <f t="shared" si="11"/>
        <v>Error?</v>
      </c>
    </row>
    <row r="781" spans="1:4" x14ac:dyDescent="0.2">
      <c r="A781" s="5">
        <v>720</v>
      </c>
      <c r="B781" s="1832">
        <f>'Expenditures 15-22'!D38</f>
        <v>131439</v>
      </c>
      <c r="D781" s="2" t="str">
        <f t="shared" si="11"/>
        <v>Error?</v>
      </c>
    </row>
    <row r="782" spans="1:4" x14ac:dyDescent="0.2">
      <c r="A782" s="5">
        <v>721</v>
      </c>
      <c r="B782" s="1832">
        <f>'Expenditures 15-22'!D39</f>
        <v>61150</v>
      </c>
      <c r="D782" s="2" t="str">
        <f t="shared" si="11"/>
        <v>Error?</v>
      </c>
    </row>
    <row r="783" spans="1:4" x14ac:dyDescent="0.2">
      <c r="A783" s="5">
        <v>722</v>
      </c>
      <c r="B783" s="1832">
        <f>'Expenditures 15-22'!D40</f>
        <v>108582</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649280</v>
      </c>
      <c r="C785" s="2" t="s">
        <v>569</v>
      </c>
      <c r="D785" s="2" t="str">
        <f t="shared" si="11"/>
        <v>Error?</v>
      </c>
    </row>
    <row r="786" spans="1:4" x14ac:dyDescent="0.2">
      <c r="A786" s="5">
        <v>725</v>
      </c>
      <c r="B786" s="1832">
        <f>'Expenditures 15-22'!D44</f>
        <v>79856</v>
      </c>
      <c r="D786" s="2" t="str">
        <f t="shared" si="11"/>
        <v>Error?</v>
      </c>
    </row>
    <row r="787" spans="1:4" x14ac:dyDescent="0.2">
      <c r="A787" s="5">
        <v>726</v>
      </c>
      <c r="B787" s="1832">
        <f>'Expenditures 15-22'!D45</f>
        <v>111514</v>
      </c>
      <c r="D787" s="2" t="str">
        <f t="shared" si="11"/>
        <v>Error?</v>
      </c>
    </row>
    <row r="788" spans="1:4" x14ac:dyDescent="0.2">
      <c r="A788" s="5">
        <v>727</v>
      </c>
      <c r="B788" s="1832">
        <f>'Expenditures 15-22'!D46</f>
        <v>12039</v>
      </c>
      <c r="D788" s="2" t="str">
        <f t="shared" si="11"/>
        <v>Error?</v>
      </c>
    </row>
    <row r="789" spans="1:4" x14ac:dyDescent="0.2">
      <c r="A789" s="5">
        <v>728</v>
      </c>
      <c r="B789" s="1832">
        <f>'Expenditures 15-22'!D47</f>
        <v>203409</v>
      </c>
      <c r="C789" s="2" t="s">
        <v>569</v>
      </c>
      <c r="D789" s="2" t="str">
        <f t="shared" si="11"/>
        <v>Error?</v>
      </c>
    </row>
    <row r="790" spans="1:4" x14ac:dyDescent="0.2">
      <c r="A790" s="5">
        <v>729</v>
      </c>
      <c r="B790" s="1832">
        <f>'Expenditures 15-22'!D49</f>
        <v>17547</v>
      </c>
      <c r="D790" s="2" t="str">
        <f t="shared" si="11"/>
        <v>Error?</v>
      </c>
    </row>
    <row r="791" spans="1:4" x14ac:dyDescent="0.2">
      <c r="A791" s="5">
        <v>730</v>
      </c>
      <c r="B791" s="1832">
        <f>'Expenditures 15-22'!D50</f>
        <v>42617</v>
      </c>
      <c r="D791" s="2" t="str">
        <f t="shared" si="11"/>
        <v>Error?</v>
      </c>
    </row>
    <row r="792" spans="1:4" x14ac:dyDescent="0.2">
      <c r="A792" s="5">
        <v>731</v>
      </c>
      <c r="B792" s="1832">
        <f>'Expenditures 15-22'!D53</f>
        <v>130633</v>
      </c>
      <c r="C792" s="2" t="s">
        <v>569</v>
      </c>
      <c r="D792" s="2" t="str">
        <f t="shared" si="11"/>
        <v>Error?</v>
      </c>
    </row>
    <row r="793" spans="1:4" x14ac:dyDescent="0.2">
      <c r="A793" s="5">
        <v>732</v>
      </c>
      <c r="B793" s="1832">
        <f>'Expenditures 15-22'!D55</f>
        <v>285448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285448</v>
      </c>
      <c r="C795" s="2" t="s">
        <v>569</v>
      </c>
      <c r="D795" s="2" t="str">
        <f t="shared" si="11"/>
        <v>Error?</v>
      </c>
    </row>
    <row r="796" spans="1:4" x14ac:dyDescent="0.2">
      <c r="A796" s="5">
        <v>735</v>
      </c>
      <c r="B796" s="1832">
        <f>'Expenditures 15-22'!D59</f>
        <v>14617</v>
      </c>
      <c r="D796" s="2" t="str">
        <f t="shared" si="11"/>
        <v>Error?</v>
      </c>
    </row>
    <row r="797" spans="1:4" x14ac:dyDescent="0.2">
      <c r="A797" s="5">
        <v>736</v>
      </c>
      <c r="B797" s="1832">
        <f>'Expenditures 15-22'!D60</f>
        <v>35890</v>
      </c>
      <c r="D797" s="2" t="str">
        <f t="shared" si="11"/>
        <v>Error?</v>
      </c>
    </row>
    <row r="798" spans="1:4" x14ac:dyDescent="0.2">
      <c r="A798" s="5">
        <v>737</v>
      </c>
      <c r="B798" s="1832">
        <f>'Expenditures 15-22'!D61</f>
        <v>498</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45729</v>
      </c>
      <c r="D801" s="2" t="str">
        <f t="shared" si="11"/>
        <v>Error?</v>
      </c>
    </row>
    <row r="802" spans="1:4" x14ac:dyDescent="0.2">
      <c r="A802" s="10">
        <v>741</v>
      </c>
      <c r="B802" s="1832"/>
      <c r="D802" s="2" t="str">
        <f t="shared" si="11"/>
        <v>OK</v>
      </c>
    </row>
    <row r="803" spans="1:4" x14ac:dyDescent="0.2">
      <c r="A803" s="5">
        <v>742</v>
      </c>
      <c r="B803" s="1832">
        <f>'Expenditures 15-22'!D65</f>
        <v>96734</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65505</v>
      </c>
      <c r="D805" s="2" t="str">
        <f t="shared" si="11"/>
        <v>Error?</v>
      </c>
    </row>
    <row r="806" spans="1:4" x14ac:dyDescent="0.2">
      <c r="A806" s="5">
        <v>745</v>
      </c>
      <c r="B806" s="1832">
        <f>'Expenditures 15-22'!D69</f>
        <v>5486</v>
      </c>
      <c r="D806" s="2" t="str">
        <f t="shared" si="11"/>
        <v>Error?</v>
      </c>
    </row>
    <row r="807" spans="1:4" x14ac:dyDescent="0.2">
      <c r="A807" s="5">
        <v>746</v>
      </c>
      <c r="B807" s="1832">
        <f>'Expenditures 15-22'!D70</f>
        <v>84652</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155643</v>
      </c>
      <c r="C811" s="2" t="s">
        <v>569</v>
      </c>
      <c r="D811" s="2" t="str">
        <f t="shared" si="11"/>
        <v>Error?</v>
      </c>
    </row>
    <row r="812" spans="1:4" x14ac:dyDescent="0.2">
      <c r="A812" s="5">
        <v>751</v>
      </c>
      <c r="B812" s="1832">
        <f>'Expenditures 15-22'!D73</f>
        <v>26232</v>
      </c>
      <c r="D812" s="2" t="str">
        <f t="shared" si="11"/>
        <v>Error?</v>
      </c>
    </row>
    <row r="813" spans="1:4" x14ac:dyDescent="0.2">
      <c r="A813" s="5">
        <v>752</v>
      </c>
      <c r="B813" s="1832">
        <f>'Expenditures 15-22'!D74</f>
        <v>1547379</v>
      </c>
      <c r="C813" s="2" t="s">
        <v>569</v>
      </c>
      <c r="D813" s="2" t="str">
        <f t="shared" si="11"/>
        <v>Error?</v>
      </c>
    </row>
    <row r="814" spans="1:4" x14ac:dyDescent="0.2">
      <c r="A814" s="5">
        <v>753</v>
      </c>
      <c r="B814" s="1832">
        <f>'Expenditures 15-22'!D75</f>
        <v>322020</v>
      </c>
      <c r="D814" s="2" t="str">
        <f t="shared" si="11"/>
        <v>Error?</v>
      </c>
    </row>
    <row r="815" spans="1:4" x14ac:dyDescent="0.2">
      <c r="A815" s="5">
        <v>754</v>
      </c>
      <c r="B815" s="1832">
        <f>'Expenditures 15-22'!D114</f>
        <v>6027257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275092</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11468</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5238</v>
      </c>
      <c r="D832" s="2" t="str">
        <f t="shared" si="12"/>
        <v>Error?</v>
      </c>
    </row>
    <row r="833" spans="1:4" x14ac:dyDescent="0.2">
      <c r="A833" s="5">
        <v>772</v>
      </c>
      <c r="B833" s="1832">
        <f>'Expenditures 15-22'!E13</f>
        <v>4785</v>
      </c>
      <c r="D833" s="2" t="str">
        <f t="shared" si="12"/>
        <v>Error?</v>
      </c>
    </row>
    <row r="834" spans="1:4" x14ac:dyDescent="0.2">
      <c r="A834" s="5">
        <v>773</v>
      </c>
      <c r="B834" s="1832">
        <f>'Expenditures 15-22'!E14</f>
        <v>50358</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1379492</v>
      </c>
      <c r="C836" s="2" t="s">
        <v>569</v>
      </c>
      <c r="D836" s="2" t="str">
        <f t="shared" si="12"/>
        <v>Error?</v>
      </c>
    </row>
    <row r="837" spans="1:4" x14ac:dyDescent="0.2">
      <c r="A837" s="5">
        <v>776</v>
      </c>
      <c r="B837" s="1832">
        <f>'Expenditures 15-22'!E36</f>
        <v>22998</v>
      </c>
      <c r="D837" s="2" t="str">
        <f t="shared" si="12"/>
        <v>Error?</v>
      </c>
    </row>
    <row r="838" spans="1:4" x14ac:dyDescent="0.2">
      <c r="A838" s="5">
        <v>777</v>
      </c>
      <c r="B838" s="1832">
        <f>'Expenditures 15-22'!E37</f>
        <v>15378</v>
      </c>
      <c r="D838" s="2" t="str">
        <f t="shared" si="12"/>
        <v>Error?</v>
      </c>
    </row>
    <row r="839" spans="1:4" x14ac:dyDescent="0.2">
      <c r="A839" s="5">
        <v>778</v>
      </c>
      <c r="B839" s="1832">
        <f>'Expenditures 15-22'!E38</f>
        <v>27234</v>
      </c>
      <c r="D839" s="2" t="str">
        <f t="shared" si="12"/>
        <v>Error?</v>
      </c>
    </row>
    <row r="840" spans="1:4" x14ac:dyDescent="0.2">
      <c r="A840" s="5">
        <v>779</v>
      </c>
      <c r="B840" s="1832">
        <f>'Expenditures 15-22'!E39</f>
        <v>3240</v>
      </c>
      <c r="D840" s="2" t="str">
        <f t="shared" si="12"/>
        <v>Error?</v>
      </c>
    </row>
    <row r="841" spans="1:4" x14ac:dyDescent="0.2">
      <c r="A841" s="5">
        <v>780</v>
      </c>
      <c r="B841" s="1832">
        <f>'Expenditures 15-22'!E40</f>
        <v>74229</v>
      </c>
      <c r="D841" s="2" t="str">
        <f t="shared" si="12"/>
        <v>Error?</v>
      </c>
    </row>
    <row r="842" spans="1:4" x14ac:dyDescent="0.2">
      <c r="A842" s="5">
        <v>781</v>
      </c>
      <c r="B842" s="1832">
        <f>'Expenditures 15-22'!E41</f>
        <v>211370</v>
      </c>
      <c r="D842" s="2" t="str">
        <f t="shared" si="12"/>
        <v>Error?</v>
      </c>
    </row>
    <row r="843" spans="1:4" x14ac:dyDescent="0.2">
      <c r="A843" s="5">
        <v>782</v>
      </c>
      <c r="B843" s="1832">
        <f>'Expenditures 15-22'!E42</f>
        <v>354449</v>
      </c>
      <c r="C843" s="2" t="s">
        <v>569</v>
      </c>
      <c r="D843" s="2" t="str">
        <f t="shared" si="12"/>
        <v>Error?</v>
      </c>
    </row>
    <row r="844" spans="1:4" x14ac:dyDescent="0.2">
      <c r="A844" s="5">
        <v>783</v>
      </c>
      <c r="B844" s="1832">
        <f>'Expenditures 15-22'!E44</f>
        <v>280704</v>
      </c>
      <c r="D844" s="2" t="str">
        <f t="shared" si="12"/>
        <v>Error?</v>
      </c>
    </row>
    <row r="845" spans="1:4" x14ac:dyDescent="0.2">
      <c r="A845" s="5">
        <v>784</v>
      </c>
      <c r="B845" s="1832">
        <f>'Expenditures 15-22'!E45</f>
        <v>25766</v>
      </c>
      <c r="D845" s="2" t="str">
        <f t="shared" si="12"/>
        <v>Error?</v>
      </c>
    </row>
    <row r="846" spans="1:4" x14ac:dyDescent="0.2">
      <c r="A846" s="5">
        <v>785</v>
      </c>
      <c r="B846" s="1832">
        <f>'Expenditures 15-22'!E46</f>
        <v>85642</v>
      </c>
      <c r="D846" s="2" t="str">
        <f t="shared" si="12"/>
        <v>Error?</v>
      </c>
    </row>
    <row r="847" spans="1:4" x14ac:dyDescent="0.2">
      <c r="A847" s="5">
        <v>786</v>
      </c>
      <c r="B847" s="1832">
        <f>'Expenditures 15-22'!E47</f>
        <v>392112</v>
      </c>
      <c r="C847" s="2" t="s">
        <v>569</v>
      </c>
      <c r="D847" s="2" t="str">
        <f t="shared" si="12"/>
        <v>Error?</v>
      </c>
    </row>
    <row r="848" spans="1:4" x14ac:dyDescent="0.2">
      <c r="A848" s="5">
        <v>787</v>
      </c>
      <c r="B848" s="1832">
        <f>'Expenditures 15-22'!E49</f>
        <v>72675</v>
      </c>
      <c r="D848" s="2" t="str">
        <f t="shared" si="12"/>
        <v>Error?</v>
      </c>
    </row>
    <row r="849" spans="1:4" x14ac:dyDescent="0.2">
      <c r="A849" s="5">
        <v>788</v>
      </c>
      <c r="B849" s="1832">
        <f>'Expenditures 15-22'!E50</f>
        <v>10642</v>
      </c>
      <c r="D849" s="2" t="str">
        <f t="shared" si="12"/>
        <v>Error?</v>
      </c>
    </row>
    <row r="850" spans="1:4" x14ac:dyDescent="0.2">
      <c r="A850" s="5">
        <v>789</v>
      </c>
      <c r="B850" s="1832">
        <f>'Expenditures 15-22'!E53</f>
        <v>98906</v>
      </c>
      <c r="C850" s="2" t="s">
        <v>569</v>
      </c>
      <c r="D850" s="2" t="str">
        <f t="shared" si="12"/>
        <v>Error?</v>
      </c>
    </row>
    <row r="851" spans="1:4" x14ac:dyDescent="0.2">
      <c r="A851" s="5">
        <v>790</v>
      </c>
      <c r="B851" s="1832">
        <f>'Expenditures 15-22'!E55</f>
        <v>49014</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49014</v>
      </c>
      <c r="C853" s="2" t="s">
        <v>569</v>
      </c>
      <c r="D853" s="2" t="str">
        <f t="shared" si="12"/>
        <v>Error?</v>
      </c>
    </row>
    <row r="854" spans="1:4" x14ac:dyDescent="0.2">
      <c r="A854" s="5">
        <v>793</v>
      </c>
      <c r="B854" s="1832">
        <f>'Expenditures 15-22'!E59</f>
        <v>726</v>
      </c>
      <c r="D854" s="2" t="str">
        <f t="shared" si="12"/>
        <v>Error?</v>
      </c>
    </row>
    <row r="855" spans="1:4" x14ac:dyDescent="0.2">
      <c r="A855" s="5">
        <v>794</v>
      </c>
      <c r="B855" s="1832">
        <f>'Expenditures 15-22'!E60</f>
        <v>2554</v>
      </c>
      <c r="D855" s="2" t="str">
        <f t="shared" si="12"/>
        <v>Error?</v>
      </c>
    </row>
    <row r="856" spans="1:4" x14ac:dyDescent="0.2">
      <c r="A856" s="5">
        <v>795</v>
      </c>
      <c r="B856" s="1832">
        <f>'Expenditures 15-22'!E61</f>
        <v>238646</v>
      </c>
      <c r="D856" s="2" t="str">
        <f t="shared" si="12"/>
        <v>Error?</v>
      </c>
    </row>
    <row r="857" spans="1:4" x14ac:dyDescent="0.2">
      <c r="A857" s="5">
        <v>796</v>
      </c>
      <c r="B857" s="1832">
        <f>'Expenditures 15-22'!E62</f>
        <v>1000</v>
      </c>
      <c r="D857" s="2" t="str">
        <f t="shared" si="12"/>
        <v>Error?</v>
      </c>
    </row>
    <row r="858" spans="1:4" x14ac:dyDescent="0.2">
      <c r="A858" s="5">
        <v>797</v>
      </c>
      <c r="B858" s="1832">
        <f>'Expenditures 15-22'!E63</f>
        <v>1696539</v>
      </c>
      <c r="D858" s="2" t="str">
        <f t="shared" si="12"/>
        <v>Error?</v>
      </c>
    </row>
    <row r="859" spans="1:4" x14ac:dyDescent="0.2">
      <c r="A859" s="5">
        <v>798</v>
      </c>
      <c r="B859" s="1832">
        <f>'Expenditures 15-22'!E64</f>
        <v>1523</v>
      </c>
      <c r="D859" s="2" t="str">
        <f t="shared" si="12"/>
        <v>Error?</v>
      </c>
    </row>
    <row r="860" spans="1:4" x14ac:dyDescent="0.2">
      <c r="A860" s="10">
        <v>799</v>
      </c>
      <c r="B860" s="1832"/>
      <c r="D860" s="2" t="str">
        <f t="shared" si="12"/>
        <v>OK</v>
      </c>
    </row>
    <row r="861" spans="1:4" x14ac:dyDescent="0.2">
      <c r="A861" s="5">
        <v>800</v>
      </c>
      <c r="B861" s="1832">
        <f>'Expenditures 15-22'!E65</f>
        <v>1940988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2793</v>
      </c>
      <c r="D864" s="2" t="str">
        <f t="shared" si="12"/>
        <v>Error?</v>
      </c>
    </row>
    <row r="865" spans="1:4" x14ac:dyDescent="0.2">
      <c r="A865" s="5">
        <v>804</v>
      </c>
      <c r="B865" s="1832">
        <f>'Expenditures 15-22'!E70</f>
        <v>56363</v>
      </c>
      <c r="D865" s="2" t="str">
        <f t="shared" si="12"/>
        <v>Error?</v>
      </c>
    </row>
    <row r="866" spans="1:4" x14ac:dyDescent="0.2">
      <c r="A866" s="10">
        <v>805</v>
      </c>
      <c r="B866" s="1832"/>
      <c r="D866" s="2" t="str">
        <f t="shared" si="12"/>
        <v>OK</v>
      </c>
    </row>
    <row r="867" spans="1:4" x14ac:dyDescent="0.2">
      <c r="A867" s="5">
        <v>806</v>
      </c>
      <c r="B867" s="1832">
        <f>'Expenditures 15-22'!E71</f>
        <v>12785</v>
      </c>
      <c r="D867" s="2" t="str">
        <f t="shared" si="12"/>
        <v>Error?</v>
      </c>
    </row>
    <row r="868" spans="1:4" x14ac:dyDescent="0.2">
      <c r="A868" s="10">
        <v>807</v>
      </c>
      <c r="B868" s="1832"/>
      <c r="D868" s="2" t="str">
        <f t="shared" si="12"/>
        <v>OK</v>
      </c>
    </row>
    <row r="869" spans="1:4" x14ac:dyDescent="0.2">
      <c r="A869" s="5">
        <v>808</v>
      </c>
      <c r="B869" s="1832">
        <f>'Expenditures 15-22'!E72</f>
        <v>71941</v>
      </c>
      <c r="C869" s="2" t="s">
        <v>569</v>
      </c>
      <c r="D869" s="2" t="str">
        <f t="shared" si="12"/>
        <v>Error?</v>
      </c>
    </row>
    <row r="870" spans="1:4" x14ac:dyDescent="0.2">
      <c r="A870" s="5">
        <v>809</v>
      </c>
      <c r="B870" s="1832">
        <f>'Expenditures 15-22'!E73</f>
        <v>2073</v>
      </c>
      <c r="D870" s="2" t="str">
        <f t="shared" si="12"/>
        <v>Error?</v>
      </c>
    </row>
    <row r="871" spans="1:4" x14ac:dyDescent="0.2">
      <c r="A871" s="5">
        <v>810</v>
      </c>
      <c r="B871" s="1832">
        <f>'Expenditures 15-22'!E74</f>
        <v>2909483</v>
      </c>
      <c r="C871" s="2" t="s">
        <v>569</v>
      </c>
      <c r="D871" s="2" t="str">
        <f t="shared" si="12"/>
        <v>Error?</v>
      </c>
    </row>
    <row r="872" spans="1:4" x14ac:dyDescent="0.2">
      <c r="A872" s="5">
        <v>811</v>
      </c>
      <c r="B872" s="1832">
        <f>'Expenditures 15-22'!E75</f>
        <v>87956</v>
      </c>
      <c r="D872" s="2" t="str">
        <f t="shared" si="12"/>
        <v>Error?</v>
      </c>
    </row>
    <row r="873" spans="1:4" x14ac:dyDescent="0.2">
      <c r="A873" s="5">
        <v>812</v>
      </c>
      <c r="B873" s="1832">
        <f>'Expenditures 15-22'!E114</f>
        <v>4423509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504735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30087</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25844</v>
      </c>
      <c r="D890" s="2" t="str">
        <f t="shared" si="12"/>
        <v>Error?</v>
      </c>
    </row>
    <row r="891" spans="1:4" x14ac:dyDescent="0.2">
      <c r="A891" s="5">
        <v>830</v>
      </c>
      <c r="B891" s="1832">
        <f>'Expenditures 15-22'!F13</f>
        <v>7797</v>
      </c>
      <c r="D891" s="2" t="str">
        <f t="shared" si="12"/>
        <v>Error?</v>
      </c>
    </row>
    <row r="892" spans="1:4" x14ac:dyDescent="0.2">
      <c r="A892" s="5">
        <v>831</v>
      </c>
      <c r="B892" s="1832">
        <f>'Expenditures 15-22'!F14</f>
        <v>36370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794785</v>
      </c>
      <c r="C894" s="2" t="s">
        <v>569</v>
      </c>
      <c r="D894" s="2" t="str">
        <f t="shared" si="12"/>
        <v>Error?</v>
      </c>
    </row>
    <row r="895" spans="1:4" x14ac:dyDescent="0.2">
      <c r="A895" s="5">
        <v>834</v>
      </c>
      <c r="B895" s="1832">
        <f>'Expenditures 15-22'!F36</f>
        <v>1531</v>
      </c>
      <c r="D895" s="2" t="str">
        <f t="shared" ref="D895:D958" si="13">IF(ISBLANK(B895),"OK",IF(A895-B895=0,"OK","Error?"))</f>
        <v>Error?</v>
      </c>
    </row>
    <row r="896" spans="1:4" x14ac:dyDescent="0.2">
      <c r="A896" s="5">
        <v>835</v>
      </c>
      <c r="B896" s="1832">
        <f>'Expenditures 15-22'!F37</f>
        <v>3814</v>
      </c>
      <c r="D896" s="2" t="str">
        <f t="shared" si="13"/>
        <v>Error?</v>
      </c>
    </row>
    <row r="897" spans="1:4" x14ac:dyDescent="0.2">
      <c r="A897" s="5">
        <v>836</v>
      </c>
      <c r="B897" s="1832">
        <f>'Expenditures 15-22'!F38</f>
        <v>5098</v>
      </c>
      <c r="D897" s="2" t="str">
        <f t="shared" si="13"/>
        <v>Error?</v>
      </c>
    </row>
    <row r="898" spans="1:4" x14ac:dyDescent="0.2">
      <c r="A898" s="5">
        <v>837</v>
      </c>
      <c r="B898" s="1832">
        <f>'Expenditures 15-22'!F39</f>
        <v>9298</v>
      </c>
      <c r="D898" s="2" t="str">
        <f t="shared" si="13"/>
        <v>Error?</v>
      </c>
    </row>
    <row r="899" spans="1:4" x14ac:dyDescent="0.2">
      <c r="A899" s="5">
        <v>838</v>
      </c>
      <c r="B899" s="1832">
        <f>'Expenditures 15-22'!F40</f>
        <v>2689</v>
      </c>
      <c r="D899" s="2" t="str">
        <f t="shared" si="13"/>
        <v>Error?</v>
      </c>
    </row>
    <row r="900" spans="1:4" x14ac:dyDescent="0.2">
      <c r="A900" s="5">
        <v>839</v>
      </c>
      <c r="B900" s="1832">
        <f>'Expenditures 15-22'!F41</f>
        <v>10393</v>
      </c>
      <c r="D900" s="2" t="str">
        <f t="shared" si="13"/>
        <v>Error?</v>
      </c>
    </row>
    <row r="901" spans="1:4" x14ac:dyDescent="0.2">
      <c r="A901" s="5">
        <v>840</v>
      </c>
      <c r="B901" s="1832">
        <f>'Expenditures 15-22'!F42</f>
        <v>32823</v>
      </c>
      <c r="C901" s="2" t="s">
        <v>569</v>
      </c>
      <c r="D901" s="2" t="str">
        <f t="shared" si="13"/>
        <v>Error?</v>
      </c>
    </row>
    <row r="902" spans="1:4" x14ac:dyDescent="0.2">
      <c r="A902" s="5">
        <v>841</v>
      </c>
      <c r="B902" s="1832">
        <f>'Expenditures 15-22'!F44</f>
        <v>23509</v>
      </c>
      <c r="D902" s="2" t="str">
        <f t="shared" si="13"/>
        <v>Error?</v>
      </c>
    </row>
    <row r="903" spans="1:4" x14ac:dyDescent="0.2">
      <c r="A903" s="5">
        <v>842</v>
      </c>
      <c r="B903" s="1832">
        <f>'Expenditures 15-22'!F45</f>
        <v>36259</v>
      </c>
      <c r="D903" s="2" t="str">
        <f t="shared" si="13"/>
        <v>Error?</v>
      </c>
    </row>
    <row r="904" spans="1:4" x14ac:dyDescent="0.2">
      <c r="A904" s="5">
        <v>843</v>
      </c>
      <c r="B904" s="1832">
        <f>'Expenditures 15-22'!F46</f>
        <v>153</v>
      </c>
      <c r="D904" s="2" t="str">
        <f t="shared" si="13"/>
        <v>Error?</v>
      </c>
    </row>
    <row r="905" spans="1:4" x14ac:dyDescent="0.2">
      <c r="A905" s="5">
        <v>844</v>
      </c>
      <c r="B905" s="1832">
        <f>'Expenditures 15-22'!F47</f>
        <v>59921</v>
      </c>
      <c r="C905" s="2" t="s">
        <v>569</v>
      </c>
      <c r="D905" s="2" t="str">
        <f t="shared" si="13"/>
        <v>Error?</v>
      </c>
    </row>
    <row r="906" spans="1:4" x14ac:dyDescent="0.2">
      <c r="A906" s="5">
        <v>845</v>
      </c>
      <c r="B906" s="1832">
        <f>'Expenditures 15-22'!F49</f>
        <v>9989</v>
      </c>
      <c r="D906" s="2" t="str">
        <f t="shared" si="13"/>
        <v>Error?</v>
      </c>
    </row>
    <row r="907" spans="1:4" x14ac:dyDescent="0.2">
      <c r="A907" s="5">
        <v>846</v>
      </c>
      <c r="B907" s="1832">
        <f>'Expenditures 15-22'!F50</f>
        <v>3019</v>
      </c>
      <c r="D907" s="2" t="str">
        <f t="shared" si="13"/>
        <v>Error?</v>
      </c>
    </row>
    <row r="908" spans="1:4" x14ac:dyDescent="0.2">
      <c r="A908" s="5">
        <v>847</v>
      </c>
      <c r="B908" s="1832">
        <f>'Expenditures 15-22'!F53</f>
        <v>20333</v>
      </c>
      <c r="C908" s="2" t="s">
        <v>569</v>
      </c>
      <c r="D908" s="2" t="str">
        <f t="shared" si="13"/>
        <v>Error?</v>
      </c>
    </row>
    <row r="909" spans="1:4" x14ac:dyDescent="0.2">
      <c r="A909" s="5">
        <v>848</v>
      </c>
      <c r="B909" s="1832">
        <f>'Expenditures 15-22'!F55</f>
        <v>30789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30789</v>
      </c>
      <c r="C911" s="2" t="s">
        <v>569</v>
      </c>
      <c r="D911" s="2" t="str">
        <f t="shared" si="13"/>
        <v>Error?</v>
      </c>
    </row>
    <row r="912" spans="1:4" x14ac:dyDescent="0.2">
      <c r="A912" s="5">
        <v>851</v>
      </c>
      <c r="B912" s="1832">
        <f>'Expenditures 15-22'!F59</f>
        <v>1909</v>
      </c>
      <c r="D912" s="2" t="str">
        <f t="shared" si="13"/>
        <v>Error?</v>
      </c>
    </row>
    <row r="913" spans="1:4" x14ac:dyDescent="0.2">
      <c r="A913" s="5">
        <v>852</v>
      </c>
      <c r="B913" s="1832">
        <f>'Expenditures 15-22'!F60</f>
        <v>61606</v>
      </c>
      <c r="D913" s="2" t="str">
        <f t="shared" si="13"/>
        <v>Error?</v>
      </c>
    </row>
    <row r="914" spans="1:4" x14ac:dyDescent="0.2">
      <c r="A914" s="5">
        <v>853</v>
      </c>
      <c r="B914" s="1832">
        <f>'Expenditures 15-22'!F61</f>
        <v>1074124</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66848</v>
      </c>
      <c r="D916" s="2" t="str">
        <f t="shared" si="13"/>
        <v>Error?</v>
      </c>
    </row>
    <row r="917" spans="1:4" x14ac:dyDescent="0.2">
      <c r="A917" s="5">
        <v>856</v>
      </c>
      <c r="B917" s="1832">
        <f>'Expenditures 15-22'!F64</f>
        <v>168830</v>
      </c>
      <c r="D917" s="2" t="str">
        <f t="shared" si="13"/>
        <v>Error?</v>
      </c>
    </row>
    <row r="918" spans="1:4" x14ac:dyDescent="0.2">
      <c r="A918" s="10">
        <v>857</v>
      </c>
      <c r="B918" s="1832"/>
      <c r="D918" s="2" t="str">
        <f t="shared" si="13"/>
        <v>OK</v>
      </c>
    </row>
    <row r="919" spans="1:4" x14ac:dyDescent="0.2">
      <c r="A919" s="5">
        <v>858</v>
      </c>
      <c r="B919" s="1832">
        <f>'Expenditures 15-22'!F65</f>
        <v>1373317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1929</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12175</v>
      </c>
      <c r="D923" s="2" t="str">
        <f t="shared" si="13"/>
        <v>Error?</v>
      </c>
    </row>
    <row r="924" spans="1:4" x14ac:dyDescent="0.2">
      <c r="A924" s="10">
        <v>863</v>
      </c>
      <c r="B924" s="1832"/>
      <c r="D924" s="2" t="str">
        <f t="shared" si="13"/>
        <v>OK</v>
      </c>
    </row>
    <row r="925" spans="1:4" x14ac:dyDescent="0.2">
      <c r="A925" s="5">
        <v>864</v>
      </c>
      <c r="B925" s="1832">
        <f>'Expenditures 15-22'!F71</f>
        <v>2487</v>
      </c>
      <c r="D925" s="2" t="str">
        <f t="shared" si="13"/>
        <v>Error?</v>
      </c>
    </row>
    <row r="926" spans="1:4" x14ac:dyDescent="0.2">
      <c r="A926" s="10">
        <v>865</v>
      </c>
      <c r="B926" s="1832"/>
      <c r="D926" s="2" t="str">
        <f t="shared" si="13"/>
        <v>OK</v>
      </c>
    </row>
    <row r="927" spans="1:4" x14ac:dyDescent="0.2">
      <c r="A927" s="5">
        <v>866</v>
      </c>
      <c r="B927" s="1832">
        <f>'Expenditures 15-22'!F72</f>
        <v>16591</v>
      </c>
      <c r="C927" s="2" t="s">
        <v>569</v>
      </c>
      <c r="D927" s="2" t="str">
        <f t="shared" si="13"/>
        <v>Error?</v>
      </c>
    </row>
    <row r="928" spans="1:4" x14ac:dyDescent="0.2">
      <c r="A928" s="5">
        <v>867</v>
      </c>
      <c r="B928" s="1832">
        <f>'Expenditures 15-22'!F73</f>
        <v>13835</v>
      </c>
      <c r="D928" s="2" t="str">
        <f t="shared" si="13"/>
        <v>Error?</v>
      </c>
    </row>
    <row r="929" spans="1:4" x14ac:dyDescent="0.2">
      <c r="A929" s="5">
        <v>868</v>
      </c>
      <c r="B929" s="1832">
        <f>'Expenditures 15-22'!F74</f>
        <v>1547609</v>
      </c>
      <c r="C929" s="2" t="s">
        <v>569</v>
      </c>
      <c r="D929" s="2" t="str">
        <f t="shared" si="13"/>
        <v>Error?</v>
      </c>
    </row>
    <row r="930" spans="1:4" x14ac:dyDescent="0.2">
      <c r="A930" s="5">
        <v>869</v>
      </c>
      <c r="B930" s="1832">
        <f>'Expenditures 15-22'!F75</f>
        <v>57986</v>
      </c>
      <c r="D930" s="2" t="str">
        <f t="shared" si="13"/>
        <v>Error?</v>
      </c>
    </row>
    <row r="931" spans="1:4" x14ac:dyDescent="0.2">
      <c r="A931" s="5">
        <v>870</v>
      </c>
      <c r="B931" s="1832">
        <f>'Expenditures 15-22'!F114</f>
        <v>2400380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48209</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6148</v>
      </c>
      <c r="D949" s="2" t="str">
        <f t="shared" si="13"/>
        <v>Error?</v>
      </c>
    </row>
    <row r="950" spans="1:4" x14ac:dyDescent="0.2">
      <c r="A950" s="5">
        <v>889</v>
      </c>
      <c r="B950" s="1832">
        <f>'Expenditures 15-22'!G14</f>
        <v>20689</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82922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20608</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20608</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585</v>
      </c>
      <c r="D965" s="2" t="str">
        <f t="shared" si="14"/>
        <v>Error?</v>
      </c>
    </row>
    <row r="966" spans="1:4" x14ac:dyDescent="0.2">
      <c r="A966" s="5">
        <v>905</v>
      </c>
      <c r="B966" s="1832">
        <f>'Expenditures 15-22'!G53</f>
        <v>585</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10102</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10102</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5067</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2099</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7166</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38461</v>
      </c>
      <c r="C987" s="2" t="s">
        <v>569</v>
      </c>
      <c r="D987" s="2" t="str">
        <f t="shared" si="14"/>
        <v>Error?</v>
      </c>
    </row>
    <row r="988" spans="1:4" x14ac:dyDescent="0.2">
      <c r="A988" s="5">
        <v>927</v>
      </c>
      <c r="B988" s="1832">
        <f>'Expenditures 15-22'!G75</f>
        <v>2205</v>
      </c>
      <c r="D988" s="2" t="str">
        <f t="shared" si="14"/>
        <v>Error?</v>
      </c>
    </row>
    <row r="989" spans="1:4" x14ac:dyDescent="0.2">
      <c r="A989" s="5">
        <v>928</v>
      </c>
      <c r="B989" s="1832">
        <f>'Expenditures 15-22'!G114</f>
        <v>123588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3890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1402201</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77743</v>
      </c>
      <c r="D1022" s="2" t="str">
        <f t="shared" si="14"/>
        <v>Error?</v>
      </c>
    </row>
    <row r="1023" spans="1:4" x14ac:dyDescent="0.2">
      <c r="A1023" s="5">
        <v>962</v>
      </c>
      <c r="B1023" s="1832">
        <f>'Expenditures 15-22'!H50</f>
        <v>1230</v>
      </c>
      <c r="D1023" s="2" t="str">
        <f t="shared" ref="D1023:D1086" si="15">IF(ISBLANK(B1023),"OK",IF(A1023-B1023=0,"OK","Error?"))</f>
        <v>Error?</v>
      </c>
    </row>
    <row r="1024" spans="1:4" x14ac:dyDescent="0.2">
      <c r="A1024" s="5">
        <v>963</v>
      </c>
      <c r="B1024" s="1832">
        <f>'Expenditures 15-22'!H53</f>
        <v>78973</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78973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811712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2292886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17572258</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2262384</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588326</v>
      </c>
      <c r="C1104" s="2" t="s">
        <v>569</v>
      </c>
      <c r="D1104" s="2" t="str">
        <f t="shared" si="16"/>
        <v>Error?</v>
      </c>
    </row>
    <row r="1105" spans="1:4" x14ac:dyDescent="0.2">
      <c r="A1105" s="5">
        <v>1044</v>
      </c>
      <c r="B1105" s="1832">
        <f>'Expenditures 15-22'!K13</f>
        <v>134770</v>
      </c>
      <c r="C1105" s="2" t="s">
        <v>569</v>
      </c>
      <c r="D1105" s="2" t="str">
        <f t="shared" si="16"/>
        <v>Error?</v>
      </c>
    </row>
    <row r="1106" spans="1:4" x14ac:dyDescent="0.2">
      <c r="A1106" s="5">
        <v>1045</v>
      </c>
      <c r="B1106" s="1832">
        <f>'Expenditures 15-22'!K14</f>
        <v>972233</v>
      </c>
      <c r="C1106" s="2" t="s">
        <v>569</v>
      </c>
      <c r="D1106" s="2" t="str">
        <f t="shared" si="16"/>
        <v>Error?</v>
      </c>
    </row>
    <row r="1107" spans="1:4" x14ac:dyDescent="0.2">
      <c r="A1107" s="5">
        <v>1046</v>
      </c>
      <c r="B1107" s="1832">
        <f>'Expenditures 15-22'!K15</f>
        <v>19453</v>
      </c>
      <c r="C1107" s="2" t="s">
        <v>569</v>
      </c>
      <c r="D1107" s="2" t="str">
        <f t="shared" si="16"/>
        <v>Error?</v>
      </c>
    </row>
    <row r="1108" spans="1:4" x14ac:dyDescent="0.2">
      <c r="A1108" s="5">
        <v>1047</v>
      </c>
      <c r="B1108" s="1832">
        <f>'Expenditures 15-22'!K33</f>
        <v>35118249</v>
      </c>
      <c r="C1108" s="2" t="s">
        <v>569</v>
      </c>
      <c r="D1108" s="2" t="str">
        <f t="shared" si="16"/>
        <v>Error?</v>
      </c>
    </row>
    <row r="1109" spans="1:4" x14ac:dyDescent="0.2">
      <c r="A1109" s="5">
        <v>1048</v>
      </c>
      <c r="B1109" s="1832">
        <f>'Expenditures 15-22'!K36</f>
        <v>1858808</v>
      </c>
      <c r="C1109" s="2" t="s">
        <v>569</v>
      </c>
      <c r="D1109" s="2" t="str">
        <f t="shared" si="16"/>
        <v>Error?</v>
      </c>
    </row>
    <row r="1110" spans="1:4" x14ac:dyDescent="0.2">
      <c r="A1110" s="5">
        <v>1049</v>
      </c>
      <c r="B1110" s="1832">
        <f>'Expenditures 15-22'!K37</f>
        <v>762759</v>
      </c>
      <c r="C1110" s="2" t="s">
        <v>569</v>
      </c>
      <c r="D1110" s="2" t="str">
        <f t="shared" si="16"/>
        <v>Error?</v>
      </c>
    </row>
    <row r="1111" spans="1:4" x14ac:dyDescent="0.2">
      <c r="A1111" s="5">
        <v>1050</v>
      </c>
      <c r="B1111" s="1832">
        <f>'Expenditures 15-22'!K38</f>
        <v>996934</v>
      </c>
      <c r="C1111" s="2" t="s">
        <v>569</v>
      </c>
      <c r="D1111" s="2" t="str">
        <f t="shared" si="16"/>
        <v>Error?</v>
      </c>
    </row>
    <row r="1112" spans="1:4" x14ac:dyDescent="0.2">
      <c r="A1112" s="5">
        <v>1051</v>
      </c>
      <c r="B1112" s="1832">
        <f>'Expenditures 15-22'!K39</f>
        <v>564425</v>
      </c>
      <c r="C1112" s="2" t="s">
        <v>569</v>
      </c>
      <c r="D1112" s="2" t="str">
        <f t="shared" si="16"/>
        <v>Error?</v>
      </c>
    </row>
    <row r="1113" spans="1:4" x14ac:dyDescent="0.2">
      <c r="A1113" s="5">
        <v>1052</v>
      </c>
      <c r="B1113" s="1832">
        <f>'Expenditures 15-22'!K40</f>
        <v>1056121</v>
      </c>
      <c r="C1113" s="2" t="s">
        <v>569</v>
      </c>
      <c r="D1113" s="2" t="str">
        <f t="shared" si="16"/>
        <v>Error?</v>
      </c>
    </row>
    <row r="1114" spans="1:4" x14ac:dyDescent="0.2">
      <c r="A1114" s="5">
        <v>1053</v>
      </c>
      <c r="B1114" s="1832">
        <f>'Expenditures 15-22'!K41</f>
        <v>221763</v>
      </c>
      <c r="C1114" s="2" t="s">
        <v>569</v>
      </c>
      <c r="D1114" s="2" t="str">
        <f t="shared" si="16"/>
        <v>Error?</v>
      </c>
    </row>
    <row r="1115" spans="1:4" x14ac:dyDescent="0.2">
      <c r="A1115" s="5">
        <v>1054</v>
      </c>
      <c r="B1115" s="1832">
        <f>'Expenditures 15-22'!K42</f>
        <v>5460810</v>
      </c>
      <c r="C1115" s="2" t="s">
        <v>569</v>
      </c>
      <c r="D1115" s="2" t="str">
        <f t="shared" si="16"/>
        <v>Error?</v>
      </c>
    </row>
    <row r="1116" spans="1:4" x14ac:dyDescent="0.2">
      <c r="A1116" s="5">
        <v>1055</v>
      </c>
      <c r="B1116" s="1832">
        <f>'Expenditures 15-22'!K44</f>
        <v>1267089</v>
      </c>
      <c r="C1116" s="2" t="s">
        <v>569</v>
      </c>
      <c r="D1116" s="2" t="str">
        <f t="shared" si="16"/>
        <v>Error?</v>
      </c>
    </row>
    <row r="1117" spans="1:4" x14ac:dyDescent="0.2">
      <c r="A1117" s="5">
        <v>1056</v>
      </c>
      <c r="B1117" s="1832">
        <f>'Expenditures 15-22'!K45</f>
        <v>1119202</v>
      </c>
      <c r="C1117" s="2" t="s">
        <v>569</v>
      </c>
      <c r="D1117" s="2" t="str">
        <f t="shared" si="16"/>
        <v>Error?</v>
      </c>
    </row>
    <row r="1118" spans="1:4" x14ac:dyDescent="0.2">
      <c r="A1118" s="5">
        <v>1057</v>
      </c>
      <c r="B1118" s="1832">
        <f>'Expenditures 15-22'!K46</f>
        <v>149817</v>
      </c>
      <c r="C1118" s="2" t="s">
        <v>569</v>
      </c>
      <c r="D1118" s="2" t="str">
        <f t="shared" si="16"/>
        <v>Error?</v>
      </c>
    </row>
    <row r="1119" spans="1:4" x14ac:dyDescent="0.2">
      <c r="A1119" s="5">
        <v>1058</v>
      </c>
      <c r="B1119" s="1832">
        <f>'Expenditures 15-22'!K47</f>
        <v>2536108</v>
      </c>
      <c r="C1119" s="2" t="s">
        <v>569</v>
      </c>
      <c r="D1119" s="2" t="str">
        <f t="shared" si="16"/>
        <v>Error?</v>
      </c>
    </row>
    <row r="1120" spans="1:4" x14ac:dyDescent="0.2">
      <c r="A1120" s="5">
        <v>1059</v>
      </c>
      <c r="B1120" s="1832">
        <f>'Expenditures 15-22'!K49</f>
        <v>234960</v>
      </c>
      <c r="C1120" s="2" t="s">
        <v>569</v>
      </c>
      <c r="D1120" s="2" t="str">
        <f t="shared" si="16"/>
        <v>Error?</v>
      </c>
    </row>
    <row r="1121" spans="1:4" x14ac:dyDescent="0.2">
      <c r="A1121" s="5">
        <v>1060</v>
      </c>
      <c r="B1121" s="1832">
        <f>'Expenditures 15-22'!K50</f>
        <v>474038</v>
      </c>
      <c r="C1121" s="2" t="s">
        <v>569</v>
      </c>
      <c r="D1121" s="2" t="str">
        <f t="shared" si="16"/>
        <v>Error?</v>
      </c>
    </row>
    <row r="1122" spans="1:4" x14ac:dyDescent="0.2">
      <c r="A1122" s="5">
        <v>1061</v>
      </c>
      <c r="B1122" s="1832">
        <f>'Expenditures 15-22'!K53</f>
        <v>1542432</v>
      </c>
      <c r="C1122" s="2" t="s">
        <v>569</v>
      </c>
      <c r="D1122" s="2" t="str">
        <f t="shared" si="16"/>
        <v>Error?</v>
      </c>
    </row>
    <row r="1123" spans="1:4" x14ac:dyDescent="0.2">
      <c r="A1123" s="5">
        <v>1062</v>
      </c>
      <c r="B1123" s="1832">
        <f>'Expenditures 15-22'!K55</f>
        <v>2996248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2996248</v>
      </c>
      <c r="C1125" s="2" t="s">
        <v>569</v>
      </c>
      <c r="D1125" s="2" t="str">
        <f t="shared" si="16"/>
        <v>Error?</v>
      </c>
    </row>
    <row r="1126" spans="1:4" x14ac:dyDescent="0.2">
      <c r="A1126" s="5">
        <v>1065</v>
      </c>
      <c r="B1126" s="1832">
        <f>'Expenditures 15-22'!K59</f>
        <v>200945</v>
      </c>
      <c r="C1126" s="2" t="s">
        <v>569</v>
      </c>
      <c r="D1126" s="2" t="str">
        <f t="shared" si="16"/>
        <v>Error?</v>
      </c>
    </row>
    <row r="1127" spans="1:4" x14ac:dyDescent="0.2">
      <c r="A1127" s="5">
        <v>1066</v>
      </c>
      <c r="B1127" s="1832">
        <f>'Expenditures 15-22'!K60</f>
        <v>386218</v>
      </c>
      <c r="C1127" s="2" t="s">
        <v>569</v>
      </c>
      <c r="D1127" s="2" t="str">
        <f t="shared" si="16"/>
        <v>Error?</v>
      </c>
    </row>
    <row r="1128" spans="1:4" x14ac:dyDescent="0.2">
      <c r="A1128" s="5">
        <v>1067</v>
      </c>
      <c r="B1128" s="1832">
        <f>'Expenditures 15-22'!K61</f>
        <v>1357700</v>
      </c>
      <c r="C1128" s="2" t="s">
        <v>569</v>
      </c>
      <c r="D1128" s="2" t="str">
        <f t="shared" si="16"/>
        <v>Error?</v>
      </c>
    </row>
    <row r="1129" spans="1:4" x14ac:dyDescent="0.2">
      <c r="A1129" s="5">
        <v>1068</v>
      </c>
      <c r="B1129" s="1832">
        <f>'Expenditures 15-22'!K62</f>
        <v>1000</v>
      </c>
      <c r="C1129" s="2" t="s">
        <v>569</v>
      </c>
      <c r="D1129" s="2" t="str">
        <f t="shared" si="16"/>
        <v>Error?</v>
      </c>
    </row>
    <row r="1130" spans="1:4" x14ac:dyDescent="0.2">
      <c r="A1130" s="5">
        <v>1069</v>
      </c>
      <c r="B1130" s="1832">
        <f>'Expenditures 15-22'!K63</f>
        <v>1940411</v>
      </c>
      <c r="C1130" s="2" t="s">
        <v>569</v>
      </c>
      <c r="D1130" s="2" t="str">
        <f t="shared" si="16"/>
        <v>Error?</v>
      </c>
    </row>
    <row r="1131" spans="1:4" x14ac:dyDescent="0.2">
      <c r="A1131" s="5">
        <v>1070</v>
      </c>
      <c r="B1131" s="1832">
        <f>'Expenditures 15-22'!K64</f>
        <v>425298</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4311572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766559</v>
      </c>
      <c r="C1135" s="2" t="s">
        <v>569</v>
      </c>
      <c r="D1135" s="2" t="str">
        <f t="shared" si="16"/>
        <v>Error?</v>
      </c>
    </row>
    <row r="1136" spans="1:4" x14ac:dyDescent="0.2">
      <c r="A1136" s="5">
        <v>1075</v>
      </c>
      <c r="B1136" s="1832">
        <f>'Expenditures 15-22'!K69</f>
        <v>36343</v>
      </c>
      <c r="C1136" s="2" t="s">
        <v>569</v>
      </c>
      <c r="D1136" s="2" t="str">
        <f t="shared" si="16"/>
        <v>Error?</v>
      </c>
    </row>
    <row r="1137" spans="1:4" x14ac:dyDescent="0.2">
      <c r="A1137" s="5">
        <v>1076</v>
      </c>
      <c r="B1137" s="1832">
        <f>'Expenditures 15-22'!K70</f>
        <v>731175</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15272</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1549349</v>
      </c>
      <c r="C1141" s="2" t="s">
        <v>569</v>
      </c>
      <c r="D1141" s="2" t="str">
        <f t="shared" si="16"/>
        <v>Error?</v>
      </c>
    </row>
    <row r="1142" spans="1:4" x14ac:dyDescent="0.2">
      <c r="A1142" s="5">
        <v>1081</v>
      </c>
      <c r="B1142" s="1832">
        <f>'Expenditures 15-22'!K73</f>
        <v>197929</v>
      </c>
      <c r="C1142" s="2" t="s">
        <v>569</v>
      </c>
      <c r="D1142" s="2" t="str">
        <f t="shared" si="16"/>
        <v>Error?</v>
      </c>
    </row>
    <row r="1143" spans="1:4" x14ac:dyDescent="0.2">
      <c r="A1143" s="5">
        <v>1082</v>
      </c>
      <c r="B1143" s="1832">
        <f>'Expenditures 15-22'!K74</f>
        <v>18594448</v>
      </c>
      <c r="C1143" s="2" t="s">
        <v>569</v>
      </c>
      <c r="D1143" s="2" t="str">
        <f t="shared" si="16"/>
        <v>Error?</v>
      </c>
    </row>
    <row r="1144" spans="1:4" x14ac:dyDescent="0.2">
      <c r="A1144" s="5">
        <v>1083</v>
      </c>
      <c r="B1144" s="1832">
        <f>'Expenditures 15-22'!K75</f>
        <v>1590191</v>
      </c>
      <c r="C1144" s="2" t="s">
        <v>569</v>
      </c>
      <c r="D1144" s="2" t="str">
        <f t="shared" si="16"/>
        <v>Error?</v>
      </c>
    </row>
    <row r="1145" spans="1:4" x14ac:dyDescent="0.2">
      <c r="A1145" s="5">
        <v>1084</v>
      </c>
      <c r="B1145" s="1832">
        <f>'Expenditures 15-22'!K102</f>
        <v>858290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56161178</v>
      </c>
      <c r="C1152" s="2" t="s">
        <v>569</v>
      </c>
      <c r="D1152" s="2" t="str">
        <f t="shared" si="17"/>
        <v>Error?</v>
      </c>
    </row>
    <row r="1153" spans="1:4" x14ac:dyDescent="0.2">
      <c r="A1153" s="5">
        <v>1092</v>
      </c>
      <c r="B1153" s="1832">
        <f>'Expenditures 15-22'!K115</f>
        <v>-4319590</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1229615</v>
      </c>
      <c r="D1221" s="2" t="str">
        <f t="shared" si="18"/>
        <v>Error?</v>
      </c>
    </row>
    <row r="1222" spans="1:4" x14ac:dyDescent="0.2">
      <c r="A1222" s="10">
        <v>1161</v>
      </c>
      <c r="B1222" s="1832"/>
      <c r="D1222" s="2" t="str">
        <f t="shared" si="18"/>
        <v>OK</v>
      </c>
    </row>
    <row r="1223" spans="1:4" x14ac:dyDescent="0.2">
      <c r="A1223" s="5">
        <v>1162</v>
      </c>
      <c r="B1223" s="1832">
        <f>'Expenditures 15-22'!C127</f>
        <v>1229615</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1229615</v>
      </c>
      <c r="C1225" s="2" t="s">
        <v>569</v>
      </c>
      <c r="D1225" s="2" t="str">
        <f t="shared" si="18"/>
        <v>Error?</v>
      </c>
    </row>
    <row r="1226" spans="1:4" x14ac:dyDescent="0.2">
      <c r="A1226" s="5">
        <v>1165</v>
      </c>
      <c r="B1226" s="1832">
        <f>'Expenditures 15-22'!C151</f>
        <v>1229615</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165678</v>
      </c>
      <c r="D1229" s="2" t="str">
        <f t="shared" si="18"/>
        <v>Error?</v>
      </c>
    </row>
    <row r="1230" spans="1:4" x14ac:dyDescent="0.2">
      <c r="A1230" s="10">
        <v>1169</v>
      </c>
      <c r="B1230" s="1832"/>
      <c r="D1230" s="2" t="str">
        <f t="shared" si="18"/>
        <v>OK</v>
      </c>
    </row>
    <row r="1231" spans="1:4" x14ac:dyDescent="0.2">
      <c r="A1231" s="5">
        <v>1170</v>
      </c>
      <c r="B1231" s="1832">
        <f>'Expenditures 15-22'!D127</f>
        <v>165678</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165678</v>
      </c>
      <c r="C1233" s="2" t="s">
        <v>569</v>
      </c>
      <c r="D1233" s="2" t="str">
        <f t="shared" si="18"/>
        <v>Error?</v>
      </c>
    </row>
    <row r="1234" spans="1:4" x14ac:dyDescent="0.2">
      <c r="A1234" s="5">
        <v>1173</v>
      </c>
      <c r="B1234" s="1832">
        <f>'Expenditures 15-22'!D151</f>
        <v>165678</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22373</v>
      </c>
      <c r="D1236" s="2" t="str">
        <f t="shared" si="18"/>
        <v>Error?</v>
      </c>
    </row>
    <row r="1237" spans="1:4" x14ac:dyDescent="0.2">
      <c r="A1237" s="5">
        <v>1176</v>
      </c>
      <c r="B1237" s="1832">
        <f>'Expenditures 15-22'!E124</f>
        <v>1688780</v>
      </c>
      <c r="D1237" s="2" t="str">
        <f t="shared" si="18"/>
        <v>Error?</v>
      </c>
    </row>
    <row r="1238" spans="1:4" x14ac:dyDescent="0.2">
      <c r="A1238" s="10">
        <v>1177</v>
      </c>
      <c r="B1238" s="1832"/>
      <c r="D1238" s="2" t="str">
        <f t="shared" si="18"/>
        <v>OK</v>
      </c>
    </row>
    <row r="1239" spans="1:4" x14ac:dyDescent="0.2">
      <c r="A1239" s="5">
        <v>1178</v>
      </c>
      <c r="B1239" s="1832">
        <f>'Expenditures 15-22'!E127</f>
        <v>1711153</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1711153</v>
      </c>
      <c r="C1241" s="2" t="s">
        <v>569</v>
      </c>
      <c r="D1241" s="2" t="str">
        <f t="shared" si="18"/>
        <v>Error?</v>
      </c>
    </row>
    <row r="1242" spans="1:4" x14ac:dyDescent="0.2">
      <c r="A1242" s="5">
        <v>1181</v>
      </c>
      <c r="B1242" s="1832">
        <f>'Expenditures 15-22'!E151</f>
        <v>1711153</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305116</v>
      </c>
      <c r="D1245" s="2" t="str">
        <f t="shared" si="18"/>
        <v>Error?</v>
      </c>
    </row>
    <row r="1246" spans="1:4" x14ac:dyDescent="0.2">
      <c r="A1246" s="10">
        <v>1185</v>
      </c>
      <c r="B1246" s="1832"/>
      <c r="D1246" s="2" t="str">
        <f t="shared" si="18"/>
        <v>OK</v>
      </c>
    </row>
    <row r="1247" spans="1:4" x14ac:dyDescent="0.2">
      <c r="A1247" s="5">
        <v>1186</v>
      </c>
      <c r="B1247" s="1832">
        <f>'Expenditures 15-22'!F127</f>
        <v>305116</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305116</v>
      </c>
      <c r="C1249" s="2" t="s">
        <v>569</v>
      </c>
      <c r="D1249" s="2" t="str">
        <f t="shared" si="18"/>
        <v>Error?</v>
      </c>
    </row>
    <row r="1250" spans="1:4" x14ac:dyDescent="0.2">
      <c r="A1250" s="5">
        <v>1189</v>
      </c>
      <c r="B1250" s="1832">
        <f>'Expenditures 15-22'!F151</f>
        <v>305116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8581</v>
      </c>
      <c r="D1252" s="2" t="str">
        <f t="shared" si="18"/>
        <v>Error?</v>
      </c>
    </row>
    <row r="1253" spans="1:4" x14ac:dyDescent="0.2">
      <c r="A1253" s="5">
        <v>1192</v>
      </c>
      <c r="B1253" s="1832">
        <f>'Expenditures 15-22'!G124</f>
        <v>151349</v>
      </c>
      <c r="D1253" s="2" t="str">
        <f t="shared" si="18"/>
        <v>Error?</v>
      </c>
    </row>
    <row r="1254" spans="1:4" x14ac:dyDescent="0.2">
      <c r="A1254" s="5">
        <v>1193</v>
      </c>
      <c r="B1254" s="1832">
        <f>'Expenditures 15-22'!G126</f>
        <v>15611</v>
      </c>
      <c r="D1254" s="2" t="str">
        <f t="shared" si="18"/>
        <v>Error?</v>
      </c>
    </row>
    <row r="1255" spans="1:4" x14ac:dyDescent="0.2">
      <c r="A1255" s="10">
        <v>1194</v>
      </c>
      <c r="B1255" s="1832"/>
      <c r="D1255" s="2" t="str">
        <f t="shared" si="18"/>
        <v>OK</v>
      </c>
    </row>
    <row r="1256" spans="1:4" x14ac:dyDescent="0.2">
      <c r="A1256" s="5">
        <v>1195</v>
      </c>
      <c r="B1256" s="1832">
        <f>'Expenditures 15-22'!G127</f>
        <v>175541</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175541</v>
      </c>
      <c r="C1258" s="2" t="s">
        <v>569</v>
      </c>
      <c r="D1258" s="2" t="str">
        <f t="shared" si="18"/>
        <v>Error?</v>
      </c>
    </row>
    <row r="1259" spans="1:4" x14ac:dyDescent="0.2">
      <c r="A1259" s="5">
        <v>1198</v>
      </c>
      <c r="B1259" s="1832">
        <f>'Expenditures 15-22'!G151</f>
        <v>175541</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23973</v>
      </c>
      <c r="D1262" s="2" t="str">
        <f t="shared" si="18"/>
        <v>Error?</v>
      </c>
    </row>
    <row r="1263" spans="1:4" x14ac:dyDescent="0.2">
      <c r="A1263" s="10">
        <v>1202</v>
      </c>
      <c r="B1263" s="1832"/>
      <c r="D1263" s="2" t="str">
        <f t="shared" si="18"/>
        <v>OK</v>
      </c>
    </row>
    <row r="1264" spans="1:4" x14ac:dyDescent="0.2">
      <c r="A1264" s="5">
        <v>1203</v>
      </c>
      <c r="B1264" s="1832">
        <f>'Expenditures 15-22'!H127</f>
        <v>23973</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23973</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23973</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30954</v>
      </c>
      <c r="C1275" s="2" t="s">
        <v>569</v>
      </c>
      <c r="D1275" s="2" t="str">
        <f t="shared" si="18"/>
        <v>Error?</v>
      </c>
    </row>
    <row r="1276" spans="1:4" x14ac:dyDescent="0.2">
      <c r="A1276" s="5">
        <v>1215</v>
      </c>
      <c r="B1276" s="1832">
        <f>'Expenditures 15-22'!K124</f>
        <v>3564511</v>
      </c>
      <c r="C1276" s="2" t="s">
        <v>569</v>
      </c>
      <c r="D1276" s="2" t="str">
        <f t="shared" si="18"/>
        <v>Error?</v>
      </c>
    </row>
    <row r="1277" spans="1:4" x14ac:dyDescent="0.2">
      <c r="A1277" s="5">
        <v>1216</v>
      </c>
      <c r="B1277" s="1832">
        <f>'Expenditures 15-22'!K126</f>
        <v>15611</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3611076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3611076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3611076</v>
      </c>
      <c r="C1288" s="2" t="s">
        <v>569</v>
      </c>
      <c r="D1288" s="2" t="str">
        <f t="shared" si="19"/>
        <v>Error?</v>
      </c>
    </row>
    <row r="1289" spans="1:4" x14ac:dyDescent="0.2">
      <c r="A1289" s="5">
        <v>1228</v>
      </c>
      <c r="B1289" s="1832">
        <f>'Expenditures 15-22'!K152</f>
        <v>240612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997667</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3807000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4804667</v>
      </c>
      <c r="C1317" s="2" t="s">
        <v>569</v>
      </c>
      <c r="D1317" s="2" t="str">
        <f t="shared" si="19"/>
        <v>Error?</v>
      </c>
    </row>
    <row r="1318" spans="1:4" x14ac:dyDescent="0.2">
      <c r="A1318" s="5">
        <v>1257</v>
      </c>
      <c r="B1318" s="1832">
        <f>'Expenditures 15-22'!H174</f>
        <v>4804667</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997667</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3807000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4804667</v>
      </c>
      <c r="C1331" s="2" t="s">
        <v>569</v>
      </c>
      <c r="D1331" s="2" t="str">
        <f t="shared" si="19"/>
        <v>Error?</v>
      </c>
    </row>
    <row r="1332" spans="1:4" x14ac:dyDescent="0.2">
      <c r="A1332" s="5">
        <v>1271</v>
      </c>
      <c r="B1332" s="1832">
        <f>'Expenditures 15-22'!K174</f>
        <v>4804667</v>
      </c>
      <c r="C1332" s="2" t="s">
        <v>569</v>
      </c>
      <c r="D1332" s="2" t="str">
        <f t="shared" si="19"/>
        <v>Error?</v>
      </c>
    </row>
    <row r="1333" spans="1:4" x14ac:dyDescent="0.2">
      <c r="A1333" s="5">
        <v>1272</v>
      </c>
      <c r="B1333" s="1832">
        <f>'Expenditures 15-22'!K175</f>
        <v>-2433739</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6288</v>
      </c>
      <c r="C1339" s="2" t="s">
        <v>569</v>
      </c>
      <c r="D1339" s="2" t="str">
        <f t="shared" si="19"/>
        <v>Error?</v>
      </c>
    </row>
    <row r="1340" spans="1:4" x14ac:dyDescent="0.2">
      <c r="A1340" s="5">
        <v>1279</v>
      </c>
      <c r="B1340" s="1832">
        <f>'Expenditures 15-22'!C210</f>
        <v>6288</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1723</v>
      </c>
      <c r="C1345" s="2" t="s">
        <v>569</v>
      </c>
      <c r="D1345" s="2" t="str">
        <f t="shared" si="20"/>
        <v>Error?</v>
      </c>
    </row>
    <row r="1346" spans="1:4" x14ac:dyDescent="0.2">
      <c r="A1346" s="5">
        <v>1285</v>
      </c>
      <c r="B1346" s="1832">
        <f>'Expenditures 15-22'!D210</f>
        <v>1723</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2307382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2307382</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2315393</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2315393</v>
      </c>
      <c r="C1388" s="2" t="s">
        <v>569</v>
      </c>
      <c r="D1388" s="2" t="str">
        <f t="shared" si="20"/>
        <v>Error?</v>
      </c>
    </row>
    <row r="1389" spans="1:4" x14ac:dyDescent="0.2">
      <c r="A1389" s="5">
        <v>1328</v>
      </c>
      <c r="B1389" s="1832">
        <f>'Expenditures 15-22'!K211</f>
        <v>171092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56424</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13073</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33039</v>
      </c>
      <c r="D1408" s="2" t="str">
        <f t="shared" si="21"/>
        <v>Error?</v>
      </c>
    </row>
    <row r="1409" spans="1:4" x14ac:dyDescent="0.2">
      <c r="A1409" s="5">
        <v>1348</v>
      </c>
      <c r="B1409" s="1832">
        <f>'Expenditures 15-22'!D224</f>
        <v>355</v>
      </c>
      <c r="D1409" s="2" t="str">
        <f t="shared" si="21"/>
        <v>Error?</v>
      </c>
    </row>
    <row r="1410" spans="1:4" x14ac:dyDescent="0.2">
      <c r="A1410" s="5">
        <v>1349</v>
      </c>
      <c r="B1410" s="1832">
        <f>'Expenditures 15-22'!D229</f>
        <v>610268</v>
      </c>
      <c r="C1410" s="2" t="s">
        <v>569</v>
      </c>
      <c r="D1410" s="2" t="str">
        <f t="shared" si="21"/>
        <v>Error?</v>
      </c>
    </row>
    <row r="1411" spans="1:4" x14ac:dyDescent="0.2">
      <c r="A1411" s="5">
        <v>1350</v>
      </c>
      <c r="B1411" s="1832">
        <f>'Expenditures 15-22'!D232</f>
        <v>82976</v>
      </c>
      <c r="D1411" s="2" t="str">
        <f t="shared" si="21"/>
        <v>Error?</v>
      </c>
    </row>
    <row r="1412" spans="1:4" x14ac:dyDescent="0.2">
      <c r="A1412" s="5">
        <v>1351</v>
      </c>
      <c r="B1412" s="1832">
        <f>'Expenditures 15-22'!D233</f>
        <v>5887</v>
      </c>
      <c r="D1412" s="2" t="str">
        <f t="shared" si="21"/>
        <v>Error?</v>
      </c>
    </row>
    <row r="1413" spans="1:4" x14ac:dyDescent="0.2">
      <c r="A1413" s="5">
        <v>1352</v>
      </c>
      <c r="B1413" s="1832">
        <f>'Expenditures 15-22'!D234</f>
        <v>105054</v>
      </c>
      <c r="D1413" s="2" t="str">
        <f t="shared" si="21"/>
        <v>Error?</v>
      </c>
    </row>
    <row r="1414" spans="1:4" x14ac:dyDescent="0.2">
      <c r="A1414" s="5">
        <v>1353</v>
      </c>
      <c r="B1414" s="1832">
        <f>'Expenditures 15-22'!D235</f>
        <v>7818</v>
      </c>
      <c r="D1414" s="2" t="str">
        <f t="shared" si="21"/>
        <v>Error?</v>
      </c>
    </row>
    <row r="1415" spans="1:4" x14ac:dyDescent="0.2">
      <c r="A1415" s="5">
        <v>1354</v>
      </c>
      <c r="B1415" s="1832">
        <f>'Expenditures 15-22'!D236</f>
        <v>10402</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212137</v>
      </c>
      <c r="C1417" s="2" t="s">
        <v>569</v>
      </c>
      <c r="D1417" s="2" t="str">
        <f t="shared" si="21"/>
        <v>Error?</v>
      </c>
    </row>
    <row r="1418" spans="1:4" x14ac:dyDescent="0.2">
      <c r="A1418" s="5">
        <v>1357</v>
      </c>
      <c r="B1418" s="1832">
        <f>'Expenditures 15-22'!D240</f>
        <v>27726</v>
      </c>
      <c r="D1418" s="2" t="str">
        <f t="shared" si="21"/>
        <v>Error?</v>
      </c>
    </row>
    <row r="1419" spans="1:4" x14ac:dyDescent="0.2">
      <c r="A1419" s="5">
        <v>1358</v>
      </c>
      <c r="B1419" s="1832">
        <f>'Expenditures 15-22'!D241</f>
        <v>65181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92907</v>
      </c>
      <c r="C1421" s="2" t="s">
        <v>569</v>
      </c>
      <c r="D1421" s="2" t="str">
        <f t="shared" si="21"/>
        <v>Error?</v>
      </c>
    </row>
    <row r="1422" spans="1:4" x14ac:dyDescent="0.2">
      <c r="A1422" s="5">
        <v>1361</v>
      </c>
      <c r="B1422" s="1832">
        <f>'Expenditures 15-22'!D245</f>
        <v>688</v>
      </c>
      <c r="D1422" s="2" t="str">
        <f t="shared" si="21"/>
        <v>Error?</v>
      </c>
    </row>
    <row r="1423" spans="1:4" x14ac:dyDescent="0.2">
      <c r="A1423" s="5">
        <v>1362</v>
      </c>
      <c r="B1423" s="1832">
        <f>'Expenditures 15-22'!D246</f>
        <v>17393</v>
      </c>
      <c r="D1423" s="2" t="str">
        <f t="shared" si="21"/>
        <v>Error?</v>
      </c>
    </row>
    <row r="1424" spans="1:4" x14ac:dyDescent="0.2">
      <c r="A1424" s="5">
        <v>1363</v>
      </c>
      <c r="B1424" s="1832">
        <f>'Expenditures 15-22'!D257</f>
        <v>24978</v>
      </c>
      <c r="C1424" s="2" t="s">
        <v>569</v>
      </c>
      <c r="D1424" s="2" t="str">
        <f t="shared" si="21"/>
        <v>Error?</v>
      </c>
    </row>
    <row r="1425" spans="1:4" x14ac:dyDescent="0.2">
      <c r="A1425" s="5">
        <v>1364</v>
      </c>
      <c r="B1425" s="1832">
        <f>'Expenditures 15-22'!D259</f>
        <v>150488</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150488</v>
      </c>
      <c r="C1427" s="2" t="s">
        <v>569</v>
      </c>
      <c r="D1427" s="2" t="str">
        <f t="shared" si="21"/>
        <v>Error?</v>
      </c>
    </row>
    <row r="1428" spans="1:4" x14ac:dyDescent="0.2">
      <c r="A1428" s="5">
        <v>1367</v>
      </c>
      <c r="B1428" s="1832">
        <f>'Expenditures 15-22'!D263</f>
        <v>32737</v>
      </c>
      <c r="D1428" s="2" t="str">
        <f t="shared" si="21"/>
        <v>Error?</v>
      </c>
    </row>
    <row r="1429" spans="1:4" x14ac:dyDescent="0.2">
      <c r="A1429" s="5">
        <v>1368</v>
      </c>
      <c r="B1429" s="1832">
        <f>'Expenditures 15-22'!D264</f>
        <v>50879</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229365</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22236</v>
      </c>
      <c r="D1433" s="2" t="str">
        <f t="shared" si="21"/>
        <v>Error?</v>
      </c>
    </row>
    <row r="1434" spans="1:4" x14ac:dyDescent="0.2">
      <c r="A1434" s="5">
        <v>1373</v>
      </c>
      <c r="B1434" s="1832">
        <f>'Expenditures 15-22'!D269</f>
        <v>28294</v>
      </c>
      <c r="D1434" s="2" t="str">
        <f t="shared" si="21"/>
        <v>Error?</v>
      </c>
    </row>
    <row r="1435" spans="1:4" x14ac:dyDescent="0.2">
      <c r="A1435" s="10">
        <v>1374</v>
      </c>
      <c r="B1435" s="1832"/>
      <c r="D1435" s="2" t="str">
        <f t="shared" si="21"/>
        <v>OK</v>
      </c>
    </row>
    <row r="1436" spans="1:4" x14ac:dyDescent="0.2">
      <c r="A1436" s="5">
        <v>1375</v>
      </c>
      <c r="B1436" s="1832">
        <f>'Expenditures 15-22'!D270</f>
        <v>363511</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44864</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47414</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92278</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936299</v>
      </c>
      <c r="C1446" s="2" t="s">
        <v>569</v>
      </c>
      <c r="D1446" s="2" t="str">
        <f t="shared" si="21"/>
        <v>Error?</v>
      </c>
    </row>
    <row r="1447" spans="1:4" x14ac:dyDescent="0.2">
      <c r="A1447" s="5">
        <v>1386</v>
      </c>
      <c r="B1447" s="1832">
        <f>'Expenditures 15-22'!D280</f>
        <v>11724</v>
      </c>
      <c r="D1447" s="2" t="str">
        <f t="shared" si="21"/>
        <v>Error?</v>
      </c>
    </row>
    <row r="1448" spans="1:4" x14ac:dyDescent="0.2">
      <c r="A1448" s="5">
        <v>1387</v>
      </c>
      <c r="B1448" s="1832">
        <f>'Expenditures 15-22'!D295</f>
        <v>1558291</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56424</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13073</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33039</v>
      </c>
      <c r="C1472" s="2" t="s">
        <v>569</v>
      </c>
      <c r="D1472" s="2" t="str">
        <f t="shared" si="22"/>
        <v>Error?</v>
      </c>
    </row>
    <row r="1473" spans="1:4" x14ac:dyDescent="0.2">
      <c r="A1473" s="5">
        <v>1412</v>
      </c>
      <c r="B1473" s="1832">
        <f>'Expenditures 15-22'!K224</f>
        <v>355</v>
      </c>
      <c r="C1473" s="2" t="s">
        <v>569</v>
      </c>
      <c r="D1473" s="2" t="str">
        <f t="shared" si="22"/>
        <v>Error?</v>
      </c>
    </row>
    <row r="1474" spans="1:4" x14ac:dyDescent="0.2">
      <c r="A1474" s="5">
        <v>1413</v>
      </c>
      <c r="B1474" s="1832">
        <f>'Expenditures 15-22'!K229</f>
        <v>610268</v>
      </c>
      <c r="C1474" s="2" t="s">
        <v>569</v>
      </c>
      <c r="D1474" s="2" t="str">
        <f t="shared" si="22"/>
        <v>Error?</v>
      </c>
    </row>
    <row r="1475" spans="1:4" x14ac:dyDescent="0.2">
      <c r="A1475" s="5">
        <v>1414</v>
      </c>
      <c r="B1475" s="1832">
        <f>'Expenditures 15-22'!K232</f>
        <v>82976</v>
      </c>
      <c r="C1475" s="2" t="s">
        <v>569</v>
      </c>
      <c r="D1475" s="2" t="str">
        <f t="shared" si="22"/>
        <v>Error?</v>
      </c>
    </row>
    <row r="1476" spans="1:4" x14ac:dyDescent="0.2">
      <c r="A1476" s="5">
        <v>1415</v>
      </c>
      <c r="B1476" s="1832">
        <f>'Expenditures 15-22'!K233</f>
        <v>5887</v>
      </c>
      <c r="C1476" s="2" t="s">
        <v>569</v>
      </c>
      <c r="D1476" s="2" t="str">
        <f t="shared" si="22"/>
        <v>Error?</v>
      </c>
    </row>
    <row r="1477" spans="1:4" x14ac:dyDescent="0.2">
      <c r="A1477" s="5">
        <v>1416</v>
      </c>
      <c r="B1477" s="1832">
        <f>'Expenditures 15-22'!K234</f>
        <v>105054</v>
      </c>
      <c r="C1477" s="2" t="s">
        <v>569</v>
      </c>
      <c r="D1477" s="2" t="str">
        <f t="shared" si="22"/>
        <v>Error?</v>
      </c>
    </row>
    <row r="1478" spans="1:4" x14ac:dyDescent="0.2">
      <c r="A1478" s="5">
        <v>1417</v>
      </c>
      <c r="B1478" s="1832">
        <f>'Expenditures 15-22'!K235</f>
        <v>7818</v>
      </c>
      <c r="C1478" s="2" t="s">
        <v>569</v>
      </c>
      <c r="D1478" s="2" t="str">
        <f t="shared" si="22"/>
        <v>Error?</v>
      </c>
    </row>
    <row r="1479" spans="1:4" x14ac:dyDescent="0.2">
      <c r="A1479" s="5">
        <v>1418</v>
      </c>
      <c r="B1479" s="1832">
        <f>'Expenditures 15-22'!K236</f>
        <v>10402</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212137</v>
      </c>
      <c r="C1481" s="2" t="s">
        <v>569</v>
      </c>
      <c r="D1481" s="2" t="str">
        <f t="shared" si="22"/>
        <v>Error?</v>
      </c>
    </row>
    <row r="1482" spans="1:4" x14ac:dyDescent="0.2">
      <c r="A1482" s="5">
        <v>1421</v>
      </c>
      <c r="B1482" s="1832">
        <f>'Expenditures 15-22'!K240</f>
        <v>27726</v>
      </c>
      <c r="C1482" s="2" t="s">
        <v>569</v>
      </c>
      <c r="D1482" s="2" t="str">
        <f t="shared" si="22"/>
        <v>Error?</v>
      </c>
    </row>
    <row r="1483" spans="1:4" x14ac:dyDescent="0.2">
      <c r="A1483" s="5">
        <v>1422</v>
      </c>
      <c r="B1483" s="1832">
        <f>'Expenditures 15-22'!K241</f>
        <v>65181</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92907</v>
      </c>
      <c r="C1485" s="2" t="s">
        <v>569</v>
      </c>
      <c r="D1485" s="2" t="str">
        <f t="shared" si="22"/>
        <v>Error?</v>
      </c>
    </row>
    <row r="1486" spans="1:4" x14ac:dyDescent="0.2">
      <c r="A1486" s="5">
        <v>1425</v>
      </c>
      <c r="B1486" s="1832">
        <f>'Expenditures 15-22'!K245</f>
        <v>688</v>
      </c>
      <c r="C1486" s="2" t="s">
        <v>569</v>
      </c>
      <c r="D1486" s="2" t="str">
        <f t="shared" si="22"/>
        <v>Error?</v>
      </c>
    </row>
    <row r="1487" spans="1:4" x14ac:dyDescent="0.2">
      <c r="A1487" s="5">
        <v>1426</v>
      </c>
      <c r="B1487" s="1832">
        <f>'Expenditures 15-22'!K246</f>
        <v>17393</v>
      </c>
      <c r="C1487" s="2" t="s">
        <v>569</v>
      </c>
      <c r="D1487" s="2" t="str">
        <f t="shared" si="22"/>
        <v>Error?</v>
      </c>
    </row>
    <row r="1488" spans="1:4" x14ac:dyDescent="0.2">
      <c r="A1488" s="5">
        <v>1427</v>
      </c>
      <c r="B1488" s="1832">
        <f>'Expenditures 15-22'!K257</f>
        <v>24978</v>
      </c>
      <c r="C1488" s="2" t="s">
        <v>569</v>
      </c>
      <c r="D1488" s="2" t="str">
        <f t="shared" si="22"/>
        <v>Error?</v>
      </c>
    </row>
    <row r="1489" spans="1:4" x14ac:dyDescent="0.2">
      <c r="A1489" s="5">
        <v>1428</v>
      </c>
      <c r="B1489" s="1832">
        <f>'Expenditures 15-22'!K259</f>
        <v>150488</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150488</v>
      </c>
      <c r="C1491" s="2" t="s">
        <v>569</v>
      </c>
      <c r="D1491" s="2" t="str">
        <f t="shared" si="22"/>
        <v>Error?</v>
      </c>
    </row>
    <row r="1492" spans="1:4" x14ac:dyDescent="0.2">
      <c r="A1492" s="5">
        <v>1431</v>
      </c>
      <c r="B1492" s="1832">
        <f>'Expenditures 15-22'!K263</f>
        <v>32737</v>
      </c>
      <c r="C1492" s="2" t="s">
        <v>569</v>
      </c>
      <c r="D1492" s="2" t="str">
        <f t="shared" si="22"/>
        <v>Error?</v>
      </c>
    </row>
    <row r="1493" spans="1:4" x14ac:dyDescent="0.2">
      <c r="A1493" s="5">
        <v>1432</v>
      </c>
      <c r="B1493" s="1832">
        <f>'Expenditures 15-22'!K264</f>
        <v>50879</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229365</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22236</v>
      </c>
      <c r="C1497" s="2" t="s">
        <v>569</v>
      </c>
      <c r="D1497" s="2" t="str">
        <f t="shared" si="22"/>
        <v>Error?</v>
      </c>
    </row>
    <row r="1498" spans="1:4" x14ac:dyDescent="0.2">
      <c r="A1498" s="5">
        <v>1437</v>
      </c>
      <c r="B1498" s="1832">
        <f>'Expenditures 15-22'!K269</f>
        <v>28294</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363511</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44864</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47414</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92278</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936299</v>
      </c>
      <c r="C1510" s="2" t="s">
        <v>569</v>
      </c>
      <c r="D1510" s="2" t="str">
        <f t="shared" si="22"/>
        <v>Error?</v>
      </c>
    </row>
    <row r="1511" spans="1:4" x14ac:dyDescent="0.2">
      <c r="A1511" s="5">
        <v>1450</v>
      </c>
      <c r="B1511" s="1832">
        <f>'Expenditures 15-22'!K280</f>
        <v>11724</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1558291</v>
      </c>
      <c r="C1517" s="2" t="s">
        <v>569</v>
      </c>
      <c r="D1517" s="2" t="str">
        <f t="shared" si="22"/>
        <v>Error?</v>
      </c>
    </row>
    <row r="1518" spans="1:4" x14ac:dyDescent="0.2">
      <c r="A1518" s="5">
        <v>1457</v>
      </c>
      <c r="B1518" s="1832">
        <f>'Expenditures 15-22'!K296</f>
        <v>-115958</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12763</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12763</v>
      </c>
      <c r="C1535" s="2" t="s">
        <v>569</v>
      </c>
      <c r="D1535" s="2" t="str">
        <f t="shared" ref="D1535:D1598" si="23">IF(ISBLANK(B1535),"OK",IF(A1535-B1535=0,"OK","Error?"))</f>
        <v>Error?</v>
      </c>
    </row>
    <row r="1536" spans="1:4" x14ac:dyDescent="0.2">
      <c r="A1536" s="5">
        <v>1475</v>
      </c>
      <c r="B1536" s="1832">
        <f>'Expenditures 15-22'!E312</f>
        <v>12763</v>
      </c>
      <c r="C1536" s="2" t="s">
        <v>569</v>
      </c>
      <c r="D1536" s="2" t="str">
        <f t="shared" si="23"/>
        <v>Error?</v>
      </c>
    </row>
    <row r="1537" spans="1:4" x14ac:dyDescent="0.2">
      <c r="A1537" s="5">
        <v>1476</v>
      </c>
      <c r="B1537" s="1832">
        <f>'Expenditures 15-22'!F301</f>
        <v>28816</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28816</v>
      </c>
      <c r="C1541" s="2" t="s">
        <v>569</v>
      </c>
      <c r="D1541" s="2" t="str">
        <f t="shared" si="23"/>
        <v>Error?</v>
      </c>
    </row>
    <row r="1542" spans="1:4" x14ac:dyDescent="0.2">
      <c r="A1542" s="5">
        <v>1481</v>
      </c>
      <c r="B1542" s="1832">
        <f>'Expenditures 15-22'!F312</f>
        <v>28816</v>
      </c>
      <c r="C1542" s="2" t="s">
        <v>569</v>
      </c>
      <c r="D1542" s="2" t="str">
        <f t="shared" si="23"/>
        <v>Error?</v>
      </c>
    </row>
    <row r="1543" spans="1:4" x14ac:dyDescent="0.2">
      <c r="A1543" s="5">
        <v>1482</v>
      </c>
      <c r="B1543" s="1832">
        <f>'Expenditures 15-22'!G301</f>
        <v>1035987</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1035987</v>
      </c>
      <c r="C1547" s="2" t="s">
        <v>569</v>
      </c>
      <c r="D1547" s="2" t="str">
        <f t="shared" si="23"/>
        <v>Error?</v>
      </c>
    </row>
    <row r="1548" spans="1:4" x14ac:dyDescent="0.2">
      <c r="A1548" s="5">
        <v>1487</v>
      </c>
      <c r="B1548" s="1832">
        <f>'Expenditures 15-22'!G312</f>
        <v>1035987</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1077566</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1077566</v>
      </c>
      <c r="C1559" s="2" t="s">
        <v>569</v>
      </c>
      <c r="D1559" s="2" t="str">
        <f t="shared" si="23"/>
        <v>Error?</v>
      </c>
    </row>
    <row r="1560" spans="1:4" x14ac:dyDescent="0.2">
      <c r="A1560" s="5">
        <v>1499</v>
      </c>
      <c r="B1560" s="1832">
        <f>'Expenditures 15-22'!K312</f>
        <v>1077566</v>
      </c>
      <c r="C1560" s="2" t="s">
        <v>569</v>
      </c>
      <c r="D1560" s="2" t="str">
        <f t="shared" si="23"/>
        <v>Error?</v>
      </c>
    </row>
    <row r="1561" spans="1:4" x14ac:dyDescent="0.2">
      <c r="A1561" s="5">
        <v>1500</v>
      </c>
      <c r="B1561" s="1832">
        <f>'Expenditures 15-22'!K313</f>
        <v>2442209</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10548445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6257915</v>
      </c>
      <c r="C1630" s="2" t="s">
        <v>569</v>
      </c>
      <c r="D1630" s="2" t="str">
        <f t="shared" si="24"/>
        <v>Error?</v>
      </c>
    </row>
    <row r="1631" spans="1:4" x14ac:dyDescent="0.2">
      <c r="A1631" s="5">
        <v>1570</v>
      </c>
      <c r="B1631" s="1832">
        <f>'Acct Summary 7-8'!D79</f>
        <v>-2730647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-2181404</v>
      </c>
      <c r="C1644" s="2" t="s">
        <v>569</v>
      </c>
      <c r="D1644" s="2" t="str">
        <f t="shared" si="24"/>
        <v>Error?</v>
      </c>
    </row>
    <row r="1645" spans="1:4" x14ac:dyDescent="0.2">
      <c r="A1645" s="5">
        <v>1584</v>
      </c>
      <c r="B1645" s="1832">
        <f>'Acct Summary 7-8'!E79</f>
        <v>620408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292433</v>
      </c>
      <c r="C1658" s="2" t="s">
        <v>569</v>
      </c>
      <c r="D1658" s="2" t="str">
        <f t="shared" si="24"/>
        <v>Error?</v>
      </c>
    </row>
    <row r="1659" spans="1:4" x14ac:dyDescent="0.2">
      <c r="A1659" s="5">
        <v>1598</v>
      </c>
      <c r="B1659" s="1832">
        <f>'Acct Summary 7-8'!F79</f>
        <v>29393</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-29634</v>
      </c>
      <c r="C1672" s="2" t="s">
        <v>569</v>
      </c>
      <c r="D1672" s="2" t="str">
        <f t="shared" si="25"/>
        <v>Error?</v>
      </c>
    </row>
    <row r="1673" spans="1:4" x14ac:dyDescent="0.2">
      <c r="A1673" s="5">
        <v>1612</v>
      </c>
      <c r="B1673" s="1832">
        <f>'Acct Summary 7-8'!G79</f>
        <v>-275294</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-391252</v>
      </c>
      <c r="C1686" s="2" t="s">
        <v>569</v>
      </c>
      <c r="D1686" s="2" t="str">
        <f t="shared" si="25"/>
        <v>Error?</v>
      </c>
    </row>
    <row r="1687" spans="1:4" x14ac:dyDescent="0.2">
      <c r="A1687" s="5">
        <v>1626</v>
      </c>
      <c r="B1687" s="1832">
        <f>'Acct Summary 7-8'!H79</f>
        <v>7089192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7627284</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23733562</v>
      </c>
      <c r="C1744" s="2" t="s">
        <v>569</v>
      </c>
      <c r="D1744" s="2" t="str">
        <f t="shared" si="26"/>
        <v>Error?</v>
      </c>
    </row>
    <row r="1745" spans="1:5" x14ac:dyDescent="0.2">
      <c r="A1745" s="5">
        <v>1684</v>
      </c>
      <c r="B1745" s="1832">
        <f>'Tax Sched 23'!B5</f>
        <v>3787585</v>
      </c>
      <c r="C1745" s="2" t="s">
        <v>569</v>
      </c>
      <c r="D1745" s="2" t="str">
        <f t="shared" si="26"/>
        <v>Error?</v>
      </c>
    </row>
    <row r="1746" spans="1:5" x14ac:dyDescent="0.2">
      <c r="A1746" s="5">
        <v>1685</v>
      </c>
      <c r="B1746" s="1832">
        <f>'Tax Sched 23'!B6</f>
        <v>2349440</v>
      </c>
      <c r="C1746" s="2" t="s">
        <v>569</v>
      </c>
      <c r="D1746" s="2" t="str">
        <f t="shared" si="26"/>
        <v>Error?</v>
      </c>
    </row>
    <row r="1747" spans="1:5" x14ac:dyDescent="0.2">
      <c r="A1747" s="5">
        <v>1686</v>
      </c>
      <c r="B1747" s="1832">
        <f>'Tax Sched 23'!B7</f>
        <v>1309165</v>
      </c>
      <c r="C1747" s="2" t="s">
        <v>569</v>
      </c>
      <c r="D1747" s="2" t="str">
        <f t="shared" si="26"/>
        <v>Error?</v>
      </c>
    </row>
    <row r="1748" spans="1:5" x14ac:dyDescent="0.2">
      <c r="A1748" s="5">
        <v>1687</v>
      </c>
      <c r="B1748" s="1832">
        <f>'Tax Sched 23'!B8</f>
        <v>1431554</v>
      </c>
      <c r="C1748" s="2" t="s">
        <v>569</v>
      </c>
      <c r="D1748" s="2" t="str">
        <f t="shared" si="26"/>
        <v>Error?</v>
      </c>
    </row>
    <row r="1749" spans="1:5" x14ac:dyDescent="0.2">
      <c r="A1749" s="5">
        <v>1688</v>
      </c>
      <c r="B1749" s="1832">
        <f>'Tax Sched 23'!B10</f>
        <v>895</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701342</v>
      </c>
      <c r="C1752" s="2" t="s">
        <v>569</v>
      </c>
      <c r="D1752" s="2" t="str">
        <f t="shared" si="26"/>
        <v>Error?</v>
      </c>
    </row>
    <row r="1753" spans="1:5" x14ac:dyDescent="0.2">
      <c r="A1753" s="5">
        <v>1692</v>
      </c>
      <c r="B1753" s="1832">
        <f>'Tax Sched 23'!B12</f>
        <v>332381</v>
      </c>
      <c r="C1753" s="2" t="s">
        <v>569</v>
      </c>
      <c r="D1753" s="2" t="str">
        <f t="shared" si="26"/>
        <v>Error?</v>
      </c>
    </row>
    <row r="1754" spans="1:5" x14ac:dyDescent="0.2">
      <c r="A1754" s="5">
        <v>1693</v>
      </c>
      <c r="B1754" s="1832">
        <f>'Tax Sched 23'!B14</f>
        <v>736794</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34382718</v>
      </c>
      <c r="C1759" s="2" t="s">
        <v>569</v>
      </c>
      <c r="D1759" s="2" t="str">
        <f t="shared" si="26"/>
        <v>Error?</v>
      </c>
    </row>
    <row r="1760" spans="1:5" x14ac:dyDescent="0.2">
      <c r="A1760" s="5">
        <v>1699</v>
      </c>
      <c r="B1760" s="1832">
        <f>'Tax Sched 23'!D4</f>
        <v>-3283123</v>
      </c>
      <c r="C1760" s="2" t="s">
        <v>569</v>
      </c>
      <c r="D1760" s="2" t="str">
        <f t="shared" si="26"/>
        <v>Error?</v>
      </c>
    </row>
    <row r="1761" spans="1:7" x14ac:dyDescent="0.2">
      <c r="A1761" s="5">
        <v>1700</v>
      </c>
      <c r="B1761" s="1832">
        <f>'Tax Sched 23'!D5</f>
        <v>-610448</v>
      </c>
      <c r="C1761" s="2" t="s">
        <v>569</v>
      </c>
      <c r="D1761" s="2" t="str">
        <f t="shared" si="26"/>
        <v>Error?</v>
      </c>
    </row>
    <row r="1762" spans="1:7" s="8" customFormat="1" x14ac:dyDescent="0.2">
      <c r="A1762" s="5">
        <v>1701</v>
      </c>
      <c r="B1762" s="1832">
        <f>'Tax Sched 23'!D6</f>
        <v>-266983</v>
      </c>
      <c r="C1762" s="2" t="s">
        <v>569</v>
      </c>
      <c r="D1762" s="2" t="str">
        <f t="shared" si="26"/>
        <v>Error?</v>
      </c>
      <c r="E1762" s="9"/>
      <c r="G1762"/>
    </row>
    <row r="1763" spans="1:7" x14ac:dyDescent="0.2">
      <c r="A1763" s="5">
        <v>1702</v>
      </c>
      <c r="B1763" s="1832">
        <f>'Tax Sched 23'!D7</f>
        <v>-10245</v>
      </c>
      <c r="C1763" s="2" t="s">
        <v>569</v>
      </c>
      <c r="D1763" s="2" t="str">
        <f t="shared" si="26"/>
        <v>Error?</v>
      </c>
    </row>
    <row r="1764" spans="1:7" x14ac:dyDescent="0.2">
      <c r="A1764" s="5">
        <v>1703</v>
      </c>
      <c r="B1764" s="1832">
        <f>'Tax Sched 23'!D8</f>
        <v>732484</v>
      </c>
      <c r="C1764" s="2" t="s">
        <v>569</v>
      </c>
      <c r="D1764" s="2" t="str">
        <f t="shared" si="26"/>
        <v>Error?</v>
      </c>
    </row>
    <row r="1765" spans="1:7" x14ac:dyDescent="0.2">
      <c r="A1765" s="5">
        <v>1704</v>
      </c>
      <c r="B1765" s="1832">
        <f>'Tax Sched 23'!D10</f>
        <v>216</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-63563</v>
      </c>
      <c r="C1768" s="2" t="s">
        <v>569</v>
      </c>
      <c r="D1768" s="2" t="str">
        <f t="shared" si="26"/>
        <v>Error?</v>
      </c>
    </row>
    <row r="1769" spans="1:7" x14ac:dyDescent="0.2">
      <c r="A1769" s="5">
        <v>1708</v>
      </c>
      <c r="B1769" s="1832">
        <f>'Tax Sched 23'!D12</f>
        <v>-6973</v>
      </c>
      <c r="C1769" s="2" t="s">
        <v>569</v>
      </c>
      <c r="D1769" s="2" t="str">
        <f t="shared" si="26"/>
        <v>Error?</v>
      </c>
    </row>
    <row r="1770" spans="1:7" x14ac:dyDescent="0.2">
      <c r="A1770" s="5">
        <v>1709</v>
      </c>
      <c r="B1770" s="1832">
        <f>'Tax Sched 23'!D14</f>
        <v>-108199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-4431285</v>
      </c>
      <c r="C1775" s="2" t="s">
        <v>569</v>
      </c>
      <c r="D1775" s="2" t="str">
        <f t="shared" si="26"/>
        <v>Error?</v>
      </c>
    </row>
    <row r="1776" spans="1:7" x14ac:dyDescent="0.2">
      <c r="A1776" s="5">
        <v>1715</v>
      </c>
      <c r="B1776" s="1832">
        <f>'Tax Sched 23'!C4</f>
        <v>27016685</v>
      </c>
      <c r="D1776" s="2" t="str">
        <f t="shared" si="26"/>
        <v>Error?</v>
      </c>
    </row>
    <row r="1777" spans="1:4" x14ac:dyDescent="0.2">
      <c r="A1777" s="5">
        <v>1716</v>
      </c>
      <c r="B1777" s="1832">
        <f>'Tax Sched 23'!C5</f>
        <v>4398033</v>
      </c>
      <c r="D1777" s="2" t="str">
        <f t="shared" si="26"/>
        <v>Error?</v>
      </c>
    </row>
    <row r="1778" spans="1:4" x14ac:dyDescent="0.2">
      <c r="A1778" s="5">
        <v>1717</v>
      </c>
      <c r="B1778" s="1832">
        <f>'Tax Sched 23'!C6</f>
        <v>2616423</v>
      </c>
      <c r="D1778" s="2" t="str">
        <f t="shared" si="26"/>
        <v>Error?</v>
      </c>
    </row>
    <row r="1779" spans="1:4" x14ac:dyDescent="0.2">
      <c r="A1779" s="5">
        <v>1718</v>
      </c>
      <c r="B1779" s="1832">
        <f>'Tax Sched 23'!C7</f>
        <v>1319410</v>
      </c>
      <c r="D1779" s="2" t="str">
        <f t="shared" si="26"/>
        <v>Error?</v>
      </c>
    </row>
    <row r="1780" spans="1:4" x14ac:dyDescent="0.2">
      <c r="A1780" s="5">
        <v>1719</v>
      </c>
      <c r="B1780" s="1832">
        <f>'Tax Sched 23'!C8</f>
        <v>699070</v>
      </c>
      <c r="D1780" s="2" t="str">
        <f t="shared" si="26"/>
        <v>Error?</v>
      </c>
    </row>
    <row r="1781" spans="1:4" x14ac:dyDescent="0.2">
      <c r="A1781" s="5">
        <v>1720</v>
      </c>
      <c r="B1781" s="1832">
        <f>'Tax Sched 23'!C10</f>
        <v>679</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764905</v>
      </c>
      <c r="D1784" s="2" t="str">
        <f t="shared" si="26"/>
        <v>Error?</v>
      </c>
    </row>
    <row r="1785" spans="1:4" x14ac:dyDescent="0.2">
      <c r="A1785" s="5">
        <v>1724</v>
      </c>
      <c r="B1785" s="1832">
        <f>'Tax Sched 23'!C12</f>
        <v>339354</v>
      </c>
      <c r="D1785" s="2" t="str">
        <f t="shared" si="26"/>
        <v>Error?</v>
      </c>
    </row>
    <row r="1786" spans="1:4" x14ac:dyDescent="0.2">
      <c r="A1786" s="5">
        <v>1725</v>
      </c>
      <c r="B1786" s="1832">
        <f>'Tax Sched 23'!C14</f>
        <v>844993</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38814003</v>
      </c>
      <c r="C1791" s="2" t="s">
        <v>569</v>
      </c>
      <c r="D1791" s="2" t="str">
        <f t="shared" ref="D1791:D1854" si="27">IF(ISBLANK(B1791),"OK",IF(A1791-B1791=0,"OK","Error?"))</f>
        <v>Error?</v>
      </c>
    </row>
    <row r="1792" spans="1:4" x14ac:dyDescent="0.2">
      <c r="A1792" s="5">
        <v>1731</v>
      </c>
      <c r="B1792" s="1832">
        <f>'Tax Sched 23'!F4</f>
        <v>-18715600</v>
      </c>
      <c r="C1792" s="2" t="s">
        <v>569</v>
      </c>
      <c r="D1792" s="2" t="str">
        <f t="shared" si="27"/>
        <v>Error?</v>
      </c>
    </row>
    <row r="1793" spans="1:4" x14ac:dyDescent="0.2">
      <c r="A1793" s="5">
        <v>1732</v>
      </c>
      <c r="B1793" s="1832">
        <f>'Tax Sched 23'!F5</f>
        <v>-3046714</v>
      </c>
      <c r="C1793" s="2" t="s">
        <v>569</v>
      </c>
      <c r="D1793" s="2" t="str">
        <f t="shared" si="27"/>
        <v>Error?</v>
      </c>
    </row>
    <row r="1794" spans="1:4" x14ac:dyDescent="0.2">
      <c r="A1794" s="5">
        <v>1733</v>
      </c>
      <c r="B1794" s="1832">
        <f>'Tax Sched 23'!F6</f>
        <v>-1812512</v>
      </c>
      <c r="C1794" s="2" t="s">
        <v>569</v>
      </c>
      <c r="D1794" s="2" t="str">
        <f t="shared" si="27"/>
        <v>Error?</v>
      </c>
    </row>
    <row r="1795" spans="1:4" x14ac:dyDescent="0.2">
      <c r="A1795" s="5">
        <v>1734</v>
      </c>
      <c r="B1795" s="1832">
        <f>'Tax Sched 23'!F7</f>
        <v>-914014</v>
      </c>
      <c r="C1795" s="2" t="s">
        <v>569</v>
      </c>
      <c r="D1795" s="2" t="str">
        <f t="shared" si="27"/>
        <v>Error?</v>
      </c>
    </row>
    <row r="1796" spans="1:4" x14ac:dyDescent="0.2">
      <c r="A1796" s="5">
        <v>1735</v>
      </c>
      <c r="B1796" s="1832">
        <f>'Tax Sched 23'!F8</f>
        <v>-484273</v>
      </c>
      <c r="C1796" s="2" t="s">
        <v>569</v>
      </c>
      <c r="D1796" s="2" t="str">
        <f t="shared" si="27"/>
        <v>Error?</v>
      </c>
    </row>
    <row r="1797" spans="1:4" x14ac:dyDescent="0.2">
      <c r="A1797" s="5">
        <v>1736</v>
      </c>
      <c r="B1797" s="1832">
        <f>'Tax Sched 23'!F10</f>
        <v>-476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-529882</v>
      </c>
      <c r="C1800" s="2" t="s">
        <v>569</v>
      </c>
      <c r="D1800" s="2" t="str">
        <f t="shared" si="27"/>
        <v>Error?</v>
      </c>
    </row>
    <row r="1801" spans="1:4" x14ac:dyDescent="0.2">
      <c r="A1801" s="5">
        <v>1740</v>
      </c>
      <c r="B1801" s="1832">
        <f>'Tax Sched 23'!F12</f>
        <v>-235086</v>
      </c>
      <c r="C1801" s="2" t="s">
        <v>569</v>
      </c>
      <c r="D1801" s="2" t="str">
        <f t="shared" si="27"/>
        <v>Error?</v>
      </c>
    </row>
    <row r="1802" spans="1:4" x14ac:dyDescent="0.2">
      <c r="A1802" s="5">
        <v>1741</v>
      </c>
      <c r="B1802" s="1832">
        <f>'Tax Sched 23'!F14</f>
        <v>-585367</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-26888134</v>
      </c>
      <c r="C1807" s="2" t="s">
        <v>569</v>
      </c>
      <c r="D1807" s="2" t="str">
        <f t="shared" si="27"/>
        <v>Error?</v>
      </c>
    </row>
    <row r="1808" spans="1:4" x14ac:dyDescent="0.2">
      <c r="A1808" s="5">
        <v>1747</v>
      </c>
      <c r="B1808" s="1832">
        <f>'Tax Sched 23'!E4</f>
        <v>8301085</v>
      </c>
      <c r="D1808" s="2" t="str">
        <f t="shared" si="27"/>
        <v>Error?</v>
      </c>
    </row>
    <row r="1809" spans="1:4" x14ac:dyDescent="0.2">
      <c r="A1809" s="5">
        <v>1748</v>
      </c>
      <c r="B1809" s="1832">
        <f>'Tax Sched 23'!E5</f>
        <v>1351319</v>
      </c>
      <c r="D1809" s="2" t="str">
        <f t="shared" si="27"/>
        <v>Error?</v>
      </c>
    </row>
    <row r="1810" spans="1:4" x14ac:dyDescent="0.2">
      <c r="A1810" s="5">
        <v>1749</v>
      </c>
      <c r="B1810" s="1832">
        <f>'Tax Sched 23'!E6</f>
        <v>803911</v>
      </c>
      <c r="D1810" s="2" t="str">
        <f t="shared" si="27"/>
        <v>Error?</v>
      </c>
    </row>
    <row r="1811" spans="1:4" x14ac:dyDescent="0.2">
      <c r="A1811" s="5">
        <v>1750</v>
      </c>
      <c r="B1811" s="1832">
        <f>'Tax Sched 23'!E7</f>
        <v>405396</v>
      </c>
      <c r="D1811" s="2" t="str">
        <f t="shared" si="27"/>
        <v>Error?</v>
      </c>
    </row>
    <row r="1812" spans="1:4" x14ac:dyDescent="0.2">
      <c r="A1812" s="5">
        <v>1751</v>
      </c>
      <c r="B1812" s="1832">
        <f>'Tax Sched 23'!E8</f>
        <v>214797</v>
      </c>
      <c r="D1812" s="2" t="str">
        <f t="shared" si="27"/>
        <v>Error?</v>
      </c>
    </row>
    <row r="1813" spans="1:4" x14ac:dyDescent="0.2">
      <c r="A1813" s="5">
        <v>1752</v>
      </c>
      <c r="B1813" s="1832">
        <f>'Tax Sched 23'!E10</f>
        <v>203</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235023</v>
      </c>
      <c r="D1816" s="2" t="str">
        <f t="shared" si="27"/>
        <v>Error?</v>
      </c>
    </row>
    <row r="1817" spans="1:4" x14ac:dyDescent="0.2">
      <c r="A1817" s="5">
        <v>1756</v>
      </c>
      <c r="B1817" s="1832">
        <f>'Tax Sched 23'!E12</f>
        <v>104268</v>
      </c>
      <c r="D1817" s="2" t="str">
        <f t="shared" si="27"/>
        <v>Error?</v>
      </c>
    </row>
    <row r="1818" spans="1:4" x14ac:dyDescent="0.2">
      <c r="A1818" s="5">
        <v>1757</v>
      </c>
      <c r="B1818" s="1832">
        <f>'Tax Sched 23'!E14</f>
        <v>259626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11925869</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35826000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1324316</v>
      </c>
      <c r="D1971" s="2" t="str">
        <f t="shared" si="29"/>
        <v>Error?</v>
      </c>
    </row>
    <row r="1972" spans="1:5" x14ac:dyDescent="0.2">
      <c r="A1972" s="5">
        <v>1911</v>
      </c>
      <c r="B1972" s="1832">
        <f>'Rest Tax Levies-Tort Im 25'!H5</f>
        <v>736794</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736794</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2061110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2061110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1085540</v>
      </c>
      <c r="D2008" s="2" t="str">
        <f t="shared" si="30"/>
        <v>Error?</v>
      </c>
    </row>
    <row r="2009" spans="1:4" x14ac:dyDescent="0.2">
      <c r="A2009" s="5">
        <v>1948</v>
      </c>
      <c r="B2009" s="1832">
        <f>'Cap Outlay Deprec 26'!C8</f>
        <v>130102367</v>
      </c>
      <c r="D2009" s="2" t="str">
        <f t="shared" si="30"/>
        <v>Error?</v>
      </c>
    </row>
    <row r="2010" spans="1:4" x14ac:dyDescent="0.2">
      <c r="A2010" s="5">
        <v>1949</v>
      </c>
      <c r="B2010" s="1832">
        <f>'Cap Outlay Deprec 26'!C10</f>
        <v>1096679</v>
      </c>
      <c r="D2010" s="2" t="str">
        <f t="shared" si="30"/>
        <v>Error?</v>
      </c>
    </row>
    <row r="2011" spans="1:4" x14ac:dyDescent="0.2">
      <c r="A2011" s="5">
        <v>1950</v>
      </c>
      <c r="B2011" s="1832">
        <f>'Cap Outlay Deprec 26'!C12</f>
        <v>22042302</v>
      </c>
      <c r="D2011" s="2" t="str">
        <f t="shared" si="30"/>
        <v>Error?</v>
      </c>
    </row>
    <row r="2012" spans="1:4" x14ac:dyDescent="0.2">
      <c r="A2012" s="5">
        <v>1951</v>
      </c>
      <c r="B2012" s="1832">
        <f>'Cap Outlay Deprec 26'!C13</f>
        <v>96446</v>
      </c>
      <c r="D2012" s="2" t="str">
        <f t="shared" si="30"/>
        <v>Error?</v>
      </c>
    </row>
    <row r="2013" spans="1:4" x14ac:dyDescent="0.2">
      <c r="A2013" s="5">
        <v>1952</v>
      </c>
      <c r="B2013" s="1832">
        <f>'Cap Outlay Deprec 26'!C16</f>
        <v>154423334</v>
      </c>
      <c r="C2013" s="2" t="s">
        <v>569</v>
      </c>
      <c r="D2013" s="2" t="str">
        <f t="shared" si="30"/>
        <v>Error?</v>
      </c>
    </row>
    <row r="2014" spans="1:4" x14ac:dyDescent="0.2">
      <c r="A2014" s="5">
        <v>1953</v>
      </c>
      <c r="B2014" s="1832">
        <f>'Cap Outlay Deprec 26'!D5</f>
        <v>8581</v>
      </c>
      <c r="D2014" s="2" t="str">
        <f t="shared" si="30"/>
        <v>Error?</v>
      </c>
    </row>
    <row r="2015" spans="1:4" x14ac:dyDescent="0.2">
      <c r="A2015" s="5">
        <v>1954</v>
      </c>
      <c r="B2015" s="1832">
        <f>'Cap Outlay Deprec 26'!D8</f>
        <v>1493132</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871230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2372943</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1094121</v>
      </c>
      <c r="C2026" s="2" t="s">
        <v>569</v>
      </c>
      <c r="D2026" s="2" t="str">
        <f t="shared" si="30"/>
        <v>Error?</v>
      </c>
    </row>
    <row r="2027" spans="1:4" x14ac:dyDescent="0.2">
      <c r="A2027" s="5">
        <v>1966</v>
      </c>
      <c r="B2027" s="1832">
        <f>'Cap Outlay Deprec 26'!F8</f>
        <v>131595499</v>
      </c>
      <c r="C2027" s="2" t="s">
        <v>569</v>
      </c>
      <c r="D2027" s="2" t="str">
        <f t="shared" si="30"/>
        <v>Error?</v>
      </c>
    </row>
    <row r="2028" spans="1:4" x14ac:dyDescent="0.2">
      <c r="A2028" s="5">
        <v>1967</v>
      </c>
      <c r="B2028" s="1832">
        <f>'Cap Outlay Deprec 26'!F10</f>
        <v>1096679</v>
      </c>
      <c r="C2028" s="2" t="s">
        <v>569</v>
      </c>
      <c r="D2028" s="2" t="str">
        <f t="shared" si="30"/>
        <v>Error?</v>
      </c>
    </row>
    <row r="2029" spans="1:4" x14ac:dyDescent="0.2">
      <c r="A2029" s="5">
        <v>1968</v>
      </c>
      <c r="B2029" s="1832">
        <f>'Cap Outlay Deprec 26'!F12</f>
        <v>22913532</v>
      </c>
      <c r="C2029" s="2" t="s">
        <v>569</v>
      </c>
      <c r="D2029" s="2" t="str">
        <f t="shared" si="30"/>
        <v>Error?</v>
      </c>
    </row>
    <row r="2030" spans="1:4" x14ac:dyDescent="0.2">
      <c r="A2030" s="5">
        <v>1969</v>
      </c>
      <c r="B2030" s="1832">
        <f>'Cap Outlay Deprec 26'!F13</f>
        <v>96446</v>
      </c>
      <c r="C2030" s="2" t="s">
        <v>569</v>
      </c>
      <c r="D2030" s="2" t="str">
        <f t="shared" si="30"/>
        <v>Error?</v>
      </c>
    </row>
    <row r="2031" spans="1:4" x14ac:dyDescent="0.2">
      <c r="A2031" s="5">
        <v>1970</v>
      </c>
      <c r="B2031" s="1832">
        <f>'Cap Outlay Deprec 26'!F16</f>
        <v>156796277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44225631</v>
      </c>
      <c r="D2033" s="2" t="str">
        <f t="shared" si="30"/>
        <v>Error?</v>
      </c>
    </row>
    <row r="2034" spans="1:4" x14ac:dyDescent="0.2">
      <c r="A2034" s="5">
        <v>1973</v>
      </c>
      <c r="B2034" s="1832">
        <f>'Cap Outlay Deprec 26'!H10</f>
        <v>1096679</v>
      </c>
      <c r="D2034" s="2" t="str">
        <f t="shared" si="30"/>
        <v>Error?</v>
      </c>
    </row>
    <row r="2035" spans="1:4" x14ac:dyDescent="0.2">
      <c r="A2035" s="5">
        <v>1974</v>
      </c>
      <c r="B2035" s="1832">
        <f>'Cap Outlay Deprec 26'!H12</f>
        <v>17684186</v>
      </c>
      <c r="D2035" s="2" t="str">
        <f t="shared" si="30"/>
        <v>Error?</v>
      </c>
    </row>
    <row r="2036" spans="1:4" x14ac:dyDescent="0.2">
      <c r="A2036" s="5">
        <v>1975</v>
      </c>
      <c r="B2036" s="1832">
        <f>'Cap Outlay Deprec 26'!H13</f>
        <v>96446</v>
      </c>
      <c r="D2036" s="2" t="str">
        <f t="shared" si="30"/>
        <v>Error?</v>
      </c>
    </row>
    <row r="2037" spans="1:4" x14ac:dyDescent="0.2">
      <c r="A2037" s="5">
        <v>1976</v>
      </c>
      <c r="B2037" s="1832">
        <f>'Cap Outlay Deprec 26'!H16</f>
        <v>63102942</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2631910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522935</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3154845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46857541</v>
      </c>
      <c r="C2051" s="2" t="s">
        <v>569</v>
      </c>
      <c r="D2051" s="2" t="str">
        <f t="shared" si="31"/>
        <v>Error?</v>
      </c>
    </row>
    <row r="2052" spans="1:4" x14ac:dyDescent="0.2">
      <c r="A2052" s="5">
        <v>1991</v>
      </c>
      <c r="B2052" s="1832">
        <f>'Cap Outlay Deprec 26'!K10</f>
        <v>1096679</v>
      </c>
      <c r="C2052" s="2" t="s">
        <v>569</v>
      </c>
      <c r="D2052" s="2" t="str">
        <f t="shared" si="31"/>
        <v>Error?</v>
      </c>
    </row>
    <row r="2053" spans="1:4" x14ac:dyDescent="0.2">
      <c r="A2053" s="5">
        <v>1992</v>
      </c>
      <c r="B2053" s="1832">
        <f>'Cap Outlay Deprec 26'!K12</f>
        <v>18207121</v>
      </c>
      <c r="C2053" s="2" t="s">
        <v>569</v>
      </c>
      <c r="D2053" s="2" t="str">
        <f t="shared" si="31"/>
        <v>Error?</v>
      </c>
    </row>
    <row r="2054" spans="1:4" x14ac:dyDescent="0.2">
      <c r="A2054" s="5">
        <v>1993</v>
      </c>
      <c r="B2054" s="1832">
        <f>'Cap Outlay Deprec 26'!K13</f>
        <v>96446</v>
      </c>
      <c r="C2054" s="2" t="s">
        <v>569</v>
      </c>
      <c r="D2054" s="2" t="str">
        <f t="shared" si="31"/>
        <v>Error?</v>
      </c>
    </row>
    <row r="2055" spans="1:4" x14ac:dyDescent="0.2">
      <c r="A2055" s="5">
        <v>1994</v>
      </c>
      <c r="B2055" s="1832">
        <f>'Cap Outlay Deprec 26'!K16</f>
        <v>66257787</v>
      </c>
      <c r="C2055" s="2" t="s">
        <v>569</v>
      </c>
      <c r="D2055" s="2" t="str">
        <f t="shared" si="31"/>
        <v>Error?</v>
      </c>
    </row>
    <row r="2056" spans="1:4" x14ac:dyDescent="0.2">
      <c r="A2056" s="5">
        <v>1995</v>
      </c>
      <c r="B2056" s="1832">
        <f>'Cap Outlay Deprec 26'!L5</f>
        <v>1094121</v>
      </c>
      <c r="C2056" s="2" t="s">
        <v>569</v>
      </c>
      <c r="D2056" s="2" t="str">
        <f t="shared" si="31"/>
        <v>Error?</v>
      </c>
    </row>
    <row r="2057" spans="1:4" x14ac:dyDescent="0.2">
      <c r="A2057" s="5">
        <v>1996</v>
      </c>
      <c r="B2057" s="1832">
        <f>'Cap Outlay Deprec 26'!L8</f>
        <v>84737958</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4706411</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90538490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581462</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628040</v>
      </c>
      <c r="C2088" s="2" t="s">
        <v>569</v>
      </c>
      <c r="D2088" s="2" t="str">
        <f t="shared" si="31"/>
        <v>Error?</v>
      </c>
    </row>
    <row r="2089" spans="1:4" x14ac:dyDescent="0.2">
      <c r="A2089" s="5">
        <v>2028</v>
      </c>
      <c r="B2089" s="1832">
        <f>'Expenditures 15-22'!K92</f>
        <v>218354</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588</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86145</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27568038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16998664</v>
      </c>
      <c r="C2553" s="2" t="s">
        <v>569</v>
      </c>
      <c r="D2553" s="2" t="str">
        <f t="shared" si="38"/>
        <v>Error?</v>
      </c>
    </row>
    <row r="2554" spans="1:4" x14ac:dyDescent="0.2">
      <c r="A2554" s="5">
        <v>2493</v>
      </c>
      <c r="B2554" s="1832">
        <f>'Acct Summary 7-8'!C7</f>
        <v>7274886</v>
      </c>
      <c r="C2554" s="2" t="s">
        <v>569</v>
      </c>
      <c r="D2554" s="2" t="str">
        <f t="shared" si="38"/>
        <v>Error?</v>
      </c>
    </row>
    <row r="2555" spans="1:4" x14ac:dyDescent="0.2">
      <c r="A2555" s="5">
        <v>2494</v>
      </c>
      <c r="B2555" s="1832">
        <f>'Acct Summary 7-8'!C8</f>
        <v>51841588</v>
      </c>
      <c r="C2555" s="2" t="s">
        <v>569</v>
      </c>
      <c r="D2555" s="2" t="str">
        <f t="shared" si="38"/>
        <v>Error?</v>
      </c>
    </row>
    <row r="2556" spans="1:4" x14ac:dyDescent="0.2">
      <c r="A2556" s="5">
        <v>2495</v>
      </c>
      <c r="B2556" s="1832">
        <f>'Acct Summary 7-8'!C12</f>
        <v>35118249</v>
      </c>
      <c r="C2556" s="2" t="s">
        <v>569</v>
      </c>
      <c r="D2556" s="2" t="str">
        <f t="shared" si="38"/>
        <v>Error?</v>
      </c>
    </row>
    <row r="2557" spans="1:4" x14ac:dyDescent="0.2">
      <c r="A2557" s="5">
        <v>2496</v>
      </c>
      <c r="B2557" s="1832">
        <f>'Acct Summary 7-8'!C13</f>
        <v>18594448</v>
      </c>
      <c r="C2557" s="2" t="s">
        <v>569</v>
      </c>
      <c r="D2557" s="2" t="str">
        <f t="shared" si="38"/>
        <v>Error?</v>
      </c>
    </row>
    <row r="2558" spans="1:4" x14ac:dyDescent="0.2">
      <c r="A2558" s="5">
        <v>2497</v>
      </c>
      <c r="B2558" s="1832">
        <f>'Acct Summary 7-8'!C14</f>
        <v>1590191</v>
      </c>
      <c r="C2558" s="2" t="s">
        <v>569</v>
      </c>
      <c r="D2558" s="2" t="str">
        <f t="shared" si="38"/>
        <v>Error?</v>
      </c>
    </row>
    <row r="2559" spans="1:4" x14ac:dyDescent="0.2">
      <c r="A2559" s="5">
        <v>2498</v>
      </c>
      <c r="B2559" s="1832">
        <f>'Acct Summary 7-8'!C15</f>
        <v>858290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56161178</v>
      </c>
      <c r="C2561" s="2" t="s">
        <v>569</v>
      </c>
      <c r="D2561" s="2" t="str">
        <f t="shared" si="39"/>
        <v>Error?</v>
      </c>
    </row>
    <row r="2562" spans="1:4" x14ac:dyDescent="0.2">
      <c r="A2562" s="5">
        <v>2501</v>
      </c>
      <c r="B2562" s="1832">
        <f>'Acct Summary 7-8'!C20</f>
        <v>-4319590</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3851688</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3851688</v>
      </c>
      <c r="C2568" s="2" t="s">
        <v>569</v>
      </c>
      <c r="D2568" s="2" t="str">
        <f t="shared" si="39"/>
        <v>Error?</v>
      </c>
    </row>
    <row r="2569" spans="1:4" x14ac:dyDescent="0.2">
      <c r="A2569" s="5">
        <v>2508</v>
      </c>
      <c r="B2569" s="1832">
        <f>'Acct Summary 7-8'!D13</f>
        <v>3611076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3611076</v>
      </c>
      <c r="C2573" s="2" t="s">
        <v>569</v>
      </c>
      <c r="D2573" s="2" t="str">
        <f t="shared" si="39"/>
        <v>Error?</v>
      </c>
    </row>
    <row r="2574" spans="1:4" x14ac:dyDescent="0.2">
      <c r="A2574" s="5">
        <v>2513</v>
      </c>
      <c r="B2574" s="1832">
        <f>'Acct Summary 7-8'!D20</f>
        <v>240612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1335966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1092368</v>
      </c>
      <c r="C2593" s="2" t="s">
        <v>569</v>
      </c>
      <c r="D2593" s="2" t="str">
        <f t="shared" si="39"/>
        <v>Error?</v>
      </c>
    </row>
    <row r="2594" spans="1:4" x14ac:dyDescent="0.2">
      <c r="A2594" s="5">
        <v>2533</v>
      </c>
      <c r="B2594" s="1832">
        <f>'Acct Summary 7-8'!F7</f>
        <v>58151</v>
      </c>
      <c r="C2594" s="2" t="s">
        <v>569</v>
      </c>
      <c r="D2594" s="2" t="str">
        <f t="shared" si="39"/>
        <v>Error?</v>
      </c>
    </row>
    <row r="2595" spans="1:4" x14ac:dyDescent="0.2">
      <c r="A2595" s="5">
        <v>2534</v>
      </c>
      <c r="B2595" s="1832">
        <f>'Acct Summary 7-8'!F8</f>
        <v>2486485</v>
      </c>
      <c r="C2595" s="2" t="s">
        <v>569</v>
      </c>
      <c r="D2595" s="2" t="str">
        <f t="shared" si="39"/>
        <v>Error?</v>
      </c>
    </row>
    <row r="2596" spans="1:4" x14ac:dyDescent="0.2">
      <c r="A2596" s="5">
        <v>2535</v>
      </c>
      <c r="B2596" s="1832">
        <f>'Acct Summary 7-8'!F13</f>
        <v>2315393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2315393</v>
      </c>
      <c r="C2600" s="2" t="s">
        <v>569</v>
      </c>
      <c r="D2600" s="2" t="str">
        <f t="shared" si="39"/>
        <v>Error?</v>
      </c>
    </row>
    <row r="2601" spans="1:4" x14ac:dyDescent="0.2">
      <c r="A2601" s="5">
        <v>2540</v>
      </c>
      <c r="B2601" s="1832">
        <f>'Acct Summary 7-8'!F20</f>
        <v>171092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1442333</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1442333</v>
      </c>
      <c r="C2606" s="2" t="s">
        <v>569</v>
      </c>
      <c r="D2606" s="2" t="str">
        <f t="shared" si="39"/>
        <v>Error?</v>
      </c>
    </row>
    <row r="2607" spans="1:4" x14ac:dyDescent="0.2">
      <c r="A2607" s="5">
        <v>2546</v>
      </c>
      <c r="B2607" s="1832">
        <f>'Acct Summary 7-8'!G12</f>
        <v>610268</v>
      </c>
      <c r="C2607" s="2" t="s">
        <v>569</v>
      </c>
      <c r="D2607" s="2" t="str">
        <f t="shared" si="39"/>
        <v>Error?</v>
      </c>
    </row>
    <row r="2608" spans="1:4" x14ac:dyDescent="0.2">
      <c r="A2608" s="5">
        <v>2547</v>
      </c>
      <c r="B2608" s="1832">
        <f>'Acct Summary 7-8'!G13</f>
        <v>936299</v>
      </c>
      <c r="C2608" s="2" t="s">
        <v>569</v>
      </c>
      <c r="D2608" s="2" t="str">
        <f t="shared" si="39"/>
        <v>Error?</v>
      </c>
    </row>
    <row r="2609" spans="1:4" x14ac:dyDescent="0.2">
      <c r="A2609" s="5">
        <v>2548</v>
      </c>
      <c r="B2609" s="1832">
        <f>'Acct Summary 7-8'!G14</f>
        <v>11724</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1558291</v>
      </c>
      <c r="C2612" s="2" t="s">
        <v>569</v>
      </c>
      <c r="D2612" s="2" t="str">
        <f t="shared" si="39"/>
        <v>Error?</v>
      </c>
    </row>
    <row r="2613" spans="1:4" x14ac:dyDescent="0.2">
      <c r="A2613" s="5">
        <v>2552</v>
      </c>
      <c r="B2613" s="1832">
        <f>'Acct Summary 7-8'!G20</f>
        <v>-115958</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2370928</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2370928</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4804667</v>
      </c>
      <c r="C2634" s="2" t="s">
        <v>569</v>
      </c>
      <c r="D2634" s="2" t="str">
        <f t="shared" si="40"/>
        <v>Error?</v>
      </c>
    </row>
    <row r="2635" spans="1:4" x14ac:dyDescent="0.2">
      <c r="A2635" s="5">
        <v>2574</v>
      </c>
      <c r="B2635" s="1832">
        <f>'Acct Summary 7-8'!E17</f>
        <v>4804667</v>
      </c>
      <c r="C2635" s="2" t="s">
        <v>569</v>
      </c>
      <c r="D2635" s="2" t="str">
        <f t="shared" si="40"/>
        <v>Error?</v>
      </c>
    </row>
    <row r="2636" spans="1:4" x14ac:dyDescent="0.2">
      <c r="A2636" s="5">
        <v>2575</v>
      </c>
      <c r="B2636" s="1832">
        <f>'Acct Summary 7-8'!E20</f>
        <v>-2433739</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3469775</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3519775</v>
      </c>
      <c r="C2658" s="2" t="s">
        <v>569</v>
      </c>
      <c r="D2658" s="2" t="str">
        <f t="shared" si="40"/>
        <v>Error?</v>
      </c>
    </row>
    <row r="2659" spans="1:4" x14ac:dyDescent="0.2">
      <c r="A2659" s="5">
        <v>2598</v>
      </c>
      <c r="B2659" s="1832">
        <f>'Acct Summary 7-8'!H13</f>
        <v>1077566</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1077566</v>
      </c>
      <c r="C2661" s="2" t="s">
        <v>569</v>
      </c>
      <c r="D2661" s="2" t="str">
        <f t="shared" si="40"/>
        <v>Error?</v>
      </c>
    </row>
    <row r="2662" spans="1:4" x14ac:dyDescent="0.2">
      <c r="A2662" s="5">
        <v>2601</v>
      </c>
      <c r="B2662" s="1832">
        <f>'Acct Summary 7-8'!H20</f>
        <v>2442209</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740051</v>
      </c>
      <c r="D2718" s="2" t="str">
        <f t="shared" si="41"/>
        <v>Error?</v>
      </c>
    </row>
    <row r="2719" spans="1:4" x14ac:dyDescent="0.2">
      <c r="A2719" s="5">
        <v>2658</v>
      </c>
      <c r="B2719" s="1832">
        <f>'Expenditures 15-22'!D51</f>
        <v>70469</v>
      </c>
      <c r="D2719" s="2" t="str">
        <f t="shared" si="41"/>
        <v>Error?</v>
      </c>
    </row>
    <row r="2720" spans="1:4" x14ac:dyDescent="0.2">
      <c r="A2720" s="5">
        <v>2659</v>
      </c>
      <c r="B2720" s="1832">
        <f>'Expenditures 15-22'!E51</f>
        <v>8453</v>
      </c>
      <c r="D2720" s="2" t="str">
        <f t="shared" si="41"/>
        <v>Error?</v>
      </c>
    </row>
    <row r="2721" spans="1:4" x14ac:dyDescent="0.2">
      <c r="A2721" s="5">
        <v>2660</v>
      </c>
      <c r="B2721" s="1832">
        <f>'Expenditures 15-22'!F51</f>
        <v>7325</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826298</v>
      </c>
      <c r="C2724" s="2" t="s">
        <v>569</v>
      </c>
      <c r="D2724" s="2" t="str">
        <f t="shared" si="41"/>
        <v>Error?</v>
      </c>
    </row>
    <row r="2725" spans="1:4" x14ac:dyDescent="0.2">
      <c r="A2725" s="5">
        <v>2664</v>
      </c>
      <c r="B2725" s="1832">
        <f>'Expenditures 15-22'!D247</f>
        <v>6897</v>
      </c>
      <c r="D2725" s="2" t="str">
        <f t="shared" si="41"/>
        <v>Error?</v>
      </c>
    </row>
    <row r="2726" spans="1:4" x14ac:dyDescent="0.2">
      <c r="A2726" s="5">
        <v>2665</v>
      </c>
      <c r="B2726" s="1832">
        <f>'Expenditures 15-22'!K247</f>
        <v>6897</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10449</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46578</v>
      </c>
      <c r="C2789" s="2" t="s">
        <v>569</v>
      </c>
      <c r="D2789" s="2" t="str">
        <f t="shared" si="42"/>
        <v>Error?</v>
      </c>
    </row>
    <row r="2790" spans="1:4" x14ac:dyDescent="0.2">
      <c r="A2790" s="5">
        <v>2729</v>
      </c>
      <c r="B2790" s="1832">
        <f>'Expenditures 15-22'!E102</f>
        <v>46578</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10449</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476</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7047819</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1776343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385</v>
      </c>
      <c r="D2908" s="2" t="str">
        <f t="shared" si="44"/>
        <v>Error?</v>
      </c>
    </row>
    <row r="2909" spans="1:4" x14ac:dyDescent="0.2">
      <c r="A2909" s="10">
        <v>2848</v>
      </c>
      <c r="B2909" s="1832"/>
      <c r="D2909" s="2" t="str">
        <f t="shared" si="44"/>
        <v>OK</v>
      </c>
    </row>
    <row r="2910" spans="1:4" x14ac:dyDescent="0.2">
      <c r="A2910" s="5">
        <v>2849</v>
      </c>
      <c r="B2910" s="1832">
        <f>'Assets-Liab 5-6'!I34</f>
        <v>385</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7047434</v>
      </c>
      <c r="D2912" s="2" t="str">
        <f t="shared" si="44"/>
        <v>Error?</v>
      </c>
    </row>
    <row r="2913" spans="1:4" x14ac:dyDescent="0.2">
      <c r="A2913" s="5">
        <v>2852</v>
      </c>
      <c r="B2913" s="1832">
        <f>'Assets-Liab 5-6'!I41</f>
        <v>7047819</v>
      </c>
      <c r="C2913" s="2" t="s">
        <v>569</v>
      </c>
      <c r="D2913" s="2" t="str">
        <f t="shared" si="44"/>
        <v>Error?</v>
      </c>
    </row>
    <row r="2914" spans="1:4" x14ac:dyDescent="0.2">
      <c r="A2914" s="5">
        <v>2853</v>
      </c>
      <c r="B2914" s="1832">
        <f>'Assets-Liab 5-6'!L33</f>
        <v>1776343</v>
      </c>
      <c r="D2914" s="2" t="str">
        <f t="shared" si="44"/>
        <v>Error?</v>
      </c>
    </row>
    <row r="2915" spans="1:4" x14ac:dyDescent="0.2">
      <c r="A2915" s="10">
        <v>2854</v>
      </c>
      <c r="B2915" s="1832"/>
      <c r="D2915" s="2" t="str">
        <f t="shared" si="44"/>
        <v>OK</v>
      </c>
    </row>
    <row r="2916" spans="1:4" x14ac:dyDescent="0.2">
      <c r="A2916" s="5">
        <v>2855</v>
      </c>
      <c r="B2916" s="1832">
        <f>'Assets-Liab 5-6'!L34</f>
        <v>1776343</v>
      </c>
      <c r="C2916" s="2" t="s">
        <v>569</v>
      </c>
      <c r="D2916" s="2" t="str">
        <f t="shared" si="44"/>
        <v>Error?</v>
      </c>
    </row>
    <row r="2917" spans="1:4" x14ac:dyDescent="0.2">
      <c r="A2917" s="5">
        <v>2856</v>
      </c>
      <c r="B2917" s="1832">
        <f>'Assets-Liab 5-6'!L41</f>
        <v>1776343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46578</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92290</v>
      </c>
      <c r="D2955" s="2" t="str">
        <f t="shared" si="45"/>
        <v>Error?</v>
      </c>
    </row>
    <row r="2956" spans="1:4" x14ac:dyDescent="0.2">
      <c r="A2956" s="5">
        <v>2895</v>
      </c>
      <c r="B2956" s="1832">
        <f>'Expenditures 15-22'!H79</f>
        <v>255021</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4235</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229916</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138868</v>
      </c>
      <c r="C2973" s="2" t="s">
        <v>569</v>
      </c>
      <c r="D2973" s="2" t="str">
        <f t="shared" si="45"/>
        <v>Error?</v>
      </c>
    </row>
    <row r="2974" spans="1:4" x14ac:dyDescent="0.2">
      <c r="A2974" s="5">
        <v>2913</v>
      </c>
      <c r="B2974" s="1832">
        <f>'Expenditures 15-22'!K79</f>
        <v>255021</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4235</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229916</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1558885</v>
      </c>
      <c r="D3055" s="2" t="str">
        <f t="shared" si="46"/>
        <v>Error?</v>
      </c>
    </row>
    <row r="3056" spans="1:4" x14ac:dyDescent="0.2">
      <c r="A3056" s="5">
        <v>2995</v>
      </c>
      <c r="B3056" s="1832">
        <f>'Expenditures 15-22'!D10</f>
        <v>172990</v>
      </c>
      <c r="D3056" s="2" t="str">
        <f t="shared" si="46"/>
        <v>Error?</v>
      </c>
    </row>
    <row r="3057" spans="1:4" x14ac:dyDescent="0.2">
      <c r="A3057" s="5">
        <v>2996</v>
      </c>
      <c r="B3057" s="1832">
        <f>'Expenditures 15-22'!E10</f>
        <v>11095</v>
      </c>
      <c r="D3057" s="2" t="str">
        <f t="shared" si="46"/>
        <v>Error?</v>
      </c>
    </row>
    <row r="3058" spans="1:4" x14ac:dyDescent="0.2">
      <c r="A3058" s="5">
        <v>2997</v>
      </c>
      <c r="B3058" s="1832">
        <f>'Expenditures 15-22'!F10</f>
        <v>126094</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1869064</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22303</v>
      </c>
      <c r="D3064" s="2" t="str">
        <f t="shared" si="46"/>
        <v>Error?</v>
      </c>
    </row>
    <row r="3065" spans="1:4" x14ac:dyDescent="0.2">
      <c r="A3065" s="5">
        <v>3004</v>
      </c>
      <c r="B3065" s="1832">
        <f>'Expenditures 15-22'!K219</f>
        <v>22303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1484</v>
      </c>
      <c r="C3225" s="2" t="s">
        <v>569</v>
      </c>
      <c r="D3225" s="2" t="str">
        <f t="shared" si="49"/>
        <v>Error?</v>
      </c>
    </row>
    <row r="3226" spans="1:4" x14ac:dyDescent="0.2">
      <c r="A3226" s="5">
        <v>3165</v>
      </c>
      <c r="B3226" s="1832">
        <f>'Acct Summary 7-8'!I8</f>
        <v>1484</v>
      </c>
      <c r="C3226" s="2" t="s">
        <v>569</v>
      </c>
      <c r="D3226" s="2" t="str">
        <f t="shared" si="49"/>
        <v>Error?</v>
      </c>
    </row>
    <row r="3227" spans="1:4" x14ac:dyDescent="0.2">
      <c r="A3227" s="5">
        <v>3166</v>
      </c>
      <c r="B3227" s="1832">
        <f>'Acct Summary 7-8'!I20</f>
        <v>1484</v>
      </c>
      <c r="C3227" s="2" t="s">
        <v>569</v>
      </c>
      <c r="D3227" s="2" t="str">
        <f t="shared" si="49"/>
        <v>Error?</v>
      </c>
    </row>
    <row r="3228" spans="1:4" x14ac:dyDescent="0.2">
      <c r="A3228" s="5">
        <v>3167</v>
      </c>
      <c r="B3228" s="1832">
        <f>'Acct Summary 7-8'!C43</f>
        <v>230119</v>
      </c>
      <c r="D3228" s="2" t="str">
        <f t="shared" si="49"/>
        <v>Error?</v>
      </c>
    </row>
    <row r="3229" spans="1:4" x14ac:dyDescent="0.2">
      <c r="A3229" s="5">
        <v>3168</v>
      </c>
      <c r="B3229" s="1832">
        <f>'Acct Summary 7-8'!C44</f>
        <v>241156</v>
      </c>
      <c r="C3229" s="2" t="s">
        <v>569</v>
      </c>
      <c r="D3229" s="2" t="str">
        <f t="shared" si="49"/>
        <v>Error?</v>
      </c>
    </row>
    <row r="3230" spans="1:4" x14ac:dyDescent="0.2">
      <c r="A3230" s="5">
        <v>3169</v>
      </c>
      <c r="B3230" s="1832">
        <f>'Acct Summary 7-8'!C75</f>
        <v>212096</v>
      </c>
      <c r="D3230" s="2" t="str">
        <f t="shared" si="49"/>
        <v>Error?</v>
      </c>
    </row>
    <row r="3231" spans="1:4" x14ac:dyDescent="0.2">
      <c r="A3231" s="5">
        <v>3170</v>
      </c>
      <c r="B3231" s="1832">
        <f>'Acct Summary 7-8'!C76</f>
        <v>212096</v>
      </c>
      <c r="C3231" s="2" t="s">
        <v>569</v>
      </c>
      <c r="D3231" s="2" t="str">
        <f t="shared" si="49"/>
        <v>Error?</v>
      </c>
    </row>
    <row r="3232" spans="1:4" x14ac:dyDescent="0.2">
      <c r="A3232" s="5">
        <v>3171</v>
      </c>
      <c r="B3232" s="1832">
        <f>'Acct Summary 7-8'!C77</f>
        <v>29060</v>
      </c>
      <c r="C3232" s="2" t="s">
        <v>569</v>
      </c>
      <c r="D3232" s="2" t="str">
        <f t="shared" si="49"/>
        <v>Error?</v>
      </c>
    </row>
    <row r="3233" spans="1:4" x14ac:dyDescent="0.2">
      <c r="A3233" s="5">
        <v>3172</v>
      </c>
      <c r="B3233" s="1832">
        <f>'Acct Summary 7-8'!C78</f>
        <v>-4290530</v>
      </c>
      <c r="C3233" s="2" t="s">
        <v>569</v>
      </c>
      <c r="D3233" s="2" t="str">
        <f t="shared" si="49"/>
        <v>Error?</v>
      </c>
    </row>
    <row r="3234" spans="1:4" x14ac:dyDescent="0.2">
      <c r="A3234" s="5">
        <v>3173</v>
      </c>
      <c r="B3234" s="1832">
        <f>'Acct Summary 7-8'!D43</f>
        <v>267345</v>
      </c>
      <c r="D3234" s="2" t="str">
        <f t="shared" si="49"/>
        <v>Error?</v>
      </c>
    </row>
    <row r="3235" spans="1:4" x14ac:dyDescent="0.2">
      <c r="A3235" s="5">
        <v>3174</v>
      </c>
      <c r="B3235" s="1832">
        <f>'Acct Summary 7-8'!D44</f>
        <v>308631</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308631</v>
      </c>
      <c r="C3238" s="2" t="s">
        <v>569</v>
      </c>
      <c r="D3238" s="2" t="str">
        <f t="shared" si="49"/>
        <v>Error?</v>
      </c>
    </row>
    <row r="3239" spans="1:4" x14ac:dyDescent="0.2">
      <c r="A3239" s="5">
        <v>3178</v>
      </c>
      <c r="B3239" s="1832">
        <f>'Acct Summary 7-8'!D78</f>
        <v>549243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230119</v>
      </c>
      <c r="D3253" s="2" t="str">
        <f t="shared" si="49"/>
        <v>Error?</v>
      </c>
    </row>
    <row r="3254" spans="1:4" x14ac:dyDescent="0.2">
      <c r="A3254" s="5">
        <v>3193</v>
      </c>
      <c r="B3254" s="1832">
        <f>'Acct Summary 7-8'!F76</f>
        <v>230119</v>
      </c>
      <c r="C3254" s="2" t="s">
        <v>569</v>
      </c>
      <c r="D3254" s="2" t="str">
        <f t="shared" si="49"/>
        <v>Error?</v>
      </c>
    </row>
    <row r="3255" spans="1:4" x14ac:dyDescent="0.2">
      <c r="A3255" s="5">
        <v>3194</v>
      </c>
      <c r="B3255" s="1832">
        <f>'Acct Summary 7-8'!F77</f>
        <v>-230119</v>
      </c>
      <c r="C3255" s="2" t="s">
        <v>569</v>
      </c>
      <c r="D3255" s="2" t="str">
        <f t="shared" si="49"/>
        <v>Error?</v>
      </c>
    </row>
    <row r="3256" spans="1:4" x14ac:dyDescent="0.2">
      <c r="A3256" s="5">
        <v>3195</v>
      </c>
      <c r="B3256" s="1832">
        <f>'Acct Summary 7-8'!F78</f>
        <v>-59027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-115958</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2116213</v>
      </c>
      <c r="D3273" s="2" t="str">
        <f t="shared" si="50"/>
        <v>Error?</v>
      </c>
    </row>
    <row r="3274" spans="1:4" x14ac:dyDescent="0.2">
      <c r="A3274" s="5">
        <v>3213</v>
      </c>
      <c r="B3274" s="1832">
        <f>'Acct Summary 7-8'!E44</f>
        <v>2116213</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10449</v>
      </c>
      <c r="C3276" s="2" t="s">
        <v>569</v>
      </c>
      <c r="D3276" s="2" t="str">
        <f t="shared" si="50"/>
        <v>Error?</v>
      </c>
    </row>
    <row r="3277" spans="1:4" x14ac:dyDescent="0.2">
      <c r="A3277" s="5">
        <v>3216</v>
      </c>
      <c r="B3277" s="1832">
        <f>'Acct Summary 7-8'!E77</f>
        <v>2105764</v>
      </c>
      <c r="C3277" s="2" t="s">
        <v>569</v>
      </c>
      <c r="D3277" s="2" t="str">
        <f t="shared" si="50"/>
        <v>Error?</v>
      </c>
    </row>
    <row r="3278" spans="1:4" x14ac:dyDescent="0.2">
      <c r="A3278" s="5">
        <v>3217</v>
      </c>
      <c r="B3278" s="1832">
        <f>'Acct Summary 7-8'!E78</f>
        <v>-327975</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1904117</v>
      </c>
      <c r="D3297" s="2" t="str">
        <f t="shared" si="50"/>
        <v>Error?</v>
      </c>
    </row>
    <row r="3298" spans="1:4" x14ac:dyDescent="0.2">
      <c r="A3298" s="5">
        <v>3237</v>
      </c>
      <c r="B3298" s="1832">
        <f>'Acct Summary 7-8'!H76</f>
        <v>1904117</v>
      </c>
      <c r="C3298" s="2" t="s">
        <v>569</v>
      </c>
      <c r="D3298" s="2" t="str">
        <f t="shared" si="50"/>
        <v>Error?</v>
      </c>
    </row>
    <row r="3299" spans="1:4" x14ac:dyDescent="0.2">
      <c r="A3299" s="5">
        <v>3238</v>
      </c>
      <c r="B3299" s="1832">
        <f>'Acct Summary 7-8'!H77</f>
        <v>-1904117</v>
      </c>
      <c r="C3299" s="2" t="s">
        <v>569</v>
      </c>
      <c r="D3299" s="2" t="str">
        <f t="shared" si="50"/>
        <v>Error?</v>
      </c>
    </row>
    <row r="3300" spans="1:4" x14ac:dyDescent="0.2">
      <c r="A3300" s="5">
        <v>3239</v>
      </c>
      <c r="B3300" s="1832">
        <f>'Acct Summary 7-8'!H78</f>
        <v>538092</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588</v>
      </c>
      <c r="C3318" s="2" t="s">
        <v>569</v>
      </c>
      <c r="D3318" s="2" t="str">
        <f t="shared" si="50"/>
        <v>Error?</v>
      </c>
    </row>
    <row r="3319" spans="1:4" x14ac:dyDescent="0.2">
      <c r="A3319" s="5">
        <v>3258</v>
      </c>
      <c r="B3319" s="1832">
        <f>'Acct Summary 7-8'!I77</f>
        <v>-588</v>
      </c>
      <c r="C3319" s="2" t="s">
        <v>569</v>
      </c>
      <c r="D3319" s="2" t="str">
        <f t="shared" si="50"/>
        <v>Error?</v>
      </c>
    </row>
    <row r="3320" spans="1:4" x14ac:dyDescent="0.2">
      <c r="A3320" s="5">
        <v>3259</v>
      </c>
      <c r="B3320" s="1832">
        <f>'Acct Summary 7-8'!I78</f>
        <v>896</v>
      </c>
      <c r="C3320" s="2" t="s">
        <v>569</v>
      </c>
      <c r="D3320" s="2" t="str">
        <f t="shared" si="50"/>
        <v>Error?</v>
      </c>
    </row>
    <row r="3321" spans="1:4" x14ac:dyDescent="0.2">
      <c r="A3321" s="5">
        <v>3260</v>
      </c>
      <c r="B3321" s="1832">
        <f>'Acct Summary 7-8'!I79</f>
        <v>7046538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7047434</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6782659</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1320606</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1007456</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54885</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3343</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1398311</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10567260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234913</v>
      </c>
      <c r="D3387" s="2" t="str">
        <f t="shared" si="51"/>
        <v>Error?</v>
      </c>
    </row>
    <row r="3388" spans="1:4" x14ac:dyDescent="0.2">
      <c r="A3388" s="5">
        <v>3327</v>
      </c>
      <c r="B3388" s="1832">
        <f>'Expenditures 15-22'!D217</f>
        <v>247054</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234913</v>
      </c>
      <c r="C3390" s="2" t="s">
        <v>569</v>
      </c>
      <c r="D3390" s="2" t="str">
        <f t="shared" si="51"/>
        <v>Error?</v>
      </c>
    </row>
    <row r="3391" spans="1:4" x14ac:dyDescent="0.2">
      <c r="A3391" s="5">
        <v>3330</v>
      </c>
      <c r="B3391" s="1832">
        <f>'Expenditures 15-22'!K217</f>
        <v>247054</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5091385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812858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396144</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323521</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8364744</v>
      </c>
      <c r="D3425" s="2" t="str">
        <f t="shared" si="52"/>
        <v>Error?</v>
      </c>
    </row>
    <row r="3426" spans="1:4" x14ac:dyDescent="0.2">
      <c r="A3426" s="10">
        <v>3365</v>
      </c>
      <c r="B3426" s="1832"/>
      <c r="D3426" s="2" t="str">
        <f t="shared" si="52"/>
        <v>OK</v>
      </c>
    </row>
    <row r="3427" spans="1:4" x14ac:dyDescent="0.2">
      <c r="A3427" s="5">
        <v>3366</v>
      </c>
      <c r="B3427" s="1832">
        <f>'Assets-Liab 5-6'!I4</f>
        <v>1532343</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1776343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-814451</v>
      </c>
      <c r="C3447" s="2" t="s">
        <v>569</v>
      </c>
      <c r="D3447" s="2" t="str">
        <f t="shared" si="52"/>
        <v>Error?</v>
      </c>
    </row>
    <row r="3448" spans="1:4" x14ac:dyDescent="0.2">
      <c r="A3448" s="5">
        <v>3387</v>
      </c>
      <c r="B3448" s="1832">
        <f>'Tax Sched 23'!C16</f>
        <v>814451</v>
      </c>
      <c r="D3448" s="2" t="str">
        <f t="shared" si="52"/>
        <v>Error?</v>
      </c>
    </row>
    <row r="3449" spans="1:4" x14ac:dyDescent="0.2">
      <c r="A3449" s="5">
        <v>3388</v>
      </c>
      <c r="B3449" s="1832">
        <f>'Tax Sched 23'!F16</f>
        <v>-564210</v>
      </c>
      <c r="C3449" s="2" t="s">
        <v>569</v>
      </c>
      <c r="D3449" s="2" t="str">
        <f t="shared" si="52"/>
        <v>Error?</v>
      </c>
    </row>
    <row r="3450" spans="1:4" x14ac:dyDescent="0.2">
      <c r="A3450" s="5">
        <v>3389</v>
      </c>
      <c r="B3450" s="1832">
        <f>'Tax Sched 23'!E16</f>
        <v>250241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309559</v>
      </c>
      <c r="D3546" s="2" t="str">
        <f t="shared" si="54"/>
        <v>Error?</v>
      </c>
    </row>
    <row r="3547" spans="1:4" x14ac:dyDescent="0.2">
      <c r="A3547" s="10">
        <v>3486</v>
      </c>
      <c r="B3547" s="1832"/>
      <c r="D3547" s="2" t="str">
        <f t="shared" si="54"/>
        <v>OK</v>
      </c>
    </row>
    <row r="3548" spans="1:4" x14ac:dyDescent="0.2">
      <c r="A3548" s="5">
        <v>3487</v>
      </c>
      <c r="B3548" s="1832">
        <f>'Assets-Liab 5-6'!K6</f>
        <v>235087</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544646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188320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188320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356326</v>
      </c>
      <c r="D3567" s="2" t="str">
        <f t="shared" si="54"/>
        <v>Error?</v>
      </c>
    </row>
    <row r="3568" spans="1:4" x14ac:dyDescent="0.2">
      <c r="A3568" s="5">
        <v>3507</v>
      </c>
      <c r="B3568" s="1832">
        <f>'Assets-Liab 5-6'!K41</f>
        <v>544646</v>
      </c>
      <c r="C3568" s="2" t="s">
        <v>569</v>
      </c>
      <c r="D3568" s="2" t="str">
        <f t="shared" si="54"/>
        <v>Error?</v>
      </c>
    </row>
    <row r="3569" spans="1:4" x14ac:dyDescent="0.2">
      <c r="A3569" s="5">
        <v>3508</v>
      </c>
      <c r="B3569" s="1832">
        <f>'Acct Summary 7-8'!K4</f>
        <v>337293</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337293</v>
      </c>
      <c r="C3571" s="2" t="s">
        <v>569</v>
      </c>
      <c r="D3571" s="2" t="str">
        <f t="shared" si="54"/>
        <v>Error?</v>
      </c>
    </row>
    <row r="3572" spans="1:4" x14ac:dyDescent="0.2">
      <c r="A3572" s="5">
        <v>3511</v>
      </c>
      <c r="B3572" s="1832">
        <f>'Acct Summary 7-8'!K13</f>
        <v>366222</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366222</v>
      </c>
      <c r="C3575" s="2" t="s">
        <v>569</v>
      </c>
      <c r="D3575" s="2" t="str">
        <f t="shared" si="54"/>
        <v>Error?</v>
      </c>
    </row>
    <row r="3576" spans="1:4" x14ac:dyDescent="0.2">
      <c r="A3576" s="5">
        <v>3515</v>
      </c>
      <c r="B3576" s="1832">
        <f>'Acct Summary 7-8'!K20</f>
        <v>-28929</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41286</v>
      </c>
      <c r="C3586" s="2" t="s">
        <v>569</v>
      </c>
      <c r="D3586" s="2" t="str">
        <f t="shared" si="55"/>
        <v>Error?</v>
      </c>
    </row>
    <row r="3587" spans="1:4" x14ac:dyDescent="0.2">
      <c r="A3587" s="5">
        <v>3526</v>
      </c>
      <c r="B3587" s="1832">
        <f>'Acct Summary 7-8'!K77</f>
        <v>-41286</v>
      </c>
      <c r="C3587" s="2" t="s">
        <v>569</v>
      </c>
      <c r="D3587" s="2" t="str">
        <f t="shared" si="55"/>
        <v>Error?</v>
      </c>
    </row>
    <row r="3588" spans="1:4" x14ac:dyDescent="0.2">
      <c r="A3588" s="5">
        <v>3527</v>
      </c>
      <c r="B3588" s="1832">
        <f>'Acct Summary 7-8'!K78</f>
        <v>-70215</v>
      </c>
      <c r="C3588" s="2" t="s">
        <v>569</v>
      </c>
      <c r="D3588" s="2" t="str">
        <f t="shared" si="55"/>
        <v>Error?</v>
      </c>
    </row>
    <row r="3589" spans="1:4" x14ac:dyDescent="0.2">
      <c r="A3589" s="5">
        <v>3528</v>
      </c>
      <c r="B3589" s="1832">
        <f>'Acct Summary 7-8'!K79</f>
        <v>426541</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356326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366222</v>
      </c>
      <c r="D3646" s="2" t="str">
        <f t="shared" si="55"/>
        <v>Error?</v>
      </c>
    </row>
    <row r="3647" spans="1:4" x14ac:dyDescent="0.2">
      <c r="A3647" s="5">
        <v>3586</v>
      </c>
      <c r="B3647" s="1832">
        <f>'Expenditures 15-22'!G350</f>
        <v>366222</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366222</v>
      </c>
      <c r="C3649" s="2" t="s">
        <v>569</v>
      </c>
      <c r="D3649" s="2" t="str">
        <f t="shared" si="56"/>
        <v>Error?</v>
      </c>
    </row>
    <row r="3650" spans="1:4" x14ac:dyDescent="0.2">
      <c r="A3650" s="5">
        <v>3589</v>
      </c>
      <c r="B3650" s="1832">
        <f>'Expenditures 15-22'!G367</f>
        <v>366222</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366222</v>
      </c>
      <c r="C3669" s="2" t="s">
        <v>569</v>
      </c>
      <c r="D3669" s="2" t="str">
        <f t="shared" si="56"/>
        <v>Error?</v>
      </c>
    </row>
    <row r="3670" spans="1:4" x14ac:dyDescent="0.2">
      <c r="A3670" s="5">
        <v>3609</v>
      </c>
      <c r="B3670" s="1832">
        <f>'Expenditures 15-22'!K350</f>
        <v>366222</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366222</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366222</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-28929</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41286</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41286</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6288</v>
      </c>
      <c r="D4081" s="2" t="str">
        <f t="shared" si="62"/>
        <v>Error?</v>
      </c>
    </row>
    <row r="4082" spans="1:4" x14ac:dyDescent="0.2">
      <c r="A4082" s="5">
        <v>4021</v>
      </c>
      <c r="B4082" s="1832">
        <f>'Expenditures 15-22'!D180</f>
        <v>1723</v>
      </c>
      <c r="D4082" s="2" t="str">
        <f t="shared" si="62"/>
        <v>Error?</v>
      </c>
    </row>
    <row r="4083" spans="1:4" x14ac:dyDescent="0.2">
      <c r="A4083" s="5">
        <v>4022</v>
      </c>
      <c r="B4083" s="1832">
        <f>'Expenditures 15-22'!E180</f>
        <v>2307382</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2315393</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23468134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75309722</v>
      </c>
      <c r="C4122" s="2" t="s">
        <v>569</v>
      </c>
      <c r="D4122" s="2" t="str">
        <f t="shared" si="63"/>
        <v>Error?</v>
      </c>
    </row>
    <row r="4123" spans="1:4" x14ac:dyDescent="0.2">
      <c r="A4123" s="5">
        <v>4062</v>
      </c>
      <c r="B4123" s="1832">
        <f>'Acct Summary 7-8'!D10</f>
        <v>3851688</v>
      </c>
      <c r="C4123" s="2" t="s">
        <v>569</v>
      </c>
      <c r="D4123" s="2" t="str">
        <f t="shared" si="63"/>
        <v>Error?</v>
      </c>
    </row>
    <row r="4124" spans="1:4" x14ac:dyDescent="0.2">
      <c r="A4124" s="5">
        <v>4063</v>
      </c>
      <c r="B4124" s="1832">
        <f>'Acct Summary 7-8'!E10</f>
        <v>2370928</v>
      </c>
      <c r="C4124" s="2" t="s">
        <v>569</v>
      </c>
      <c r="D4124" s="2" t="str">
        <f t="shared" si="63"/>
        <v>Error?</v>
      </c>
    </row>
    <row r="4125" spans="1:4" x14ac:dyDescent="0.2">
      <c r="A4125" s="5">
        <v>4064</v>
      </c>
      <c r="B4125" s="1832">
        <f>'Acct Summary 7-8'!F10</f>
        <v>2486485</v>
      </c>
      <c r="C4125" s="2" t="s">
        <v>569</v>
      </c>
      <c r="D4125" s="2" t="str">
        <f t="shared" si="63"/>
        <v>Error?</v>
      </c>
    </row>
    <row r="4126" spans="1:4" x14ac:dyDescent="0.2">
      <c r="A4126" s="5">
        <v>4065</v>
      </c>
      <c r="B4126" s="1832">
        <f>'Acct Summary 7-8'!G10</f>
        <v>1442333</v>
      </c>
      <c r="C4126" s="2" t="s">
        <v>569</v>
      </c>
      <c r="D4126" s="2" t="str">
        <f t="shared" si="63"/>
        <v>Error?</v>
      </c>
    </row>
    <row r="4127" spans="1:4" x14ac:dyDescent="0.2">
      <c r="A4127" s="5">
        <v>4066</v>
      </c>
      <c r="B4127" s="1832">
        <f>'Acct Summary 7-8'!H10</f>
        <v>3519775</v>
      </c>
      <c r="C4127" s="2" t="s">
        <v>569</v>
      </c>
      <c r="D4127" s="2" t="str">
        <f t="shared" si="63"/>
        <v>Error?</v>
      </c>
    </row>
    <row r="4128" spans="1:4" x14ac:dyDescent="0.2">
      <c r="A4128" s="5">
        <v>4067</v>
      </c>
      <c r="B4128" s="1832">
        <f>'Acct Summary 7-8'!I10</f>
        <v>1484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337293</v>
      </c>
      <c r="C4130" s="2" t="s">
        <v>569</v>
      </c>
      <c r="D4130" s="2" t="str">
        <f t="shared" si="63"/>
        <v>Error?</v>
      </c>
    </row>
    <row r="4131" spans="1:4" x14ac:dyDescent="0.2">
      <c r="A4131" s="5">
        <v>4070</v>
      </c>
      <c r="B4131" s="1832">
        <f>'Acct Summary 7-8'!C18</f>
        <v>23468134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79629312</v>
      </c>
      <c r="C4136" s="2" t="s">
        <v>569</v>
      </c>
      <c r="D4136" s="2" t="str">
        <f t="shared" si="63"/>
        <v>Error?</v>
      </c>
    </row>
    <row r="4137" spans="1:4" x14ac:dyDescent="0.2">
      <c r="A4137" s="5">
        <v>4076</v>
      </c>
      <c r="B4137" s="1832">
        <f>'Acct Summary 7-8'!D19</f>
        <v>3611076</v>
      </c>
      <c r="C4137" s="2" t="s">
        <v>569</v>
      </c>
      <c r="D4137" s="2" t="str">
        <f t="shared" si="63"/>
        <v>Error?</v>
      </c>
    </row>
    <row r="4138" spans="1:4" x14ac:dyDescent="0.2">
      <c r="A4138" s="5">
        <v>4077</v>
      </c>
      <c r="B4138" s="1832">
        <f>'Acct Summary 7-8'!E19</f>
        <v>4804667</v>
      </c>
      <c r="C4138" s="2" t="s">
        <v>569</v>
      </c>
      <c r="D4138" s="2" t="str">
        <f t="shared" si="63"/>
        <v>Error?</v>
      </c>
    </row>
    <row r="4139" spans="1:4" x14ac:dyDescent="0.2">
      <c r="A4139" s="5">
        <v>4078</v>
      </c>
      <c r="B4139" s="1832">
        <f>'Acct Summary 7-8'!F19</f>
        <v>2315393</v>
      </c>
      <c r="C4139" s="2" t="s">
        <v>569</v>
      </c>
      <c r="D4139" s="2" t="str">
        <f t="shared" si="63"/>
        <v>Error?</v>
      </c>
    </row>
    <row r="4140" spans="1:4" x14ac:dyDescent="0.2">
      <c r="A4140" s="5">
        <v>4079</v>
      </c>
      <c r="B4140" s="1832">
        <f>'Acct Summary 7-8'!G19</f>
        <v>1558291</v>
      </c>
      <c r="C4140" s="2" t="s">
        <v>569</v>
      </c>
      <c r="D4140" s="2" t="str">
        <f t="shared" si="63"/>
        <v>Error?</v>
      </c>
    </row>
    <row r="4141" spans="1:4" x14ac:dyDescent="0.2">
      <c r="A4141" s="5">
        <v>4080</v>
      </c>
      <c r="B4141" s="1832">
        <f>'Acct Summary 7-8'!H19</f>
        <v>1077566</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366222</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32019000</v>
      </c>
      <c r="C4171" s="2" t="s">
        <v>569</v>
      </c>
      <c r="D4171" s="2" t="str">
        <f t="shared" si="64"/>
        <v>Error?</v>
      </c>
    </row>
    <row r="4172" spans="1:4" x14ac:dyDescent="0.2">
      <c r="A4172" s="5">
        <v>4111</v>
      </c>
      <c r="B4172" s="1832">
        <f>'Short-Term Long-Term Debt 24'!J49</f>
        <v>31726567</v>
      </c>
      <c r="C4172" s="2" t="s">
        <v>569</v>
      </c>
      <c r="D4172" s="2" t="str">
        <f t="shared" si="64"/>
        <v>Error?</v>
      </c>
    </row>
    <row r="4173" spans="1:4" x14ac:dyDescent="0.2">
      <c r="A4173" s="5">
        <v>4112</v>
      </c>
      <c r="B4173" s="1832">
        <f>'Short-Term Long-Term Debt 24'!H49</f>
        <v>3807000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3980.6</v>
      </c>
      <c r="C4265" s="2" t="s">
        <v>569</v>
      </c>
      <c r="D4265" s="2" t="str">
        <f t="shared" si="65"/>
        <v>Error?</v>
      </c>
      <c r="E4265" s="125"/>
    </row>
    <row r="4266" spans="1:5" x14ac:dyDescent="0.2">
      <c r="A4266" s="12">
        <v>4205</v>
      </c>
      <c r="B4266" s="1832">
        <f>('FP Info 3'!F10)*100000</f>
        <v>648</v>
      </c>
      <c r="C4266" s="2" t="s">
        <v>569</v>
      </c>
      <c r="D4266" s="2" t="str">
        <f t="shared" si="65"/>
        <v>Error?</v>
      </c>
      <c r="E4266" s="125"/>
    </row>
    <row r="4267" spans="1:5" x14ac:dyDescent="0.2">
      <c r="A4267" s="12">
        <v>4206</v>
      </c>
      <c r="B4267" s="1832">
        <f>('FP Info 3'!H10)*100000</f>
        <v>194.4</v>
      </c>
      <c r="C4267" s="2" t="s">
        <v>569</v>
      </c>
      <c r="D4267" s="2" t="str">
        <f t="shared" si="65"/>
        <v>Error?</v>
      </c>
      <c r="E4267" s="125"/>
    </row>
    <row r="4268" spans="1:5" x14ac:dyDescent="0.2">
      <c r="A4268" s="12">
        <v>4207</v>
      </c>
      <c r="B4268" s="1832">
        <f>('FP Info 3'!J10)*100000</f>
        <v>4823</v>
      </c>
      <c r="C4268" s="2" t="s">
        <v>569</v>
      </c>
      <c r="D4268" s="2" t="str">
        <f t="shared" si="65"/>
        <v>Error?</v>
      </c>
    </row>
    <row r="4269" spans="1:5" x14ac:dyDescent="0.2">
      <c r="A4269" s="12">
        <v>4208</v>
      </c>
      <c r="B4269" s="1832">
        <f>'FP Info 3'!J16</f>
        <v>11094311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3283</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124945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18020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114850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460176</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36848</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480304</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36848</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95222</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166226</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9.9999999999999992E-2</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325999</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3260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418930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692560069</v>
      </c>
      <c r="D4995" s="2" t="str">
        <f t="shared" si="77"/>
        <v>Error?</v>
      </c>
    </row>
    <row r="4996" spans="1:4" x14ac:dyDescent="0.2">
      <c r="A4996" s="12">
        <v>4935</v>
      </c>
      <c r="B4996" s="1832">
        <f>'FP Info 3'!H31</f>
        <v>95573289.522000015</v>
      </c>
      <c r="D4996" s="2" t="str">
        <f t="shared" si="77"/>
        <v>Error?</v>
      </c>
    </row>
    <row r="4997" spans="1:4" x14ac:dyDescent="0.2">
      <c r="A4997" s="12">
        <v>4936</v>
      </c>
      <c r="B4997" s="1832">
        <f>'FP Info 3'!H37</f>
        <v>32019000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23733562</v>
      </c>
      <c r="D5061" s="2" t="str">
        <f t="shared" si="78"/>
        <v>Error?</v>
      </c>
    </row>
    <row r="5062" spans="1:4" x14ac:dyDescent="0.2">
      <c r="A5062" s="10">
        <v>5001</v>
      </c>
      <c r="B5062" s="1832"/>
      <c r="D5062" s="2" t="str">
        <f t="shared" si="78"/>
        <v>OK</v>
      </c>
    </row>
    <row r="5063" spans="1:4" x14ac:dyDescent="0.2">
      <c r="A5063" s="5">
        <v>5002</v>
      </c>
      <c r="B5063" s="1832">
        <f>'Revenues 9-14'!C7</f>
        <v>736794</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24470356</v>
      </c>
      <c r="C5066" s="2" t="s">
        <v>569</v>
      </c>
      <c r="D5066" s="2" t="str">
        <f t="shared" si="78"/>
        <v>Error?</v>
      </c>
    </row>
    <row r="5067" spans="1:4" x14ac:dyDescent="0.2">
      <c r="A5067" s="5">
        <v>5006</v>
      </c>
      <c r="B5067" s="1832">
        <f>'Revenues 9-14'!C14</f>
        <v>64736</v>
      </c>
      <c r="D5067" s="2" t="str">
        <f t="shared" si="78"/>
        <v>Error?</v>
      </c>
    </row>
    <row r="5068" spans="1:4" x14ac:dyDescent="0.2">
      <c r="A5068" s="5">
        <v>5007</v>
      </c>
      <c r="B5068" s="1832">
        <f>'Revenues 9-14'!C15</f>
        <v>100000</v>
      </c>
      <c r="D5068" s="2" t="str">
        <f t="shared" si="78"/>
        <v>Error?</v>
      </c>
    </row>
    <row r="5069" spans="1:4" x14ac:dyDescent="0.2">
      <c r="A5069" s="5">
        <v>5008</v>
      </c>
      <c r="B5069" s="1832">
        <f>'Revenues 9-14'!C16</f>
        <v>1214769</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1379505</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3667</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10820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374208</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6960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395655</v>
      </c>
      <c r="C5087" s="2" t="s">
        <v>569</v>
      </c>
      <c r="D5087" s="2" t="str">
        <f t="shared" si="78"/>
        <v>Error?</v>
      </c>
    </row>
    <row r="5088" spans="1:4" x14ac:dyDescent="0.2">
      <c r="A5088" s="5">
        <v>5027</v>
      </c>
      <c r="B5088" s="1832">
        <f>'Revenues 9-14'!C65</f>
        <v>107369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107369</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30426</v>
      </c>
      <c r="D5092" s="2" t="str">
        <f t="shared" si="78"/>
        <v>Error?</v>
      </c>
    </row>
    <row r="5093" spans="1:4" x14ac:dyDescent="0.2">
      <c r="A5093" s="5">
        <v>5032</v>
      </c>
      <c r="B5093" s="1832">
        <f>'Revenues 9-14'!C72</f>
        <v>2780</v>
      </c>
      <c r="D5093" s="2" t="str">
        <f t="shared" si="78"/>
        <v>Error?</v>
      </c>
    </row>
    <row r="5094" spans="1:4" x14ac:dyDescent="0.2">
      <c r="A5094" s="5">
        <v>5033</v>
      </c>
      <c r="B5094" s="1832">
        <f>'Revenues 9-14'!C73</f>
        <v>8724</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41930</v>
      </c>
      <c r="C5096" s="2" t="s">
        <v>569</v>
      </c>
      <c r="D5096" s="2" t="str">
        <f t="shared" si="78"/>
        <v>Error?</v>
      </c>
    </row>
    <row r="5097" spans="1:4" x14ac:dyDescent="0.2">
      <c r="A5097" s="5">
        <v>5036</v>
      </c>
      <c r="B5097" s="1832">
        <f>'Revenues 9-14'!C77</f>
        <v>36213</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393530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429743</v>
      </c>
      <c r="C5102" s="2" t="s">
        <v>569</v>
      </c>
      <c r="D5102" s="2" t="str">
        <f t="shared" si="78"/>
        <v>Error?</v>
      </c>
    </row>
    <row r="5103" spans="1:4" x14ac:dyDescent="0.2">
      <c r="A5103" s="5">
        <v>5042</v>
      </c>
      <c r="B5103" s="1832">
        <f>'Revenues 9-14'!C84</f>
        <v>122167</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122167</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5194</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3796</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602948</v>
      </c>
      <c r="D5119" s="2" t="str">
        <f t="shared" ref="D5119:D5182" si="79">IF(ISBLANK(B5119),"OK",IF(A5119-B5119=0,"OK","Error?"))</f>
        <v>Error?</v>
      </c>
    </row>
    <row r="5120" spans="1:4" x14ac:dyDescent="0.2">
      <c r="A5120" s="5">
        <v>5059</v>
      </c>
      <c r="B5120" s="1832">
        <f>'Revenues 9-14'!C108</f>
        <v>621313</v>
      </c>
      <c r="C5120" s="2" t="s">
        <v>569</v>
      </c>
      <c r="D5120" s="2" t="str">
        <f t="shared" si="79"/>
        <v>Error?</v>
      </c>
    </row>
    <row r="5121" spans="1:4" x14ac:dyDescent="0.2">
      <c r="A5121" s="5">
        <v>5060</v>
      </c>
      <c r="B5121" s="1832">
        <f>'Revenues 9-14'!C109</f>
        <v>27568038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11130776</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11130776</v>
      </c>
      <c r="C5132" s="2" t="s">
        <v>569</v>
      </c>
      <c r="D5132" s="2" t="str">
        <f t="shared" si="79"/>
        <v>Error?</v>
      </c>
    </row>
    <row r="5133" spans="1:4" x14ac:dyDescent="0.2">
      <c r="A5133" s="5">
        <v>5072</v>
      </c>
      <c r="B5133" s="1832">
        <f>'Revenues 9-14'!C125</f>
        <v>450574</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2361602</v>
      </c>
      <c r="D5137" s="2" t="str">
        <f t="shared" si="79"/>
        <v>Error?</v>
      </c>
    </row>
    <row r="5138" spans="1:4" x14ac:dyDescent="0.2">
      <c r="A5138" s="10">
        <v>5077</v>
      </c>
      <c r="B5138" s="1832"/>
      <c r="D5138" s="2" t="str">
        <f t="shared" si="79"/>
        <v>OK</v>
      </c>
    </row>
    <row r="5139" spans="1:4" x14ac:dyDescent="0.2">
      <c r="A5139" s="5">
        <v>5078</v>
      </c>
      <c r="B5139" s="1832">
        <f>'Revenues 9-14'!C129</f>
        <v>117956</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2930132</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31066</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31066</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39165</v>
      </c>
      <c r="D5167" s="2" t="str">
        <f t="shared" si="79"/>
        <v>Error?</v>
      </c>
    </row>
    <row r="5168" spans="1:4" x14ac:dyDescent="0.2">
      <c r="A5168" s="5">
        <v>5107</v>
      </c>
      <c r="B5168" s="1832">
        <f>'Revenues 9-14'!C148</f>
        <v>40480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355161</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159489</v>
      </c>
      <c r="D5194" s="2" t="str">
        <f t="shared" si="80"/>
        <v>Error?</v>
      </c>
    </row>
    <row r="5195" spans="1:5" x14ac:dyDescent="0.2">
      <c r="A5195" s="10">
        <v>5134</v>
      </c>
      <c r="B5195" s="1832"/>
      <c r="D5195" s="2" t="str">
        <f t="shared" si="80"/>
        <v>OK</v>
      </c>
    </row>
    <row r="5196" spans="1:5" x14ac:dyDescent="0.2">
      <c r="A5196" s="5">
        <v>5135</v>
      </c>
      <c r="B5196" s="1832">
        <f>'Revenues 9-14'!C159</f>
        <v>1986396</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5867888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16998664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1274625</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565368</v>
      </c>
      <c r="D5241" s="2" t="str">
        <f t="shared" si="80"/>
        <v>Error?</v>
      </c>
    </row>
    <row r="5242" spans="1:4" x14ac:dyDescent="0.2">
      <c r="A5242" s="5">
        <v>5181</v>
      </c>
      <c r="B5242" s="1832">
        <f>'Revenues 9-14'!C194</f>
        <v>422194</v>
      </c>
      <c r="D5242" s="2" t="str">
        <f t="shared" si="80"/>
        <v>Error?</v>
      </c>
    </row>
    <row r="5243" spans="1:4" x14ac:dyDescent="0.2">
      <c r="A5243" s="5">
        <v>5182</v>
      </c>
      <c r="B5243" s="1832">
        <f>'Revenues 9-14'!C195</f>
        <v>97543</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2359730</v>
      </c>
      <c r="C5246" s="2" t="s">
        <v>569</v>
      </c>
      <c r="D5246" s="2" t="str">
        <f t="shared" si="80"/>
        <v>Error?</v>
      </c>
    </row>
    <row r="5247" spans="1:4" x14ac:dyDescent="0.2">
      <c r="A5247" s="5">
        <v>5186</v>
      </c>
      <c r="B5247" s="1832">
        <f>'Revenues 9-14'!C200</f>
        <v>1688332</v>
      </c>
      <c r="D5247" s="2" t="str">
        <f t="shared" ref="D5247:D5310" si="81">IF(ISBLANK(B5247),"OK",IF(A5247-B5247=0,"OK","Error?"))</f>
        <v>Error?</v>
      </c>
    </row>
    <row r="5248" spans="1:4" x14ac:dyDescent="0.2">
      <c r="A5248" s="5">
        <v>5187</v>
      </c>
      <c r="B5248" s="1832">
        <f>'Revenues 9-14'!C201</f>
        <v>66099</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48944</v>
      </c>
      <c r="D5255" s="2" t="str">
        <f t="shared" si="81"/>
        <v>Error?</v>
      </c>
    </row>
    <row r="5256" spans="1:5" x14ac:dyDescent="0.2">
      <c r="A5256" s="5">
        <v>5195</v>
      </c>
      <c r="B5256" s="1832">
        <f>'Revenues 9-14'!C206</f>
        <v>20128</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1803375</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70863</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1202390</v>
      </c>
      <c r="D5278" s="2" t="str">
        <f t="shared" si="81"/>
        <v>Error?</v>
      </c>
    </row>
    <row r="5279" spans="1:4" x14ac:dyDescent="0.2">
      <c r="A5279" s="5">
        <v>5218</v>
      </c>
      <c r="B5279" s="1832">
        <f>'Revenues 9-14'!C214</f>
        <v>285664</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1558917</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145660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6727</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7274886</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7274886</v>
      </c>
      <c r="C5326" s="2" t="s">
        <v>569</v>
      </c>
      <c r="D5326" s="2" t="str">
        <f t="shared" si="82"/>
        <v>Error?</v>
      </c>
    </row>
    <row r="5327" spans="1:5" x14ac:dyDescent="0.2">
      <c r="A5327" s="5">
        <v>5266</v>
      </c>
      <c r="B5327" s="1832">
        <f>'Revenues 9-14'!C268</f>
        <v>51841588</v>
      </c>
      <c r="C5327" s="2" t="s">
        <v>569</v>
      </c>
      <c r="D5327" s="2" t="str">
        <f t="shared" si="82"/>
        <v>Error?</v>
      </c>
    </row>
    <row r="5328" spans="1:5" x14ac:dyDescent="0.2">
      <c r="A5328" s="5">
        <v>5267</v>
      </c>
      <c r="B5328" s="1832">
        <f>'Revenues 9-14'!D5</f>
        <v>3787585</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3787585</v>
      </c>
      <c r="C5334" s="2" t="s">
        <v>569</v>
      </c>
      <c r="D5334" s="2" t="str">
        <f t="shared" si="82"/>
        <v>Error?</v>
      </c>
    </row>
    <row r="5335" spans="1:4" x14ac:dyDescent="0.2">
      <c r="A5335" s="5">
        <v>5274</v>
      </c>
      <c r="B5335" s="1832">
        <f>'Revenues 9-14'!D14</f>
        <v>9021</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9021</v>
      </c>
      <c r="C5339" s="2" t="s">
        <v>569</v>
      </c>
      <c r="D5339" s="2" t="str">
        <f t="shared" si="82"/>
        <v>Error?</v>
      </c>
    </row>
    <row r="5340" spans="1:4" x14ac:dyDescent="0.2">
      <c r="A5340" s="5">
        <v>5279</v>
      </c>
      <c r="B5340" s="1832">
        <f>'Revenues 9-14'!D65</f>
        <v>19350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19350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30370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5362</v>
      </c>
      <c r="D5354" s="2" t="str">
        <f t="shared" si="82"/>
        <v>Error?</v>
      </c>
    </row>
    <row r="5355" spans="1:4" x14ac:dyDescent="0.2">
      <c r="A5355" s="5">
        <v>5294</v>
      </c>
      <c r="B5355" s="1832">
        <f>'Revenues 9-14'!D108</f>
        <v>35732</v>
      </c>
      <c r="C5355" s="2" t="s">
        <v>569</v>
      </c>
      <c r="D5355" s="2" t="str">
        <f t="shared" si="82"/>
        <v>Error?</v>
      </c>
    </row>
    <row r="5356" spans="1:4" x14ac:dyDescent="0.2">
      <c r="A5356" s="5">
        <v>5295</v>
      </c>
      <c r="B5356" s="1832">
        <f>'Revenues 9-14'!D109</f>
        <v>3851688</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3851688</v>
      </c>
      <c r="C5508" s="2" t="s">
        <v>569</v>
      </c>
      <c r="D5508" s="2" t="str">
        <f t="shared" si="85"/>
        <v>Error?</v>
      </c>
    </row>
    <row r="5509" spans="1:4" x14ac:dyDescent="0.2">
      <c r="A5509" s="5">
        <v>5448</v>
      </c>
      <c r="B5509" s="1832">
        <f>'Revenues 9-14'!E5</f>
        <v>2349440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2349440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11044</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11044</v>
      </c>
      <c r="C5518" s="2" t="s">
        <v>569</v>
      </c>
      <c r="D5518" s="2" t="str">
        <f t="shared" si="85"/>
        <v>Error?</v>
      </c>
    </row>
    <row r="5519" spans="1:4" x14ac:dyDescent="0.2">
      <c r="A5519" s="5">
        <v>5458</v>
      </c>
      <c r="B5519" s="1832">
        <f>'Revenues 9-14'!E65</f>
        <v>10444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10444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2370928</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2370928</v>
      </c>
      <c r="C5552" s="2" t="s">
        <v>569</v>
      </c>
      <c r="D5552" s="2" t="str">
        <f t="shared" si="85"/>
        <v>Error?</v>
      </c>
    </row>
    <row r="5553" spans="1:4" x14ac:dyDescent="0.2">
      <c r="A5553" s="5">
        <v>5492</v>
      </c>
      <c r="B5553" s="1832">
        <f>'Revenues 9-14'!F5</f>
        <v>1309165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1309165</v>
      </c>
      <c r="C5557" s="2" t="s">
        <v>569</v>
      </c>
      <c r="D5557" s="2" t="str">
        <f t="shared" si="85"/>
        <v>Error?</v>
      </c>
    </row>
    <row r="5558" spans="1:4" x14ac:dyDescent="0.2">
      <c r="A5558" s="5">
        <v>5497</v>
      </c>
      <c r="B5558" s="1832">
        <f>'Revenues 9-14'!F14</f>
        <v>2810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2810</v>
      </c>
      <c r="C5562" s="2" t="s">
        <v>569</v>
      </c>
      <c r="D5562" s="2" t="str">
        <f t="shared" si="85"/>
        <v>Error?</v>
      </c>
    </row>
    <row r="5563" spans="1:4" x14ac:dyDescent="0.2">
      <c r="A5563" s="5">
        <v>5502</v>
      </c>
      <c r="B5563" s="1832">
        <f>'Revenues 9-14'!F42</f>
        <v>15782</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15782</v>
      </c>
      <c r="C5579" s="2" t="s">
        <v>569</v>
      </c>
      <c r="D5579" s="2" t="str">
        <f t="shared" si="86"/>
        <v>Error?</v>
      </c>
    </row>
    <row r="5580" spans="1:4" x14ac:dyDescent="0.2">
      <c r="A5580" s="5">
        <v>5519</v>
      </c>
      <c r="B5580" s="1832">
        <f>'Revenues 9-14'!F65</f>
        <v>8209</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8209</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1335966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74547</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74547</v>
      </c>
      <c r="C5614" s="2" t="s">
        <v>569</v>
      </c>
      <c r="D5614" s="2" t="str">
        <f t="shared" si="86"/>
        <v>Error?</v>
      </c>
    </row>
    <row r="5615" spans="1:4" x14ac:dyDescent="0.2">
      <c r="A5615" s="5">
        <v>5554</v>
      </c>
      <c r="B5615" s="1832">
        <f>'Revenues 9-14'!F152</f>
        <v>538482</v>
      </c>
      <c r="D5615" s="2" t="str">
        <f t="shared" si="86"/>
        <v>Error?</v>
      </c>
    </row>
    <row r="5616" spans="1:4" x14ac:dyDescent="0.2">
      <c r="A5616" s="10">
        <v>5555</v>
      </c>
      <c r="B5616" s="1832"/>
      <c r="D5616" s="2" t="str">
        <f t="shared" si="86"/>
        <v>OK</v>
      </c>
    </row>
    <row r="5617" spans="1:5" x14ac:dyDescent="0.2">
      <c r="A5617" s="5">
        <v>5556</v>
      </c>
      <c r="B5617" s="1832">
        <f>'Revenues 9-14'!F153</f>
        <v>432014</v>
      </c>
      <c r="D5617" s="2" t="str">
        <f t="shared" si="86"/>
        <v>Error?</v>
      </c>
    </row>
    <row r="5618" spans="1:5" x14ac:dyDescent="0.2">
      <c r="A5618" s="5">
        <v>5557</v>
      </c>
      <c r="B5618" s="1832">
        <f>'Revenues 9-14'!F155</f>
        <v>970496</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44065</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1092368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1092368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3283</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58151</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58151</v>
      </c>
      <c r="C5719" s="2" t="s">
        <v>569</v>
      </c>
      <c r="D5719" s="2" t="str">
        <f t="shared" si="88"/>
        <v>Error?</v>
      </c>
    </row>
    <row r="5720" spans="1:4" x14ac:dyDescent="0.2">
      <c r="A5720" s="5">
        <v>5659</v>
      </c>
      <c r="B5720" s="1832">
        <f>'Revenues 9-14'!F268</f>
        <v>2486485</v>
      </c>
      <c r="C5720" s="2" t="s">
        <v>569</v>
      </c>
      <c r="D5720" s="2" t="str">
        <f t="shared" si="88"/>
        <v>Error?</v>
      </c>
    </row>
    <row r="5721" spans="1:4" x14ac:dyDescent="0.2">
      <c r="A5721" s="5">
        <v>5660</v>
      </c>
      <c r="B5721" s="1832">
        <f>'Revenues 9-14'!G5</f>
        <v>1431554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1431554</v>
      </c>
      <c r="C5725" s="2" t="s">
        <v>569</v>
      </c>
      <c r="D5725" s="2" t="str">
        <f t="shared" si="88"/>
        <v>Error?</v>
      </c>
    </row>
    <row r="5726" spans="1:4" x14ac:dyDescent="0.2">
      <c r="A5726" s="5">
        <v>5665</v>
      </c>
      <c r="B5726" s="1832">
        <f>'Revenues 9-14'!G14</f>
        <v>3503</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3503</v>
      </c>
      <c r="C5730" s="2" t="s">
        <v>569</v>
      </c>
      <c r="D5730" s="2" t="str">
        <f t="shared" si="88"/>
        <v>Error?</v>
      </c>
    </row>
    <row r="5731" spans="1:4" x14ac:dyDescent="0.2">
      <c r="A5731" s="5">
        <v>5670</v>
      </c>
      <c r="B5731" s="1832">
        <f>'Revenues 9-14'!G65</f>
        <v>7276</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7276</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1442333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45300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45300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4741</v>
      </c>
      <c r="D5885" s="2" t="str">
        <f t="shared" si="90"/>
        <v>Error?</v>
      </c>
    </row>
    <row r="5886" spans="1:4" x14ac:dyDescent="0.2">
      <c r="A5886" s="5">
        <v>5825</v>
      </c>
      <c r="B5886" s="1832">
        <f>'Revenues 9-14'!H108</f>
        <v>3424475</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3519775</v>
      </c>
      <c r="C5915" s="2" t="s">
        <v>569</v>
      </c>
      <c r="D5915" s="2" t="str">
        <f t="shared" si="91"/>
        <v>Error?</v>
      </c>
    </row>
    <row r="5916" spans="1:4" x14ac:dyDescent="0.2">
      <c r="A5916" s="5">
        <v>5855</v>
      </c>
      <c r="B5916" s="1832">
        <f>'Revenues 9-14'!I5</f>
        <v>895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895</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589</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589</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1484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332381</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332381</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4912</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4912</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337293</v>
      </c>
      <c r="C6023" s="2" t="s">
        <v>569</v>
      </c>
      <c r="D6023" s="2" t="str">
        <f t="shared" si="93"/>
        <v>Error?</v>
      </c>
    </row>
    <row r="6024" spans="1:5" x14ac:dyDescent="0.2">
      <c r="A6024" s="5">
        <v>5963</v>
      </c>
      <c r="B6024" s="1832">
        <f>'Revenues 9-14'!G109</f>
        <v>1442333</v>
      </c>
      <c r="C6024" s="2" t="s">
        <v>569</v>
      </c>
      <c r="D6024" s="2" t="str">
        <f t="shared" si="93"/>
        <v>Error?</v>
      </c>
    </row>
    <row r="6025" spans="1:5" x14ac:dyDescent="0.2">
      <c r="A6025" s="5">
        <v>5964</v>
      </c>
      <c r="B6025" s="1832">
        <f>'Revenues 9-14'!H109</f>
        <v>3469775</v>
      </c>
      <c r="C6025" s="2" t="s">
        <v>569</v>
      </c>
      <c r="D6025" s="2" t="str">
        <f t="shared" si="93"/>
        <v>Error?</v>
      </c>
    </row>
    <row r="6026" spans="1:5" x14ac:dyDescent="0.2">
      <c r="A6026" s="5">
        <v>5965</v>
      </c>
      <c r="B6026" s="1832">
        <f>'Revenues 9-14'!I109</f>
        <v>1484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337293</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125439</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3387.4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5515000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3321625</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242390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127779</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275631</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264</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530146</v>
      </c>
      <c r="D6124" s="2" t="str">
        <f t="shared" si="94"/>
        <v>Error?</v>
      </c>
      <c r="E6124" s="2" t="s">
        <v>189</v>
      </c>
    </row>
    <row r="6125" spans="1:5" x14ac:dyDescent="0.2">
      <c r="A6125">
        <v>6064</v>
      </c>
      <c r="B6125" s="1832">
        <f>'Assets-Liab 5-6'!C25</f>
        <v>240000</v>
      </c>
      <c r="D6125" s="2" t="str">
        <f t="shared" si="94"/>
        <v>Error?</v>
      </c>
      <c r="E6125" s="2" t="s">
        <v>189</v>
      </c>
    </row>
    <row r="6126" spans="1:5" x14ac:dyDescent="0.2">
      <c r="A6126">
        <v>6065</v>
      </c>
      <c r="B6126" s="1832">
        <f>'Assets-Liab 5-6'!D25</f>
        <v>3600000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850000</v>
      </c>
      <c r="D6128" s="2" t="str">
        <f t="shared" si="94"/>
        <v>Error?</v>
      </c>
      <c r="E6128" s="2" t="s">
        <v>189</v>
      </c>
    </row>
    <row r="6129" spans="1:5" x14ac:dyDescent="0.2">
      <c r="A6129">
        <v>6068</v>
      </c>
      <c r="B6129" s="1832">
        <f>'Assets-Liab 5-6'!G25</f>
        <v>725000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100000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1066748</v>
      </c>
      <c r="D6142" s="2" t="str">
        <f t="shared" si="94"/>
        <v>Error?</v>
      </c>
      <c r="E6142" s="2" t="s">
        <v>189</v>
      </c>
    </row>
    <row r="6143" spans="1:5" x14ac:dyDescent="0.2">
      <c r="A6143">
        <v>6082</v>
      </c>
      <c r="B6143" s="1832">
        <f>'Assets-Liab 5-6'!D27</f>
        <v>372</v>
      </c>
      <c r="D6143" s="2" t="str">
        <f t="shared" ref="D6143:D6206" si="95">IF(ISBLANK(B6143),"OK",IF(A6143-B6143=0,"OK","Error?"))</f>
        <v>Error?</v>
      </c>
      <c r="E6143" s="2" t="s">
        <v>189</v>
      </c>
    </row>
    <row r="6144" spans="1:5" x14ac:dyDescent="0.2">
      <c r="A6144">
        <v>6083</v>
      </c>
      <c r="B6144" s="1832">
        <f>'Assets-Liab 5-6'!E27</f>
        <v>343778</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198356</v>
      </c>
      <c r="D6146" s="2" t="str">
        <f t="shared" si="95"/>
        <v>Error?</v>
      </c>
      <c r="E6146" s="2" t="s">
        <v>189</v>
      </c>
    </row>
    <row r="6147" spans="1:5" x14ac:dyDescent="0.2">
      <c r="A6147">
        <v>6086</v>
      </c>
      <c r="B6147" s="1832">
        <f>'Assets-Liab 5-6'!H27</f>
        <v>737460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253810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4902018</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424467</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778277</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-248131</v>
      </c>
      <c r="D6215" s="2" t="str">
        <f t="shared" si="96"/>
        <v>Error?</v>
      </c>
      <c r="E6215" s="2" t="s">
        <v>189</v>
      </c>
    </row>
    <row r="6216" spans="1:5" x14ac:dyDescent="0.2">
      <c r="A6216">
        <v>6155</v>
      </c>
      <c r="B6216" s="1832">
        <f>'Assets-Liab 5-6'!J41</f>
        <v>530146</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529882</v>
      </c>
      <c r="D6219" s="2" t="str">
        <f t="shared" si="96"/>
        <v>Error?</v>
      </c>
      <c r="E6219" s="2" t="s">
        <v>189</v>
      </c>
    </row>
    <row r="6220" spans="1:5" x14ac:dyDescent="0.2">
      <c r="A6220">
        <v>6159</v>
      </c>
      <c r="B6220" s="1832">
        <f>'Acct Summary 7-8'!J4</f>
        <v>804779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804779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804779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656261</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656261</v>
      </c>
      <c r="D6229" s="2" t="str">
        <f t="shared" si="96"/>
        <v>Error?</v>
      </c>
      <c r="E6229" s="2" t="s">
        <v>189</v>
      </c>
    </row>
    <row r="6230" spans="1:5" x14ac:dyDescent="0.2">
      <c r="A6230">
        <v>6169</v>
      </c>
      <c r="B6230" s="1832">
        <f>'Acct Summary 7-8'!J20</f>
        <v>148518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267345</v>
      </c>
      <c r="D6260" s="2" t="str">
        <f t="shared" si="96"/>
        <v>Error?</v>
      </c>
      <c r="E6260" s="2" t="s">
        <v>189</v>
      </c>
    </row>
    <row r="6261" spans="1:5" x14ac:dyDescent="0.2">
      <c r="A6261">
        <v>6200</v>
      </c>
      <c r="B6261" s="1832">
        <f>'Acct Summary 7-8'!J76</f>
        <v>267345</v>
      </c>
      <c r="D6261" s="2" t="str">
        <f t="shared" si="96"/>
        <v>Error?</v>
      </c>
      <c r="E6261" s="2" t="s">
        <v>189</v>
      </c>
    </row>
    <row r="6262" spans="1:5" x14ac:dyDescent="0.2">
      <c r="A6262">
        <v>6201</v>
      </c>
      <c r="B6262" s="1832">
        <f>'Acct Summary 7-8'!J77</f>
        <v>-267345</v>
      </c>
      <c r="D6262" s="2" t="str">
        <f t="shared" si="96"/>
        <v>Error?</v>
      </c>
      <c r="E6262" s="2" t="s">
        <v>189</v>
      </c>
    </row>
    <row r="6263" spans="1:5" x14ac:dyDescent="0.2">
      <c r="A6263">
        <v>6202</v>
      </c>
      <c r="B6263" s="1832">
        <f>'Acct Summary 7-8'!J78</f>
        <v>-118827</v>
      </c>
      <c r="D6263" s="2" t="str">
        <f t="shared" si="96"/>
        <v>Error?</v>
      </c>
      <c r="E6263" s="2" t="s">
        <v>189</v>
      </c>
    </row>
    <row r="6264" spans="1:5" x14ac:dyDescent="0.2">
      <c r="A6264">
        <v>6203</v>
      </c>
      <c r="B6264" s="1832">
        <f>'Acct Summary 7-8'!J79</f>
        <v>-129304</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-248131</v>
      </c>
      <c r="D6266" s="2" t="str">
        <f t="shared" si="96"/>
        <v>Error?</v>
      </c>
      <c r="E6266" s="2" t="s">
        <v>189</v>
      </c>
    </row>
    <row r="6267" spans="1:5" x14ac:dyDescent="0.2">
      <c r="A6267">
        <v>6206</v>
      </c>
      <c r="B6267" s="1832">
        <f>'Acct Summary 7-8'!C82</f>
        <v>-4290530</v>
      </c>
      <c r="D6267" s="2" t="str">
        <f t="shared" si="96"/>
        <v>Error?</v>
      </c>
      <c r="E6267" s="2" t="s">
        <v>189</v>
      </c>
    </row>
    <row r="6268" spans="1:5" x14ac:dyDescent="0.2">
      <c r="A6268">
        <v>6207</v>
      </c>
      <c r="B6268" s="1832">
        <f>'Acct Summary 7-8'!D82</f>
        <v>549243</v>
      </c>
      <c r="D6268" s="2" t="str">
        <f t="shared" si="96"/>
        <v>Error?</v>
      </c>
      <c r="E6268" s="2" t="s">
        <v>189</v>
      </c>
    </row>
    <row r="6269" spans="1:5" x14ac:dyDescent="0.2">
      <c r="A6269">
        <v>6208</v>
      </c>
      <c r="B6269" s="1832">
        <f>'Acct Summary 7-8'!E82</f>
        <v>-327975</v>
      </c>
      <c r="D6269" s="2" t="str">
        <f t="shared" si="96"/>
        <v>Error?</v>
      </c>
      <c r="E6269" s="2" t="s">
        <v>189</v>
      </c>
    </row>
    <row r="6270" spans="1:5" x14ac:dyDescent="0.2">
      <c r="A6270">
        <v>6209</v>
      </c>
      <c r="B6270" s="1832">
        <f>'Acct Summary 7-8'!F82</f>
        <v>-59027</v>
      </c>
      <c r="D6270" s="2" t="str">
        <f t="shared" si="96"/>
        <v>Error?</v>
      </c>
      <c r="E6270" s="2" t="s">
        <v>189</v>
      </c>
    </row>
    <row r="6271" spans="1:5" x14ac:dyDescent="0.2">
      <c r="A6271">
        <v>6210</v>
      </c>
      <c r="B6271" s="1832">
        <f>'Acct Summary 7-8'!G82</f>
        <v>-115958</v>
      </c>
      <c r="D6271" s="2" t="str">
        <f t="shared" ref="D6271:D6334" si="97">IF(ISBLANK(B6271),"OK",IF(A6271-B6271=0,"OK","Error?"))</f>
        <v>Error?</v>
      </c>
      <c r="E6271" s="2" t="s">
        <v>189</v>
      </c>
    </row>
    <row r="6272" spans="1:5" x14ac:dyDescent="0.2">
      <c r="A6272">
        <v>6211</v>
      </c>
      <c r="B6272" s="1832">
        <f>'Acct Summary 7-8'!H82</f>
        <v>538092</v>
      </c>
      <c r="D6272" s="2" t="str">
        <f t="shared" si="97"/>
        <v>Error?</v>
      </c>
      <c r="E6272" s="2" t="s">
        <v>189</v>
      </c>
    </row>
    <row r="6273" spans="1:5" x14ac:dyDescent="0.2">
      <c r="A6273">
        <v>6212</v>
      </c>
      <c r="B6273" s="1832">
        <f>'Acct Summary 7-8'!I82</f>
        <v>896</v>
      </c>
      <c r="D6273" s="2" t="str">
        <f t="shared" si="97"/>
        <v>Error?</v>
      </c>
      <c r="E6273" s="2" t="s">
        <v>189</v>
      </c>
    </row>
    <row r="6274" spans="1:5" x14ac:dyDescent="0.2">
      <c r="A6274">
        <v>6213</v>
      </c>
      <c r="B6274" s="1832">
        <f>'Acct Summary 7-8'!J82</f>
        <v>-118827</v>
      </c>
      <c r="D6274" s="2" t="str">
        <f t="shared" si="97"/>
        <v>Error?</v>
      </c>
      <c r="E6274" s="2" t="s">
        <v>189</v>
      </c>
    </row>
    <row r="6275" spans="1:5" x14ac:dyDescent="0.2">
      <c r="A6275">
        <v>6214</v>
      </c>
      <c r="B6275" s="1832">
        <f>'Acct Summary 7-8'!K82</f>
        <v>-70215</v>
      </c>
      <c r="D6275" s="2" t="str">
        <f t="shared" si="97"/>
        <v>Error?</v>
      </c>
      <c r="E6275" s="2" t="s">
        <v>189</v>
      </c>
    </row>
    <row r="6276" spans="1:5" x14ac:dyDescent="0.2">
      <c r="A6276">
        <v>6215</v>
      </c>
      <c r="B6276" s="1832">
        <f>'Acct Summary 7-8'!C83</f>
        <v>-0.6856165352197976</v>
      </c>
      <c r="D6276" s="2" t="str">
        <f t="shared" si="97"/>
        <v>Error?</v>
      </c>
      <c r="E6276" s="2" t="s">
        <v>189</v>
      </c>
    </row>
    <row r="6277" spans="1:5" x14ac:dyDescent="0.2">
      <c r="A6277">
        <v>6216</v>
      </c>
      <c r="B6277" s="1832">
        <f>'Acct Summary 7-8'!D83</f>
        <v>-0.25178417202865677</v>
      </c>
      <c r="D6277" s="2" t="str">
        <f t="shared" si="97"/>
        <v>Error?</v>
      </c>
      <c r="E6277" s="2" t="s">
        <v>189</v>
      </c>
    </row>
    <row r="6278" spans="1:5" x14ac:dyDescent="0.2">
      <c r="A6278">
        <v>6217</v>
      </c>
      <c r="B6278" s="1832">
        <f>'Acct Summary 7-8'!E83</f>
        <v>-1.1215389508024061</v>
      </c>
      <c r="D6278" s="2" t="str">
        <f t="shared" si="97"/>
        <v>Error?</v>
      </c>
      <c r="E6278" s="2" t="s">
        <v>189</v>
      </c>
    </row>
    <row r="6279" spans="1:5" x14ac:dyDescent="0.2">
      <c r="A6279">
        <v>6218</v>
      </c>
      <c r="B6279" s="1832">
        <f>'Acct Summary 7-8'!F83</f>
        <v>1.9918674495511912</v>
      </c>
      <c r="D6279" s="2" t="str">
        <f t="shared" si="97"/>
        <v>Error?</v>
      </c>
      <c r="E6279" s="2" t="s">
        <v>189</v>
      </c>
    </row>
    <row r="6280" spans="1:5" x14ac:dyDescent="0.2">
      <c r="A6280">
        <v>6219</v>
      </c>
      <c r="B6280" s="1832">
        <f>'Acct Summary 7-8'!G83</f>
        <v>0.2963767597354135</v>
      </c>
      <c r="D6280" s="2" t="str">
        <f t="shared" si="97"/>
        <v>Error?</v>
      </c>
      <c r="E6280" s="2" t="s">
        <v>189</v>
      </c>
    </row>
    <row r="6281" spans="1:5" x14ac:dyDescent="0.2">
      <c r="A6281">
        <v>6220</v>
      </c>
      <c r="B6281" s="1832">
        <f>'Acct Summary 7-8'!H83</f>
        <v>7.0548310512628082E-2</v>
      </c>
      <c r="D6281" s="2" t="str">
        <f t="shared" si="97"/>
        <v>Error?</v>
      </c>
      <c r="E6281" s="2" t="s">
        <v>189</v>
      </c>
    </row>
    <row r="6282" spans="1:5" x14ac:dyDescent="0.2">
      <c r="A6282">
        <v>6221</v>
      </c>
      <c r="B6282" s="1832">
        <f>'Acct Summary 7-8'!I83</f>
        <v>1.2713847337910507E-4</v>
      </c>
      <c r="D6282" s="2" t="str">
        <f t="shared" si="97"/>
        <v>Error?</v>
      </c>
      <c r="E6282" s="2" t="s">
        <v>189</v>
      </c>
    </row>
    <row r="6283" spans="1:5" x14ac:dyDescent="0.2">
      <c r="A6283">
        <v>6222</v>
      </c>
      <c r="B6283" s="1832">
        <f>'Acct Summary 7-8'!J83</f>
        <v>0.47888816794354594</v>
      </c>
      <c r="D6283" s="2" t="str">
        <f t="shared" si="97"/>
        <v>Error?</v>
      </c>
      <c r="E6283" s="2" t="s">
        <v>189</v>
      </c>
    </row>
    <row r="6284" spans="1:5" x14ac:dyDescent="0.2">
      <c r="A6284">
        <v>6223</v>
      </c>
      <c r="B6284" s="1832">
        <f>'Acct Summary 7-8'!K83</f>
        <v>-0.19705269893299956</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701342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701342</v>
      </c>
      <c r="D6301" s="2" t="str">
        <f t="shared" si="97"/>
        <v>Error?</v>
      </c>
      <c r="E6301" s="2" t="s">
        <v>189</v>
      </c>
    </row>
    <row r="6302" spans="1:5" x14ac:dyDescent="0.2">
      <c r="A6302">
        <v>6241</v>
      </c>
      <c r="B6302" s="1832">
        <f>'Revenues 9-14'!J14</f>
        <v>1770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1770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2047</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2047</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650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8725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99620</v>
      </c>
      <c r="D6350" s="2" t="str">
        <f t="shared" si="98"/>
        <v>Error?</v>
      </c>
      <c r="E6350" s="2" t="s">
        <v>189</v>
      </c>
    </row>
    <row r="6351" spans="1:5" x14ac:dyDescent="0.2">
      <c r="A6351">
        <v>6290</v>
      </c>
      <c r="B6351" s="1832">
        <f>'Revenues 9-14'!J108</f>
        <v>99620</v>
      </c>
      <c r="D6351" s="2" t="str">
        <f t="shared" si="98"/>
        <v>Error?</v>
      </c>
      <c r="E6351" s="2" t="s">
        <v>189</v>
      </c>
    </row>
    <row r="6352" spans="1:5" x14ac:dyDescent="0.2">
      <c r="A6352">
        <v>6291</v>
      </c>
      <c r="B6352" s="1832">
        <f>'Revenues 9-14'!J109</f>
        <v>804779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844095</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1079289</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53212</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7136</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7136</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147892</v>
      </c>
      <c r="D6981" s="2" t="str">
        <f t="shared" si="108"/>
        <v>Error?</v>
      </c>
    </row>
    <row r="6982" spans="1:4" x14ac:dyDescent="0.2">
      <c r="A6982">
        <v>6921</v>
      </c>
      <c r="B6982" s="1832">
        <f>'Expenditures 15-22'!K85</f>
        <v>147892</v>
      </c>
      <c r="D6982" s="2" t="str">
        <f t="shared" si="108"/>
        <v>Error?</v>
      </c>
    </row>
    <row r="6983" spans="1:4" x14ac:dyDescent="0.2">
      <c r="A6983">
        <v>6922</v>
      </c>
      <c r="B6983" s="1832">
        <f>'Expenditures 15-22'!H86</f>
        <v>70462</v>
      </c>
      <c r="D6983" s="2" t="str">
        <f t="shared" si="108"/>
        <v>Error?</v>
      </c>
    </row>
    <row r="6984" spans="1:4" x14ac:dyDescent="0.2">
      <c r="A6984">
        <v>6923</v>
      </c>
      <c r="B6984" s="1832">
        <f>'Expenditures 15-22'!K86</f>
        <v>70462</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218354</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11896</v>
      </c>
      <c r="D7004" s="2" t="str">
        <f t="shared" si="108"/>
        <v>Error?</v>
      </c>
    </row>
    <row r="7005" spans="1:4" x14ac:dyDescent="0.2">
      <c r="A7005">
        <v>6944</v>
      </c>
      <c r="B7005" s="1832">
        <f>'Expenditures 15-22'!K97</f>
        <v>11896</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11896</v>
      </c>
      <c r="D7012" s="2" t="str">
        <f t="shared" si="108"/>
        <v>Error?</v>
      </c>
    </row>
    <row r="7013" spans="1:4" x14ac:dyDescent="0.2">
      <c r="A7013">
        <v>6952</v>
      </c>
      <c r="B7013" s="1832">
        <f>'Expenditures 15-22'!K100</f>
        <v>11896</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656261</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804779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3107</v>
      </c>
      <c r="D7079" s="2" t="str">
        <f t="shared" si="109"/>
        <v>Error?</v>
      </c>
    </row>
    <row r="7080" spans="1:4" x14ac:dyDescent="0.2">
      <c r="A7080">
        <v>7019</v>
      </c>
      <c r="B7080" s="1832">
        <f>'Expenditures 15-22'!K226</f>
        <v>3107</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314990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22896</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337886</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31220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31220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22112</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1580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23692</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263463</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263463</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631785</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24476</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656261</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631785</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24476</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656261</v>
      </c>
      <c r="D7224" s="2" t="str">
        <f t="shared" si="111"/>
        <v>Error?</v>
      </c>
    </row>
    <row r="7225" spans="1:4" x14ac:dyDescent="0.2">
      <c r="A7225">
        <v>7164</v>
      </c>
      <c r="B7225" s="1832">
        <f>'Expenditures 15-22'!K343</f>
        <v>148518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210611</v>
      </c>
      <c r="D7246" s="2" t="str">
        <f t="shared" si="112"/>
        <v>Error?</v>
      </c>
    </row>
    <row r="7247" spans="1:4" x14ac:dyDescent="0.2">
      <c r="A7247">
        <f t="shared" si="113"/>
        <v>7186</v>
      </c>
      <c r="B7247" s="1832">
        <f>'Expenditures 15-22'!E7</f>
        <v>14000</v>
      </c>
      <c r="D7247" s="2" t="str">
        <f t="shared" si="112"/>
        <v>Error?</v>
      </c>
    </row>
    <row r="7248" spans="1:4" x14ac:dyDescent="0.2">
      <c r="A7248">
        <f t="shared" si="113"/>
        <v>7187</v>
      </c>
      <c r="B7248" s="1832">
        <f>'Expenditures 15-22'!F7</f>
        <v>6050</v>
      </c>
      <c r="D7248" s="2" t="str">
        <f t="shared" si="112"/>
        <v>Error?</v>
      </c>
    </row>
    <row r="7249" spans="1:4" x14ac:dyDescent="0.2">
      <c r="A7249">
        <f t="shared" si="113"/>
        <v>7188</v>
      </c>
      <c r="B7249" s="1832">
        <f>'Expenditures 15-22'!G7</f>
        <v>4533</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47042</v>
      </c>
      <c r="D7263" s="2" t="str">
        <f t="shared" si="112"/>
        <v>Error?</v>
      </c>
    </row>
    <row r="7264" spans="1:4" x14ac:dyDescent="0.2">
      <c r="A7264">
        <f t="shared" si="113"/>
        <v>7203</v>
      </c>
      <c r="B7264" s="1832">
        <f>'Expenditures 15-22'!D17</f>
        <v>3247</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2923</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1325</v>
      </c>
    </row>
    <row r="7627" spans="1:5" x14ac:dyDescent="0.2">
      <c r="A7627" s="126">
        <f t="shared" si="123"/>
        <v>7566</v>
      </c>
      <c r="B7627" s="1832"/>
      <c r="D7627" s="2" t="str">
        <f t="shared" si="124"/>
        <v>OK</v>
      </c>
      <c r="E7627" s="4" t="s">
        <v>1325</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1325</v>
      </c>
    </row>
    <row r="7630" spans="1:5" x14ac:dyDescent="0.2">
      <c r="A7630" s="126">
        <f t="shared" ref="A7630:A7650" si="125">A7629+1</f>
        <v>7569</v>
      </c>
      <c r="B7630" s="1832"/>
      <c r="D7630" s="2" t="str">
        <f t="shared" si="124"/>
        <v>OK</v>
      </c>
      <c r="E7630" s="4" t="s">
        <v>1325</v>
      </c>
    </row>
    <row r="7631" spans="1:5" x14ac:dyDescent="0.2">
      <c r="A7631">
        <f t="shared" si="125"/>
        <v>7570</v>
      </c>
      <c r="B7631" s="1832">
        <f>'Cap Outlay Deprec 26'!I18</f>
        <v>3154845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1325</v>
      </c>
    </row>
    <row r="7634" spans="1:6" x14ac:dyDescent="0.2">
      <c r="A7634" s="126">
        <f t="shared" si="125"/>
        <v>7573</v>
      </c>
      <c r="B7634" s="1832"/>
      <c r="D7634" s="2" t="str">
        <f t="shared" si="124"/>
        <v>OK</v>
      </c>
      <c r="E7634" s="4" t="s">
        <v>1325</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1080817</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39468</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8725</v>
      </c>
      <c r="D7712" s="2" t="str">
        <f t="shared" si="126"/>
        <v>Error?</v>
      </c>
      <c r="E7712" s="2" t="s">
        <v>822</v>
      </c>
    </row>
    <row r="7713" spans="1:6" x14ac:dyDescent="0.2">
      <c r="A7713">
        <v>7652</v>
      </c>
      <c r="B7713" s="1832">
        <f>'Rest Tax Levies-Tort Im 25'!J8</f>
        <v>3419734</v>
      </c>
      <c r="D7713" s="2" t="str">
        <f t="shared" si="126"/>
        <v>Error?</v>
      </c>
      <c r="E7713" s="2" t="s">
        <v>822</v>
      </c>
    </row>
    <row r="7714" spans="1:6" x14ac:dyDescent="0.2">
      <c r="A7714">
        <v>7653</v>
      </c>
      <c r="B7714" s="1832">
        <f>'Rest Tax Levies-Tort Im 25'!K9</f>
        <v>40480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3459202</v>
      </c>
      <c r="D7718" s="2" t="str">
        <f t="shared" si="126"/>
        <v>Error?</v>
      </c>
      <c r="E7718" s="2" t="s">
        <v>822</v>
      </c>
    </row>
    <row r="7719" spans="1:6" x14ac:dyDescent="0.2">
      <c r="A7719">
        <v>7658</v>
      </c>
      <c r="B7719" s="1832">
        <f>'Rest Tax Levies-Tort Im 25'!K12</f>
        <v>49205</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53212</v>
      </c>
      <c r="D7721" s="2" t="str">
        <f t="shared" si="126"/>
        <v>Error?</v>
      </c>
      <c r="E7721" s="2" t="s">
        <v>822</v>
      </c>
    </row>
    <row r="7722" spans="1:6" x14ac:dyDescent="0.2">
      <c r="A7722">
        <v>7661</v>
      </c>
      <c r="B7722" s="1832">
        <f>'Rest Tax Levies-Tort Im 25'!J15</f>
        <v>30350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319117</v>
      </c>
      <c r="D7724" s="2" t="str">
        <f t="shared" si="126"/>
        <v>Error?</v>
      </c>
      <c r="E7724" s="2" t="s">
        <v>822</v>
      </c>
      <c r="F7724" s="2"/>
    </row>
    <row r="7725" spans="1:6" x14ac:dyDescent="0.2">
      <c r="A7725">
        <v>7664</v>
      </c>
      <c r="B7725" s="1832">
        <f>'Rest Tax Levies-Tort Im 25'!J19</f>
        <v>1585000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1904117</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1934467</v>
      </c>
      <c r="D7730" s="2" t="str">
        <f t="shared" si="126"/>
        <v>Error?</v>
      </c>
      <c r="E7730" s="2" t="s">
        <v>822</v>
      </c>
    </row>
    <row r="7731" spans="1:6" x14ac:dyDescent="0.2">
      <c r="A7731">
        <v>7670</v>
      </c>
      <c r="B7731" s="1832">
        <f>'Revenues 9-14'!H103</f>
        <v>3419734</v>
      </c>
      <c r="D7731" s="2" t="str">
        <f t="shared" si="126"/>
        <v>Error?</v>
      </c>
      <c r="E7731" s="2" t="s">
        <v>822</v>
      </c>
    </row>
    <row r="7732" spans="1:6" x14ac:dyDescent="0.2">
      <c r="A7732">
        <v>7671</v>
      </c>
      <c r="B7732" s="1832">
        <f>'Rest Tax Levies-Tort Im 25'!J24</f>
        <v>2605552</v>
      </c>
      <c r="D7732" s="2" t="str">
        <f t="shared" si="126"/>
        <v>Error?</v>
      </c>
      <c r="E7732" s="2" t="s">
        <v>822</v>
      </c>
    </row>
    <row r="7733" spans="1:6" x14ac:dyDescent="0.2">
      <c r="A7733">
        <v>7672</v>
      </c>
      <c r="B7733" s="1832">
        <f>'Rest Tax Levies-Tort Im 25'!K24</f>
        <v>-4007</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2605552</v>
      </c>
      <c r="D7742" s="2" t="str">
        <f t="shared" si="126"/>
        <v>Error?</v>
      </c>
      <c r="E7742" s="2" t="s">
        <v>822</v>
      </c>
    </row>
    <row r="7743" spans="1:6" x14ac:dyDescent="0.2">
      <c r="A7743">
        <v>7682</v>
      </c>
      <c r="B7743" s="1832">
        <f>'Rest Tax Levies-Tort Im 25'!K26</f>
        <v>-4007</v>
      </c>
      <c r="D7743" s="2" t="str">
        <f t="shared" ref="D7743:D7806" si="127">IF(ISBLANK(B7743),"OK",IF(A7743-B7743=0,"OK","Error?"))</f>
        <v>Error?</v>
      </c>
      <c r="E7743" s="2" t="s">
        <v>822</v>
      </c>
    </row>
    <row r="7744" spans="1:6" x14ac:dyDescent="0.2">
      <c r="A7744" s="126">
        <v>7683</v>
      </c>
      <c r="B7744" s="1832"/>
      <c r="D7744" s="2" t="str">
        <f t="shared" si="127"/>
        <v>OK</v>
      </c>
      <c r="E7744" s="4" t="s">
        <v>1325</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1324</v>
      </c>
    </row>
    <row r="7749" spans="1:6" x14ac:dyDescent="0.2">
      <c r="A7749">
        <v>7688</v>
      </c>
      <c r="B7749" s="1832">
        <f>'Acct Summary 7-8'!D25</f>
        <v>0</v>
      </c>
      <c r="D7749" s="2" t="str">
        <f t="shared" si="127"/>
        <v>Error?</v>
      </c>
      <c r="E7749" s="4" t="s">
        <v>1324</v>
      </c>
    </row>
    <row r="7750" spans="1:6" x14ac:dyDescent="0.2">
      <c r="A7750">
        <v>7689</v>
      </c>
      <c r="B7750" s="1832">
        <f>'Acct Summary 7-8'!E25</f>
        <v>0</v>
      </c>
      <c r="D7750" s="2" t="str">
        <f t="shared" si="127"/>
        <v>Error?</v>
      </c>
      <c r="E7750" s="4" t="s">
        <v>1324</v>
      </c>
    </row>
    <row r="7751" spans="1:6" x14ac:dyDescent="0.2">
      <c r="A7751">
        <v>7690</v>
      </c>
      <c r="B7751" s="1832">
        <f>'Acct Summary 7-8'!F25</f>
        <v>0</v>
      </c>
      <c r="D7751" s="2" t="str">
        <f t="shared" si="127"/>
        <v>Error?</v>
      </c>
      <c r="E7751" s="4" t="s">
        <v>1324</v>
      </c>
    </row>
    <row r="7752" spans="1:6" x14ac:dyDescent="0.2">
      <c r="A7752">
        <v>7691</v>
      </c>
      <c r="B7752" s="1832">
        <f>'Acct Summary 7-8'!G25</f>
        <v>0</v>
      </c>
      <c r="D7752" s="2" t="str">
        <f t="shared" si="127"/>
        <v>Error?</v>
      </c>
      <c r="E7752" s="4" t="s">
        <v>1324</v>
      </c>
    </row>
    <row r="7753" spans="1:6" x14ac:dyDescent="0.2">
      <c r="A7753">
        <v>7692</v>
      </c>
      <c r="B7753" s="1832">
        <f>'Acct Summary 7-8'!H25</f>
        <v>0</v>
      </c>
      <c r="D7753" s="2" t="str">
        <f t="shared" si="127"/>
        <v>Error?</v>
      </c>
      <c r="E7753" s="4" t="s">
        <v>1324</v>
      </c>
    </row>
    <row r="7754" spans="1:6" x14ac:dyDescent="0.2">
      <c r="A7754">
        <v>7693</v>
      </c>
      <c r="B7754" s="1832">
        <f>'Acct Summary 7-8'!J25</f>
        <v>0</v>
      </c>
      <c r="D7754" s="2" t="str">
        <f t="shared" si="127"/>
        <v>Error?</v>
      </c>
      <c r="E7754" s="4" t="s">
        <v>1324</v>
      </c>
    </row>
    <row r="7755" spans="1:6" x14ac:dyDescent="0.2">
      <c r="A7755">
        <v>7694</v>
      </c>
      <c r="B7755" s="1832">
        <f>'Acct Summary 7-8'!K25</f>
        <v>0</v>
      </c>
      <c r="D7755" s="2" t="str">
        <f t="shared" si="127"/>
        <v>Error?</v>
      </c>
      <c r="E7755" s="4" t="s">
        <v>1324</v>
      </c>
    </row>
    <row r="7756" spans="1:6" x14ac:dyDescent="0.2">
      <c r="A7756" s="126">
        <v>7695</v>
      </c>
      <c r="B7756" s="1832"/>
      <c r="D7756" s="2" t="str">
        <f t="shared" si="127"/>
        <v>OK</v>
      </c>
      <c r="E7756" s="4" t="s">
        <v>1324</v>
      </c>
      <c r="F7756" t="s">
        <v>1431</v>
      </c>
    </row>
    <row r="7757" spans="1:6" x14ac:dyDescent="0.2">
      <c r="A7757" s="126">
        <v>7696</v>
      </c>
      <c r="B7757" s="1832"/>
      <c r="D7757" s="2" t="str">
        <f t="shared" si="127"/>
        <v>OK</v>
      </c>
      <c r="E7757" s="4" t="s">
        <v>1324</v>
      </c>
      <c r="F7757" t="s">
        <v>1431</v>
      </c>
    </row>
    <row r="7758" spans="1:6" x14ac:dyDescent="0.2">
      <c r="A7758">
        <v>7697</v>
      </c>
      <c r="B7758" s="1832">
        <f>'Aud Quest 2'!J85</f>
        <v>0</v>
      </c>
      <c r="D7758" s="2" t="str">
        <f t="shared" si="127"/>
        <v>Error?</v>
      </c>
      <c r="E7758" s="4" t="s">
        <v>1324</v>
      </c>
    </row>
    <row r="7759" spans="1:6" x14ac:dyDescent="0.2">
      <c r="A7759">
        <v>7698</v>
      </c>
      <c r="B7759" s="1832">
        <f>'Aud Quest 2'!J88</f>
        <v>354792.93</v>
      </c>
      <c r="D7759" s="2" t="str">
        <f t="shared" si="127"/>
        <v>Error?</v>
      </c>
      <c r="E7759" s="4" t="s">
        <v>1324</v>
      </c>
    </row>
    <row r="7760" spans="1:6" x14ac:dyDescent="0.2">
      <c r="A7760">
        <v>7699</v>
      </c>
      <c r="B7760" s="1832">
        <f>'Aud Quest 2'!J90</f>
        <v>354792.93</v>
      </c>
      <c r="D7760" s="2" t="str">
        <f t="shared" si="127"/>
        <v>Error?</v>
      </c>
      <c r="E7760" s="4" t="s">
        <v>1324</v>
      </c>
    </row>
    <row r="7761" spans="1:5" x14ac:dyDescent="0.2">
      <c r="A7761">
        <v>7700</v>
      </c>
      <c r="B7761" s="1832">
        <f>'Revenues 9-14'!C253</f>
        <v>0</v>
      </c>
      <c r="D7761" s="2" t="str">
        <f t="shared" si="127"/>
        <v>Error?</v>
      </c>
      <c r="E7761" s="4" t="s">
        <v>1408</v>
      </c>
    </row>
    <row r="7762" spans="1:5" x14ac:dyDescent="0.2">
      <c r="A7762">
        <v>7701</v>
      </c>
      <c r="B7762" s="1832">
        <f>'Expenditures 15-22'!E6</f>
        <v>0</v>
      </c>
      <c r="D7762" s="2" t="str">
        <f t="shared" si="127"/>
        <v>Error?</v>
      </c>
      <c r="E7762" s="4" t="s">
        <v>1418</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1446</v>
      </c>
    </row>
    <row r="7765" spans="1:5" x14ac:dyDescent="0.2">
      <c r="A7765">
        <v>7704</v>
      </c>
      <c r="B7765" s="1832">
        <f>'Revenues 9-14'!C254</f>
        <v>0</v>
      </c>
      <c r="D7765" s="2" t="str">
        <f t="shared" si="127"/>
        <v>Error?</v>
      </c>
      <c r="E7765" s="4" t="s">
        <v>1450</v>
      </c>
    </row>
    <row r="7766" spans="1:5" x14ac:dyDescent="0.2">
      <c r="A7766">
        <v>7705</v>
      </c>
      <c r="B7766" s="1832">
        <f>'Revenues 9-14'!D254</f>
        <v>0</v>
      </c>
      <c r="D7766" s="2" t="str">
        <f t="shared" si="127"/>
        <v>Error?</v>
      </c>
      <c r="E7766" s="4" t="s">
        <v>1450</v>
      </c>
    </row>
    <row r="7767" spans="1:5" x14ac:dyDescent="0.2">
      <c r="A7767" s="126">
        <v>7706</v>
      </c>
      <c r="B7767" s="1832"/>
      <c r="D7767" s="4" t="s">
        <v>1997</v>
      </c>
      <c r="E7767" s="4"/>
    </row>
    <row r="7768" spans="1:5" x14ac:dyDescent="0.2">
      <c r="A7768">
        <v>7707</v>
      </c>
      <c r="B7768" s="1832">
        <f>'Revenues 9-14'!F254</f>
        <v>0</v>
      </c>
      <c r="D7768" s="2" t="str">
        <f t="shared" si="127"/>
        <v>Error?</v>
      </c>
      <c r="E7768" s="4" t="s">
        <v>1450</v>
      </c>
    </row>
    <row r="7769" spans="1:5" x14ac:dyDescent="0.2">
      <c r="A7769">
        <v>7708</v>
      </c>
      <c r="B7769" s="1832">
        <f>'Revenues 9-14'!G254</f>
        <v>0</v>
      </c>
      <c r="D7769" s="2" t="str">
        <f t="shared" si="127"/>
        <v>Error?</v>
      </c>
      <c r="E7769" s="4" t="s">
        <v>1450</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1451</v>
      </c>
    </row>
    <row r="7773" spans="1:5" x14ac:dyDescent="0.2">
      <c r="A7773">
        <v>7712</v>
      </c>
      <c r="B7773" s="1832">
        <f>'Rest Tax Levies-Tort Im 25'!J22</f>
        <v>0</v>
      </c>
      <c r="D7773" s="2" t="str">
        <f t="shared" si="127"/>
        <v>Error?</v>
      </c>
      <c r="E7773" s="4" t="s">
        <v>1539</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53212</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42116000</v>
      </c>
      <c r="D7817" s="2" t="str">
        <f t="shared" si="128"/>
        <v>Error?</v>
      </c>
      <c r="E7817" s="4" t="s">
        <v>1966</v>
      </c>
    </row>
    <row r="7818" spans="1:5" x14ac:dyDescent="0.2">
      <c r="A7818">
        <v>7757</v>
      </c>
      <c r="B7818" s="1832">
        <f>'PCTC-OEPP 27-28'!F172</f>
        <v>1902122</v>
      </c>
      <c r="D7818" s="2" t="str">
        <f t="shared" si="128"/>
        <v>Error?</v>
      </c>
      <c r="E7818" s="4" t="s">
        <v>1980</v>
      </c>
    </row>
    <row r="7819" spans="1:5" x14ac:dyDescent="0.2">
      <c r="A7819">
        <v>7758</v>
      </c>
      <c r="B7819" s="1832">
        <f>'PCTC-OEPP 27-28'!F173</f>
        <v>315521</v>
      </c>
      <c r="D7819" s="2" t="str">
        <f t="shared" si="128"/>
        <v>Error?</v>
      </c>
      <c r="E7819" s="4" t="s">
        <v>1980</v>
      </c>
    </row>
    <row r="7820" spans="1:5" x14ac:dyDescent="0.2">
      <c r="A7820">
        <v>7759</v>
      </c>
      <c r="B7820" s="1832">
        <f>'ICR Computation 30'!E40</f>
        <v>-5399050</v>
      </c>
      <c r="D7820" s="2" t="str">
        <f t="shared" si="128"/>
        <v>Error?</v>
      </c>
    </row>
    <row r="7821" spans="1:5" x14ac:dyDescent="0.2">
      <c r="A7821">
        <v>7760</v>
      </c>
      <c r="B7821" s="1832">
        <f>'ICR Computation 30'!G40</f>
        <v>-5399050</v>
      </c>
      <c r="D7821" s="2" t="str">
        <f t="shared" si="128"/>
        <v>Error?</v>
      </c>
    </row>
    <row r="7822" spans="1:5" x14ac:dyDescent="0.2">
      <c r="A7822" s="1">
        <v>7761</v>
      </c>
      <c r="B7822" s="1832">
        <f>'PCTC-OEPP 27-28'!F14</f>
        <v>69106866</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1074756</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588326</v>
      </c>
      <c r="D7829" s="2" t="str">
        <f t="shared" si="129"/>
        <v>Error?</v>
      </c>
      <c r="E7829" s="4" t="s">
        <v>1998</v>
      </c>
    </row>
    <row r="7830" spans="1:5" x14ac:dyDescent="0.2">
      <c r="A7830">
        <v>7769</v>
      </c>
      <c r="B7830" s="1832">
        <f>'PCTC-OEPP 27-28'!F38</f>
        <v>19453</v>
      </c>
      <c r="D7830" s="2" t="str">
        <f t="shared" si="129"/>
        <v>Error?</v>
      </c>
      <c r="E7830" s="4" t="s">
        <v>1998</v>
      </c>
    </row>
    <row r="7831" spans="1:5" x14ac:dyDescent="0.2">
      <c r="A7831">
        <v>7770</v>
      </c>
      <c r="B7831" s="1832">
        <f>'PCTC-OEPP 27-28'!F52</f>
        <v>1587986</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8284568</v>
      </c>
      <c r="D7834" s="2" t="str">
        <f t="shared" si="129"/>
        <v>Error?</v>
      </c>
      <c r="E7834" s="4" t="s">
        <v>1998</v>
      </c>
    </row>
    <row r="7835" spans="1:5" x14ac:dyDescent="0.2">
      <c r="A7835">
        <v>7774</v>
      </c>
      <c r="B7835" s="1832">
        <f>'PCTC-OEPP 27-28'!F78</f>
        <v>60822298</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17955.451969061818</v>
      </c>
      <c r="D7837" s="2" t="str">
        <f t="shared" si="129"/>
        <v>Error?</v>
      </c>
      <c r="E7837" s="4" t="s">
        <v>1998</v>
      </c>
    </row>
    <row r="7838" spans="1:5" x14ac:dyDescent="0.2">
      <c r="A7838">
        <v>7777</v>
      </c>
      <c r="B7838" s="1832">
        <f>'PCTC-OEPP 27-28'!F96</f>
        <v>429743</v>
      </c>
      <c r="D7838" s="2" t="str">
        <f t="shared" si="129"/>
        <v>Error?</v>
      </c>
      <c r="E7838" s="4" t="s">
        <v>1998</v>
      </c>
    </row>
    <row r="7839" spans="1:5" x14ac:dyDescent="0.2">
      <c r="A7839">
        <v>7778</v>
      </c>
      <c r="B7839" s="1832">
        <f>'PCTC-OEPP 27-28'!F102</f>
        <v>30370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3004679</v>
      </c>
      <c r="D7842" s="2" t="str">
        <f t="shared" si="129"/>
        <v>Error?</v>
      </c>
      <c r="E7842" s="4" t="s">
        <v>1998</v>
      </c>
    </row>
    <row r="7843" spans="1:5" x14ac:dyDescent="0.2">
      <c r="A7843">
        <v>7782</v>
      </c>
      <c r="B7843" s="1832">
        <f>'PCTC-OEPP 27-28'!F107</f>
        <v>31066</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40480</v>
      </c>
      <c r="D7846" s="2" t="str">
        <f t="shared" si="129"/>
        <v>Error?</v>
      </c>
      <c r="E7846" s="4" t="s">
        <v>1998</v>
      </c>
    </row>
    <row r="7847" spans="1:5" x14ac:dyDescent="0.2">
      <c r="A7847">
        <v>7786</v>
      </c>
      <c r="B7847" s="1832">
        <f>'PCTC-OEPP 27-28'!F112</f>
        <v>970496</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159489</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329259</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2359730</v>
      </c>
      <c r="D7858" s="2" t="str">
        <f t="shared" si="129"/>
        <v>Error?</v>
      </c>
      <c r="E7858" s="4" t="s">
        <v>1998</v>
      </c>
    </row>
    <row r="7859" spans="1:5" x14ac:dyDescent="0.2">
      <c r="A7859">
        <v>7798</v>
      </c>
      <c r="B7859" s="1832">
        <f>'PCTC-OEPP 27-28'!F127</f>
        <v>1806658</v>
      </c>
      <c r="D7859" s="2" t="str">
        <f t="shared" si="129"/>
        <v>Error?</v>
      </c>
      <c r="E7859" s="4" t="s">
        <v>1998</v>
      </c>
    </row>
    <row r="7860" spans="1:5" x14ac:dyDescent="0.2">
      <c r="A7860">
        <v>7799</v>
      </c>
      <c r="B7860" s="1832">
        <f>'PCTC-OEPP 27-28'!F128</f>
        <v>517152</v>
      </c>
      <c r="D7860" s="2" t="str">
        <f t="shared" si="129"/>
        <v>Error?</v>
      </c>
      <c r="E7860" s="4" t="s">
        <v>1998</v>
      </c>
    </row>
    <row r="7861" spans="1:5" x14ac:dyDescent="0.2">
      <c r="A7861">
        <v>7800</v>
      </c>
      <c r="B7861" s="1832">
        <f>'PCTC-OEPP 27-28'!F129</f>
        <v>1202390</v>
      </c>
      <c r="D7861" s="2" t="str">
        <f t="shared" si="129"/>
        <v>Error?</v>
      </c>
      <c r="E7861" s="4" t="s">
        <v>1998</v>
      </c>
    </row>
    <row r="7862" spans="1:5" x14ac:dyDescent="0.2">
      <c r="A7862">
        <v>7801</v>
      </c>
      <c r="B7862" s="1832">
        <f>'PCTC-OEPP 27-28'!F130</f>
        <v>285664</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6727</v>
      </c>
      <c r="D7868" s="2" t="str">
        <f t="shared" si="129"/>
        <v>Error?</v>
      </c>
      <c r="E7868" s="4" t="s">
        <v>1998</v>
      </c>
    </row>
    <row r="7869" spans="1:5" x14ac:dyDescent="0.2">
      <c r="A7869">
        <v>7808</v>
      </c>
      <c r="B7869" s="1832">
        <f>'PCTC-OEPP 27-28'!F162</f>
        <v>95222</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166226</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142965</v>
      </c>
      <c r="D7874" s="2" t="str">
        <f t="shared" si="129"/>
        <v>Error?</v>
      </c>
      <c r="E7874" s="4" t="s">
        <v>1998</v>
      </c>
    </row>
    <row r="7875" spans="1:5" x14ac:dyDescent="0.2">
      <c r="A7875">
        <v>7814</v>
      </c>
      <c r="B7875" s="1832">
        <f>'PCTC-OEPP 27-28'!F170</f>
        <v>114850</v>
      </c>
      <c r="D7875" s="2" t="str">
        <f t="shared" si="129"/>
        <v>Error?</v>
      </c>
      <c r="E7875" s="4" t="s">
        <v>1998</v>
      </c>
    </row>
    <row r="7876" spans="1:5" x14ac:dyDescent="0.2">
      <c r="A7876">
        <v>7815</v>
      </c>
      <c r="B7876" s="1832">
        <f>'PCTC-OEPP 27-28'!F171</f>
        <v>418930</v>
      </c>
      <c r="D7876" s="2" t="str">
        <f t="shared" si="129"/>
        <v>Error?</v>
      </c>
      <c r="E7876" s="4" t="s">
        <v>1998</v>
      </c>
    </row>
    <row r="7877" spans="1:5" x14ac:dyDescent="0.2">
      <c r="A7877">
        <v>7816</v>
      </c>
      <c r="B7877" s="1832">
        <f>'PCTC-OEPP 27-28'!F175</f>
        <v>14548783</v>
      </c>
      <c r="D7877" s="2" t="str">
        <f t="shared" si="129"/>
        <v>Error?</v>
      </c>
      <c r="E7877" s="4" t="s">
        <v>1998</v>
      </c>
    </row>
    <row r="7878" spans="1:5" x14ac:dyDescent="0.2">
      <c r="A7878">
        <v>7817</v>
      </c>
      <c r="B7878" s="1832">
        <f>'PCTC-OEPP 27-28'!F176</f>
        <v>46273515</v>
      </c>
      <c r="D7878" s="2" t="str">
        <f t="shared" si="129"/>
        <v>Error?</v>
      </c>
      <c r="E7878" s="4" t="s">
        <v>1998</v>
      </c>
    </row>
    <row r="7879" spans="1:5" x14ac:dyDescent="0.2">
      <c r="A7879">
        <v>7818</v>
      </c>
      <c r="B7879" s="1832">
        <f>'PCTC-OEPP 27-28'!F178</f>
        <v>49428360</v>
      </c>
      <c r="D7879" s="2" t="str">
        <f t="shared" si="129"/>
        <v>Error?</v>
      </c>
      <c r="E7879" s="4" t="s">
        <v>1998</v>
      </c>
    </row>
    <row r="7880" spans="1:5" x14ac:dyDescent="0.2">
      <c r="A7880">
        <v>7819</v>
      </c>
      <c r="B7880" s="1832">
        <f>'PCTC-OEPP 27-28'!F180</f>
        <v>14591.828541063942</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24476</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7" t="s">
        <v>1183</v>
      </c>
      <c r="B2" s="2517"/>
      <c r="C2" s="2517"/>
      <c r="D2" s="2517"/>
      <c r="E2" s="2517"/>
      <c r="F2" s="2517"/>
      <c r="G2" s="2517"/>
      <c r="H2" s="2517"/>
      <c r="I2" s="2517"/>
      <c r="J2" s="2517"/>
      <c r="K2" s="2517"/>
      <c r="L2" s="2517"/>
    </row>
    <row r="3" spans="1:29" ht="13.5" customHeight="1" x14ac:dyDescent="0.2">
      <c r="A3" s="2549" t="s">
        <v>1182</v>
      </c>
      <c r="B3" s="2549"/>
      <c r="C3" s="2549"/>
      <c r="D3" s="2549"/>
      <c r="E3" s="2549"/>
      <c r="F3" s="2549"/>
      <c r="G3" s="2549"/>
      <c r="H3" s="2549"/>
      <c r="I3" s="2549"/>
      <c r="J3" s="2549"/>
      <c r="K3" s="2549"/>
      <c r="L3" s="2549"/>
    </row>
    <row r="4" spans="1:29" ht="13.5" customHeight="1" x14ac:dyDescent="0.2">
      <c r="A4" s="2538" t="str">
        <f>"Year Ending June 30, "&amp;'AFR20'!E2</f>
        <v>Year Ending June 30, 2020</v>
      </c>
      <c r="B4" s="2539"/>
      <c r="C4" s="2539"/>
      <c r="D4" s="2539"/>
      <c r="E4" s="2539"/>
      <c r="F4" s="2539"/>
      <c r="G4" s="2539"/>
      <c r="H4" s="2539"/>
      <c r="I4" s="2539"/>
      <c r="J4" s="2539"/>
      <c r="K4" s="2539"/>
      <c r="L4" s="2539"/>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40" t="str">
        <f>COVER!A17</f>
        <v xml:space="preserve"> Urbana SD 116</v>
      </c>
      <c r="B7" s="2541"/>
      <c r="C7" s="2541"/>
      <c r="D7" s="2542"/>
      <c r="E7" s="2543">
        <f>COVER!A13</f>
        <v>9010116022</v>
      </c>
      <c r="F7" s="2544"/>
      <c r="G7" s="2550" t="str">
        <f>COVER!T23</f>
        <v>066-003844</v>
      </c>
      <c r="H7" s="2551"/>
      <c r="I7" s="2551"/>
      <c r="J7" s="2551"/>
      <c r="K7" s="2551"/>
      <c r="L7" s="2552"/>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53"/>
      <c r="B9" s="2554"/>
      <c r="C9" s="2554"/>
      <c r="D9" s="2554"/>
      <c r="E9" s="2554"/>
      <c r="F9" s="2555"/>
      <c r="G9" s="2523" t="str">
        <f>COVER!T13</f>
        <v>BKD, LLP</v>
      </c>
      <c r="H9" s="2556"/>
      <c r="I9" s="2556"/>
      <c r="J9" s="2556"/>
      <c r="K9" s="2556"/>
      <c r="L9" s="2557"/>
    </row>
    <row r="10" spans="1:29" ht="13.5" customHeight="1" x14ac:dyDescent="0.2">
      <c r="A10" s="2529" t="str">
        <f>COVER!A38</f>
        <v>Jennifer Ivory-Tatum</v>
      </c>
      <c r="B10" s="2530"/>
      <c r="C10" s="2530"/>
      <c r="D10" s="2530"/>
      <c r="E10" s="2530"/>
      <c r="F10" s="2531"/>
      <c r="G10" s="2523" t="str">
        <f>COVER!T17</f>
        <v>225 North Water Street, Suite 400</v>
      </c>
      <c r="H10" s="2524"/>
      <c r="I10" s="2524"/>
      <c r="J10" s="2524"/>
      <c r="K10" s="2524"/>
      <c r="L10" s="2525"/>
    </row>
    <row r="11" spans="1:29" ht="13.5" customHeight="1" x14ac:dyDescent="0.2">
      <c r="A11" s="963" t="s">
        <v>1505</v>
      </c>
      <c r="B11" s="964"/>
      <c r="C11" s="965"/>
      <c r="D11" s="970"/>
      <c r="E11" s="965"/>
      <c r="F11" s="969"/>
      <c r="G11" s="2523" t="str">
        <f>COVER!T19</f>
        <v>Decatur</v>
      </c>
      <c r="H11" s="2524"/>
      <c r="I11" s="2524"/>
      <c r="J11" s="2524"/>
      <c r="K11" s="2524"/>
      <c r="L11" s="2525"/>
    </row>
    <row r="12" spans="1:29" ht="13.5" customHeight="1" x14ac:dyDescent="0.2">
      <c r="A12" s="2532" t="s">
        <v>1504</v>
      </c>
      <c r="B12" s="2533"/>
      <c r="C12" s="2533"/>
      <c r="D12" s="2533"/>
      <c r="E12" s="2533"/>
      <c r="F12" s="2534"/>
      <c r="G12" s="2526"/>
      <c r="H12" s="2527"/>
      <c r="I12" s="2527"/>
      <c r="J12" s="2527"/>
      <c r="K12" s="2527"/>
      <c r="L12" s="2528"/>
    </row>
    <row r="13" spans="1:29" ht="13.5" customHeight="1" x14ac:dyDescent="0.2">
      <c r="A13" s="2523"/>
      <c r="B13" s="2524"/>
      <c r="C13" s="2524"/>
      <c r="D13" s="2524"/>
      <c r="E13" s="2524"/>
      <c r="F13" s="2525"/>
      <c r="G13" s="2518" t="s">
        <v>1506</v>
      </c>
      <c r="H13" s="2519"/>
      <c r="I13" s="2535">
        <f>COVER!T25</f>
        <v>0</v>
      </c>
      <c r="J13" s="2536"/>
      <c r="K13" s="2536"/>
      <c r="L13" s="2537"/>
    </row>
    <row r="14" spans="1:29" ht="13.5" customHeight="1" x14ac:dyDescent="0.2">
      <c r="A14" s="2523" t="str">
        <f>COVER!A19</f>
        <v>205 North Race Street</v>
      </c>
      <c r="B14" s="2524"/>
      <c r="C14" s="2524"/>
      <c r="D14" s="2524"/>
      <c r="E14" s="2524"/>
      <c r="F14" s="2525"/>
      <c r="G14" s="974" t="s">
        <v>1177</v>
      </c>
      <c r="H14" s="972"/>
      <c r="I14" s="972"/>
      <c r="J14" s="972"/>
      <c r="K14" s="972"/>
      <c r="L14" s="973"/>
    </row>
    <row r="15" spans="1:29" ht="13.5" customHeight="1" x14ac:dyDescent="0.2">
      <c r="A15" s="2523" t="str">
        <f>COVER!A21</f>
        <v>Urbana</v>
      </c>
      <c r="B15" s="2524"/>
      <c r="C15" s="2524"/>
      <c r="D15" s="2524"/>
      <c r="E15" s="2524"/>
      <c r="F15" s="2525"/>
      <c r="G15" s="2520" t="str">
        <f>COVER!T15</f>
        <v>Heather Powell</v>
      </c>
      <c r="H15" s="2521"/>
      <c r="I15" s="2521"/>
      <c r="J15" s="2521"/>
      <c r="K15" s="2521"/>
      <c r="L15" s="2522"/>
    </row>
    <row r="16" spans="1:29" ht="12.2" customHeight="1" x14ac:dyDescent="0.2">
      <c r="A16" s="2546">
        <f>COVER!A25</f>
        <v>61801</v>
      </c>
      <c r="B16" s="2547"/>
      <c r="C16" s="2547"/>
      <c r="D16" s="2547"/>
      <c r="E16" s="2547"/>
      <c r="F16" s="2548"/>
      <c r="G16" s="2558"/>
      <c r="H16" s="2559"/>
      <c r="I16" s="2559"/>
      <c r="J16" s="2559"/>
      <c r="K16" s="2559"/>
      <c r="L16" s="2560"/>
    </row>
    <row r="17" spans="1:13" ht="12.2" customHeight="1" x14ac:dyDescent="0.2">
      <c r="A17" s="2561"/>
      <c r="B17" s="2547"/>
      <c r="C17" s="2547"/>
      <c r="D17" s="2547"/>
      <c r="E17" s="2547"/>
      <c r="F17" s="2548"/>
      <c r="G17" s="974" t="s">
        <v>1176</v>
      </c>
      <c r="H17" s="972"/>
      <c r="I17" s="972"/>
      <c r="J17" s="972"/>
      <c r="K17" s="976" t="s">
        <v>1175</v>
      </c>
      <c r="L17" s="969"/>
      <c r="M17" s="962"/>
    </row>
    <row r="18" spans="1:13" ht="12.2" customHeight="1" x14ac:dyDescent="0.2">
      <c r="A18" s="2529"/>
      <c r="B18" s="2530"/>
      <c r="C18" s="2530"/>
      <c r="D18" s="2530"/>
      <c r="E18" s="2530"/>
      <c r="F18" s="2531"/>
      <c r="G18" s="2540" t="str">
        <f>COVER!T21</f>
        <v>217-429-2411</v>
      </c>
      <c r="H18" s="2541"/>
      <c r="I18" s="2541"/>
      <c r="J18" s="2541"/>
      <c r="K18" s="2540" t="str">
        <f>COVER!X21</f>
        <v>217-429-6109</v>
      </c>
      <c r="L18" s="2545"/>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1"/>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22" zoomScale="125" zoomScaleNormal="125" workbookViewId="0">
      <selection activeCell="D19" sqref="D19"/>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2" t="str">
        <f>'Single Audit Cover'!A7</f>
        <v xml:space="preserve"> Urbana SD 116</v>
      </c>
      <c r="B1" s="2563"/>
      <c r="C1" s="2563"/>
      <c r="D1" s="2563"/>
    </row>
    <row r="2" spans="1:11" s="991" customFormat="1" ht="12.75" x14ac:dyDescent="0.2">
      <c r="A2" s="2564">
        <f>'Single Audit Cover'!E7</f>
        <v>9010116022</v>
      </c>
      <c r="B2" s="2565"/>
      <c r="C2" s="2565"/>
      <c r="D2" s="2565"/>
    </row>
    <row r="3" spans="1:11" s="991" customFormat="1" ht="12.75" x14ac:dyDescent="0.2">
      <c r="A3" s="2562" t="s">
        <v>1499</v>
      </c>
      <c r="B3" s="2563"/>
      <c r="C3" s="2563"/>
      <c r="D3" s="2563"/>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1969</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41" sqref="A41:B4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7" t="str">
        <f>'Single Audit Cover'!A7</f>
        <v xml:space="preserve"> Urbana SD 116</v>
      </c>
      <c r="B1" s="2567"/>
      <c r="C1" s="2567"/>
      <c r="D1" s="2567"/>
      <c r="E1" s="2567"/>
    </row>
    <row r="2" spans="1:5" x14ac:dyDescent="0.2">
      <c r="A2" s="2568">
        <f>'Single Audit Cover'!E7</f>
        <v>9010116022</v>
      </c>
      <c r="B2" s="2568"/>
      <c r="C2" s="2568"/>
      <c r="D2" s="2568"/>
      <c r="E2" s="2568"/>
    </row>
    <row r="3" spans="1:5" ht="4.5" customHeight="1" x14ac:dyDescent="0.2"/>
    <row r="4" spans="1:5" x14ac:dyDescent="0.2">
      <c r="A4" s="2567" t="s">
        <v>1236</v>
      </c>
      <c r="B4" s="2567"/>
      <c r="C4" s="2567"/>
      <c r="D4" s="2567"/>
      <c r="E4" s="2567"/>
    </row>
    <row r="5" spans="1:5" x14ac:dyDescent="0.2">
      <c r="A5" s="2570" t="str">
        <f>'Single Audit Cover'!A4</f>
        <v>Year Ending June 30, 2020</v>
      </c>
      <c r="B5" s="2570"/>
      <c r="C5" s="2570"/>
      <c r="D5" s="2570"/>
      <c r="E5" s="2570"/>
    </row>
    <row r="6" spans="1:5" x14ac:dyDescent="0.2">
      <c r="A6" s="2567" t="s">
        <v>1235</v>
      </c>
      <c r="B6" s="2567"/>
      <c r="C6" s="2567"/>
      <c r="D6" s="2567"/>
      <c r="E6" s="2567"/>
    </row>
    <row r="8" spans="1:5" x14ac:dyDescent="0.2">
      <c r="A8" s="1036" t="s">
        <v>1234</v>
      </c>
    </row>
    <row r="10" spans="1:5" x14ac:dyDescent="0.2">
      <c r="A10" s="1037" t="s">
        <v>1233</v>
      </c>
      <c r="B10" s="1038" t="s">
        <v>1232</v>
      </c>
      <c r="C10" s="1038"/>
      <c r="D10" s="1039">
        <f>SUM('Acct Summary 7-8'!C7:K7)</f>
        <v>7333037</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2004</v>
      </c>
      <c r="B14" s="1038"/>
      <c r="C14" s="1038"/>
      <c r="D14" s="1040">
        <f>'ICR Computation 30'!E11</f>
        <v>125439</v>
      </c>
    </row>
    <row r="15" spans="1:5" x14ac:dyDescent="0.2">
      <c r="A15" s="1037"/>
      <c r="B15" s="1038"/>
      <c r="C15" s="1038"/>
    </row>
    <row r="16" spans="1:5" x14ac:dyDescent="0.2">
      <c r="A16" s="1037" t="s">
        <v>1815</v>
      </c>
      <c r="B16" s="1038"/>
      <c r="C16" s="1038"/>
    </row>
    <row r="17" spans="1:4" x14ac:dyDescent="0.2">
      <c r="A17" s="1037" t="s">
        <v>1964</v>
      </c>
      <c r="B17" s="1038" t="s">
        <v>1227</v>
      </c>
      <c r="C17" s="1038"/>
      <c r="D17" s="1040">
        <f>-SUM('Revenues 9-14'!C264:D264,'Revenues 9-14'!F264:G264)</f>
        <v>-114850</v>
      </c>
    </row>
    <row r="19" spans="1:4" ht="13.5" thickBot="1" x14ac:dyDescent="0.25">
      <c r="A19" s="1041" t="s">
        <v>1226</v>
      </c>
      <c r="D19" s="1042">
        <f>SUM(D10:D17)</f>
        <v>7343626</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69"/>
      <c r="B24" s="2569"/>
      <c r="D24" s="1044"/>
    </row>
    <row r="25" spans="1:4" x14ac:dyDescent="0.2">
      <c r="A25" s="2566"/>
      <c r="B25" s="2566"/>
      <c r="D25" s="1044"/>
    </row>
    <row r="26" spans="1:4" x14ac:dyDescent="0.2">
      <c r="A26" s="2566"/>
      <c r="B26" s="2566"/>
      <c r="D26" s="1044"/>
    </row>
    <row r="27" spans="1:4" x14ac:dyDescent="0.2">
      <c r="A27" s="2566"/>
      <c r="B27" s="2566"/>
      <c r="D27" s="1044"/>
    </row>
    <row r="28" spans="1:4" x14ac:dyDescent="0.2">
      <c r="A28" s="2566"/>
      <c r="B28" s="2566"/>
      <c r="D28" s="1044"/>
    </row>
    <row r="29" spans="1:4" x14ac:dyDescent="0.2">
      <c r="A29" s="2566"/>
      <c r="B29" s="2566"/>
      <c r="D29" s="1044"/>
    </row>
    <row r="30" spans="1:4" x14ac:dyDescent="0.2">
      <c r="A30" s="2566"/>
      <c r="B30" s="2566"/>
      <c r="D30" s="1044"/>
    </row>
    <row r="32" spans="1:4" x14ac:dyDescent="0.2">
      <c r="A32" s="1036" t="s">
        <v>1224</v>
      </c>
      <c r="D32" s="1039">
        <f>SUM(D19:D30)</f>
        <v>7343626</v>
      </c>
    </row>
    <row r="33" spans="1:4" x14ac:dyDescent="0.2">
      <c r="D33" s="1045"/>
    </row>
    <row r="34" spans="1:4" x14ac:dyDescent="0.2">
      <c r="A34" s="295" t="s">
        <v>1223</v>
      </c>
    </row>
    <row r="35" spans="1:4" x14ac:dyDescent="0.2">
      <c r="A35" s="295" t="s">
        <v>1222</v>
      </c>
      <c r="B35" s="1034" t="s">
        <v>1221</v>
      </c>
      <c r="D35" s="1046">
        <v>6554529</v>
      </c>
    </row>
    <row r="37" spans="1:4" x14ac:dyDescent="0.2">
      <c r="A37" s="1036" t="s">
        <v>1220</v>
      </c>
    </row>
    <row r="39" spans="1:4" ht="13.35" customHeight="1" x14ac:dyDescent="0.2">
      <c r="A39" s="1043" t="s">
        <v>1219</v>
      </c>
    </row>
    <row r="40" spans="1:4" x14ac:dyDescent="0.2">
      <c r="A40" s="2566" t="s">
        <v>2196</v>
      </c>
      <c r="B40" s="2566"/>
      <c r="D40" s="1044">
        <v>789097</v>
      </c>
    </row>
    <row r="41" spans="1:4" x14ac:dyDescent="0.2">
      <c r="A41" s="2566"/>
      <c r="B41" s="2566"/>
      <c r="D41" s="1047"/>
    </row>
    <row r="42" spans="1:4" x14ac:dyDescent="0.2">
      <c r="A42" s="2566"/>
      <c r="B42" s="2566"/>
      <c r="D42" s="1047"/>
    </row>
    <row r="43" spans="1:4" x14ac:dyDescent="0.2">
      <c r="A43" s="2566"/>
      <c r="B43" s="2566"/>
      <c r="D43" s="1047"/>
    </row>
    <row r="44" spans="1:4" x14ac:dyDescent="0.2">
      <c r="A44" s="2566"/>
      <c r="B44" s="2566"/>
      <c r="D44" s="1047"/>
    </row>
    <row r="45" spans="1:4" x14ac:dyDescent="0.2">
      <c r="A45" s="2566"/>
      <c r="B45" s="2566"/>
      <c r="D45" s="1047"/>
    </row>
    <row r="47" spans="1:4" x14ac:dyDescent="0.2">
      <c r="B47" s="1048" t="s">
        <v>1218</v>
      </c>
      <c r="C47" s="1048"/>
      <c r="D47" s="1049">
        <f>SUM(D35:D45)</f>
        <v>7343626</v>
      </c>
    </row>
    <row r="49" spans="2:4" x14ac:dyDescent="0.2">
      <c r="B49" s="1048" t="s">
        <v>1217</v>
      </c>
      <c r="C49" s="1048"/>
      <c r="D49" s="104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0D555-3E0E-48FF-8898-B250B3963424}">
  <dimension ref="B1:N152"/>
  <sheetViews>
    <sheetView showGridLines="0" zoomScaleNormal="100" workbookViewId="0">
      <selection activeCell="A30" sqref="A30:XFD3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9" t="str">
        <f>'Single Audit Cover'!A7</f>
        <v xml:space="preserve"> Urbana SD 116</v>
      </c>
      <c r="C1" s="2571"/>
      <c r="D1" s="2571"/>
      <c r="E1" s="2571"/>
      <c r="F1" s="2571"/>
      <c r="G1" s="2571"/>
      <c r="H1" s="2571"/>
      <c r="I1" s="2571"/>
      <c r="J1" s="2571"/>
      <c r="K1" s="2571"/>
      <c r="L1" s="2571"/>
      <c r="M1" s="2571"/>
    </row>
    <row r="2" spans="2:14" ht="15" x14ac:dyDescent="0.2">
      <c r="B2" s="2572">
        <f>'Single Audit Cover'!E7</f>
        <v>9010116022</v>
      </c>
      <c r="C2" s="2572"/>
      <c r="D2" s="2572"/>
      <c r="E2" s="2572"/>
      <c r="F2" s="2572"/>
      <c r="G2" s="2572"/>
      <c r="H2" s="2572"/>
      <c r="I2" s="2572"/>
      <c r="J2" s="2572"/>
      <c r="K2" s="2572"/>
      <c r="L2" s="2572"/>
      <c r="M2" s="2572"/>
      <c r="N2" s="1078"/>
    </row>
    <row r="3" spans="2:14" ht="15" x14ac:dyDescent="0.2">
      <c r="B3" s="2573" t="s">
        <v>1210</v>
      </c>
      <c r="C3" s="2573"/>
      <c r="D3" s="2573"/>
      <c r="E3" s="2573"/>
      <c r="F3" s="2573"/>
      <c r="G3" s="2573"/>
      <c r="H3" s="2573"/>
      <c r="I3" s="2573"/>
      <c r="J3" s="2573"/>
      <c r="K3" s="2573"/>
      <c r="L3" s="2573"/>
      <c r="M3" s="2573"/>
      <c r="N3" s="1078"/>
    </row>
    <row r="4" spans="2:14" ht="15" x14ac:dyDescent="0.2">
      <c r="B4" s="2574" t="str">
        <f>'Single Audit Cover'!A4</f>
        <v>Year Ending June 30, 2020</v>
      </c>
      <c r="C4" s="2574"/>
      <c r="D4" s="2574"/>
      <c r="E4" s="2574"/>
      <c r="F4" s="2574"/>
      <c r="G4" s="2574"/>
      <c r="H4" s="2574"/>
      <c r="I4" s="2574"/>
      <c r="J4" s="2574"/>
      <c r="K4" s="2574"/>
      <c r="L4" s="2574"/>
      <c r="M4" s="2574"/>
      <c r="N4" s="1078"/>
    </row>
    <row r="5" spans="2:14" x14ac:dyDescent="0.2">
      <c r="H5" s="1917"/>
      <c r="J5" s="1917"/>
    </row>
    <row r="6" spans="2:14" x14ac:dyDescent="0.2">
      <c r="B6" s="1079"/>
      <c r="C6" s="1080"/>
      <c r="D6" s="1081" t="s">
        <v>1256</v>
      </c>
      <c r="E6" s="1082" t="s">
        <v>524</v>
      </c>
      <c r="F6" s="1083"/>
      <c r="G6" s="1084" t="s">
        <v>1711</v>
      </c>
      <c r="H6" s="1082"/>
      <c r="I6" s="1082"/>
      <c r="J6" s="1918"/>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1712</v>
      </c>
      <c r="D9" s="1090" t="s">
        <v>1713</v>
      </c>
      <c r="E9" s="1916" t="str">
        <f>"7/1/"&amp;MID('AFR20'!$E$2,3,2)-2&amp;"-6/30/"&amp;MID('AFR20'!$E$2,3,2)-1</f>
        <v>7/1/18-6/30/19</v>
      </c>
      <c r="F9" s="1916" t="str">
        <f>"7/1/"&amp;MID('AFR20'!$E$2,3,2)-1&amp;"-6/30/"&amp;MID('AFR20'!$E$2,3,2)</f>
        <v>7/1/19-6/30/20</v>
      </c>
      <c r="G9" s="1916" t="str">
        <f>"7/1/"&amp;MID('AFR20'!$E$2,3,2)-2&amp;"-6/30/"&amp;MID('AFR20'!$E$2,3,2)-1</f>
        <v>7/1/18-6/30/19</v>
      </c>
      <c r="H9" s="1093" t="s">
        <v>1568</v>
      </c>
      <c r="I9" s="1916"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t="s">
        <v>2063</v>
      </c>
      <c r="C11" s="1821"/>
      <c r="D11" s="1822"/>
      <c r="E11" s="1823"/>
      <c r="F11" s="1823"/>
      <c r="G11" s="1823"/>
      <c r="H11" s="1823"/>
      <c r="I11" s="1823"/>
      <c r="J11" s="1823"/>
      <c r="K11" s="1823"/>
      <c r="L11" s="1823">
        <f>+G11+I11+K11</f>
        <v>0</v>
      </c>
      <c r="M11" s="1823"/>
    </row>
    <row r="12" spans="2:14" ht="20.100000000000001" customHeight="1" x14ac:dyDescent="0.2">
      <c r="B12" s="1113" t="s">
        <v>2064</v>
      </c>
      <c r="C12" s="1824"/>
      <c r="D12" s="1825"/>
      <c r="E12" s="1826"/>
      <c r="F12" s="1826"/>
      <c r="G12" s="1826"/>
      <c r="H12" s="1826"/>
      <c r="I12" s="1826"/>
      <c r="J12" s="1826"/>
      <c r="K12" s="1826"/>
      <c r="L12" s="1823">
        <f t="shared" ref="L12:L28"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t="s">
        <v>2065</v>
      </c>
      <c r="C14" s="1824">
        <v>10.555</v>
      </c>
      <c r="D14" s="1825"/>
      <c r="E14" s="1826">
        <v>121296</v>
      </c>
      <c r="F14" s="1826">
        <v>71116</v>
      </c>
      <c r="G14" s="1826">
        <v>121296</v>
      </c>
      <c r="H14" s="1826"/>
      <c r="I14" s="1826">
        <v>71116</v>
      </c>
      <c r="J14" s="1826"/>
      <c r="K14" s="1826"/>
      <c r="L14" s="1823">
        <f t="shared" si="0"/>
        <v>192412</v>
      </c>
      <c r="M14" s="1826" t="s">
        <v>2114</v>
      </c>
    </row>
    <row r="15" spans="2:14" ht="20.100000000000001" customHeight="1" x14ac:dyDescent="0.2">
      <c r="B15" s="1113" t="s">
        <v>2066</v>
      </c>
      <c r="C15" s="1824">
        <v>10.555</v>
      </c>
      <c r="D15" s="1825"/>
      <c r="E15" s="1826">
        <v>52470</v>
      </c>
      <c r="F15" s="1826">
        <v>54323</v>
      </c>
      <c r="G15" s="1826">
        <v>52470</v>
      </c>
      <c r="H15" s="1826"/>
      <c r="I15" s="1826">
        <v>54323</v>
      </c>
      <c r="J15" s="1826"/>
      <c r="K15" s="1826"/>
      <c r="L15" s="1823">
        <f t="shared" si="0"/>
        <v>106793</v>
      </c>
      <c r="M15" s="1826" t="s">
        <v>2114</v>
      </c>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t="s">
        <v>2067</v>
      </c>
      <c r="C17" s="1824"/>
      <c r="D17" s="1825"/>
      <c r="E17" s="1826"/>
      <c r="F17" s="1826"/>
      <c r="G17" s="1826"/>
      <c r="H17" s="1826"/>
      <c r="I17" s="1826"/>
      <c r="J17" s="1826"/>
      <c r="K17" s="1826"/>
      <c r="L17" s="1823">
        <f t="shared" si="0"/>
        <v>0</v>
      </c>
      <c r="M17" s="1826"/>
    </row>
    <row r="18" spans="2:14" ht="20.100000000000001" customHeight="1" x14ac:dyDescent="0.2">
      <c r="B18" s="1113" t="s">
        <v>2069</v>
      </c>
      <c r="C18" s="1824">
        <v>10.555</v>
      </c>
      <c r="D18" s="1825" t="s">
        <v>2115</v>
      </c>
      <c r="E18" s="1826"/>
      <c r="F18" s="1826">
        <v>997537</v>
      </c>
      <c r="G18" s="1826"/>
      <c r="H18" s="1826"/>
      <c r="I18" s="1826">
        <v>997537</v>
      </c>
      <c r="J18" s="1826"/>
      <c r="K18" s="1826"/>
      <c r="L18" s="1823">
        <f t="shared" si="0"/>
        <v>997537</v>
      </c>
      <c r="M18" s="1826" t="s">
        <v>2114</v>
      </c>
    </row>
    <row r="19" spans="2:14" ht="20.100000000000001" customHeight="1" x14ac:dyDescent="0.2">
      <c r="B19" s="1113"/>
      <c r="C19" s="1824">
        <v>10.555</v>
      </c>
      <c r="D19" s="1825" t="s">
        <v>2073</v>
      </c>
      <c r="E19" s="1826">
        <v>1317603</v>
      </c>
      <c r="F19" s="1826">
        <v>290508</v>
      </c>
      <c r="G19" s="1826">
        <v>1317603</v>
      </c>
      <c r="H19" s="1826"/>
      <c r="I19" s="1826">
        <v>290508</v>
      </c>
      <c r="J19" s="1826"/>
      <c r="K19" s="1826"/>
      <c r="L19" s="1823">
        <f t="shared" si="0"/>
        <v>1608111</v>
      </c>
      <c r="M19" s="1826" t="s">
        <v>2114</v>
      </c>
    </row>
    <row r="20" spans="2:14" ht="20.100000000000001" customHeight="1" x14ac:dyDescent="0.2">
      <c r="B20" s="1113" t="s">
        <v>2068</v>
      </c>
      <c r="C20" s="1824">
        <v>10.553000000000001</v>
      </c>
      <c r="D20" s="1825" t="s">
        <v>2116</v>
      </c>
      <c r="E20" s="1826"/>
      <c r="F20" s="1826">
        <v>444902</v>
      </c>
      <c r="G20" s="1826"/>
      <c r="H20" s="1826"/>
      <c r="I20" s="1826">
        <v>444902</v>
      </c>
      <c r="J20" s="1826"/>
      <c r="K20" s="1826"/>
      <c r="L20" s="1823">
        <f t="shared" si="0"/>
        <v>444902</v>
      </c>
      <c r="M20" s="1826" t="s">
        <v>2114</v>
      </c>
    </row>
    <row r="21" spans="2:14" ht="20.100000000000001" customHeight="1" x14ac:dyDescent="0.2">
      <c r="B21" s="1113"/>
      <c r="C21" s="1824">
        <v>10.553000000000001</v>
      </c>
      <c r="D21" s="1825" t="s">
        <v>2074</v>
      </c>
      <c r="E21" s="1826">
        <v>601624</v>
      </c>
      <c r="F21" s="1826">
        <v>128871</v>
      </c>
      <c r="G21" s="1826">
        <v>601624</v>
      </c>
      <c r="H21" s="1826"/>
      <c r="I21" s="1826">
        <v>128871</v>
      </c>
      <c r="J21" s="1826"/>
      <c r="K21" s="1826"/>
      <c r="L21" s="1823">
        <f t="shared" si="0"/>
        <v>730495</v>
      </c>
      <c r="M21" s="1826" t="s">
        <v>2114</v>
      </c>
    </row>
    <row r="22" spans="2:14" ht="20.100000000000001" customHeight="1" x14ac:dyDescent="0.2">
      <c r="B22" s="1113" t="s">
        <v>2117</v>
      </c>
      <c r="C22" s="1824">
        <v>10.558999999999999</v>
      </c>
      <c r="D22" s="1825" t="s">
        <v>2118</v>
      </c>
      <c r="E22" s="1826"/>
      <c r="F22" s="1826">
        <v>307873</v>
      </c>
      <c r="G22" s="1826"/>
      <c r="H22" s="1826"/>
      <c r="I22" s="1826">
        <v>307873</v>
      </c>
      <c r="J22" s="1826"/>
      <c r="K22" s="1826"/>
      <c r="L22" s="1823">
        <f>G22+I22+K22</f>
        <v>307873</v>
      </c>
      <c r="M22" s="1826" t="s">
        <v>2114</v>
      </c>
    </row>
    <row r="23" spans="2:14" ht="20.100000000000001" customHeight="1" x14ac:dyDescent="0.2">
      <c r="B23" s="1113" t="s">
        <v>2070</v>
      </c>
      <c r="C23" s="1824"/>
      <c r="D23" s="1825"/>
      <c r="E23" s="1826">
        <f>+E14+E15+E18+E19+E20+E21</f>
        <v>2092993</v>
      </c>
      <c r="F23" s="1826">
        <f>F14+F15+F18+F19+F21+F20+F22</f>
        <v>2295130</v>
      </c>
      <c r="G23" s="1826">
        <f>+G14+G15+G18+G19+G20+G21</f>
        <v>2092993</v>
      </c>
      <c r="H23" s="1826"/>
      <c r="I23" s="1826">
        <f>I14+I15+I18+I19+I20+I21+I22</f>
        <v>2295130</v>
      </c>
      <c r="J23" s="1826"/>
      <c r="K23" s="1826"/>
      <c r="L23" s="1823">
        <f t="shared" si="0"/>
        <v>4388123</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t="s">
        <v>2071</v>
      </c>
      <c r="C25" s="1824">
        <v>10.558</v>
      </c>
      <c r="D25" s="1825" t="s">
        <v>2119</v>
      </c>
      <c r="E25" s="1826"/>
      <c r="F25" s="1826">
        <v>82051</v>
      </c>
      <c r="G25" s="1826"/>
      <c r="H25" s="1826"/>
      <c r="I25" s="1826">
        <v>82051</v>
      </c>
      <c r="J25" s="1826"/>
      <c r="K25" s="1826"/>
      <c r="L25" s="1823">
        <f t="shared" si="0"/>
        <v>82051</v>
      </c>
      <c r="M25" s="1826" t="s">
        <v>2114</v>
      </c>
    </row>
    <row r="26" spans="2:14" ht="20.100000000000001" customHeight="1" x14ac:dyDescent="0.2">
      <c r="B26" s="1113"/>
      <c r="C26" s="1824">
        <v>10.558</v>
      </c>
      <c r="D26" s="1825" t="s">
        <v>2075</v>
      </c>
      <c r="E26" s="1826">
        <v>99697</v>
      </c>
      <c r="F26" s="1826">
        <v>15492</v>
      </c>
      <c r="G26" s="1826">
        <v>99697</v>
      </c>
      <c r="H26" s="1826"/>
      <c r="I26" s="1826">
        <v>15492</v>
      </c>
      <c r="J26" s="1826"/>
      <c r="K26" s="1826"/>
      <c r="L26" s="1823">
        <f>+G26+I26+K26</f>
        <v>115189</v>
      </c>
      <c r="M26" s="1826" t="s">
        <v>2114</v>
      </c>
    </row>
    <row r="27" spans="2:14" ht="20.100000000000001" customHeight="1" x14ac:dyDescent="0.2">
      <c r="B27" s="1113"/>
      <c r="C27" s="1824"/>
      <c r="D27" s="1825"/>
      <c r="E27" s="1826"/>
      <c r="F27" s="1826"/>
      <c r="G27" s="1826"/>
      <c r="H27" s="1826"/>
      <c r="I27" s="1826"/>
      <c r="J27" s="1826"/>
      <c r="K27" s="1826"/>
      <c r="L27" s="1823">
        <f>+G27+I27+K27</f>
        <v>0</v>
      </c>
      <c r="M27" s="1826"/>
    </row>
    <row r="28" spans="2:14" ht="20.100000000000001" customHeight="1" x14ac:dyDescent="0.2">
      <c r="B28" s="1113" t="s">
        <v>2072</v>
      </c>
      <c r="C28" s="1824"/>
      <c r="D28" s="1825"/>
      <c r="E28" s="1826">
        <f>+E23+E25+E26</f>
        <v>2192690</v>
      </c>
      <c r="F28" s="1826">
        <f>F23+F25+F26</f>
        <v>2392673</v>
      </c>
      <c r="G28" s="1826">
        <f>+G23+G25+G26</f>
        <v>2192690</v>
      </c>
      <c r="H28" s="1826"/>
      <c r="I28" s="1826">
        <f>I23+I25+I26</f>
        <v>2392673</v>
      </c>
      <c r="J28" s="1826"/>
      <c r="K28" s="1826"/>
      <c r="L28" s="1823">
        <f t="shared" si="0"/>
        <v>4585363</v>
      </c>
      <c r="M28" s="1826"/>
      <c r="N28" s="1114"/>
    </row>
    <row r="29" spans="2:14" ht="12.75" customHeight="1" x14ac:dyDescent="0.2">
      <c r="B29" s="1115"/>
      <c r="C29" s="1116"/>
      <c r="D29" s="1117"/>
      <c r="E29" s="1118"/>
      <c r="F29" s="1118"/>
      <c r="G29" s="1118"/>
      <c r="H29" s="1118"/>
      <c r="I29" s="1118"/>
      <c r="J29" s="1118"/>
      <c r="K29" s="1118"/>
      <c r="L29" s="1118"/>
      <c r="M29" s="1118"/>
      <c r="N29" s="1114"/>
    </row>
    <row r="30" spans="2:14" ht="13.5" customHeight="1" x14ac:dyDescent="0.2">
      <c r="B30" s="1058" t="s">
        <v>1714</v>
      </c>
      <c r="C30" s="1119"/>
      <c r="D30" s="1120"/>
      <c r="E30" s="1033"/>
      <c r="F30" s="1033"/>
      <c r="G30" s="1026"/>
      <c r="H30" s="1026"/>
      <c r="I30" s="1026"/>
      <c r="J30" s="1026"/>
      <c r="K30" s="1026"/>
      <c r="L30" s="1026"/>
      <c r="M30" s="1033"/>
      <c r="N30" s="1114"/>
    </row>
    <row r="31" spans="2:14"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1"/>
  <sheetViews>
    <sheetView showGridLines="0" zoomScaleNormal="100" workbookViewId="0">
      <selection activeCell="A29" sqref="A29:XFD29"/>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9" t="str">
        <f>'Single Audit Cover'!A7</f>
        <v xml:space="preserve"> Urbana SD 116</v>
      </c>
      <c r="C1" s="2571"/>
      <c r="D1" s="2571"/>
      <c r="E1" s="2571"/>
      <c r="F1" s="2571"/>
      <c r="G1" s="2571"/>
      <c r="H1" s="2571"/>
      <c r="I1" s="2571"/>
      <c r="J1" s="2571"/>
      <c r="K1" s="2571"/>
      <c r="L1" s="2571"/>
      <c r="M1" s="2571"/>
    </row>
    <row r="2" spans="2:14" ht="15" x14ac:dyDescent="0.2">
      <c r="B2" s="2572">
        <f>'Single Audit Cover'!E7</f>
        <v>9010116022</v>
      </c>
      <c r="C2" s="2572"/>
      <c r="D2" s="2572"/>
      <c r="E2" s="2572"/>
      <c r="F2" s="2572"/>
      <c r="G2" s="2572"/>
      <c r="H2" s="2572"/>
      <c r="I2" s="2572"/>
      <c r="J2" s="2572"/>
      <c r="K2" s="2572"/>
      <c r="L2" s="2572"/>
      <c r="M2" s="2572"/>
      <c r="N2" s="1078"/>
    </row>
    <row r="3" spans="2:14" ht="15" x14ac:dyDescent="0.2">
      <c r="B3" s="2573" t="s">
        <v>1210</v>
      </c>
      <c r="C3" s="2573"/>
      <c r="D3" s="2573"/>
      <c r="E3" s="2573"/>
      <c r="F3" s="2573"/>
      <c r="G3" s="2573"/>
      <c r="H3" s="2573"/>
      <c r="I3" s="2573"/>
      <c r="J3" s="2573"/>
      <c r="K3" s="2573"/>
      <c r="L3" s="2573"/>
      <c r="M3" s="2573"/>
      <c r="N3" s="1078"/>
    </row>
    <row r="4" spans="2:14" ht="15" x14ac:dyDescent="0.2">
      <c r="B4" s="2574" t="str">
        <f>'Single Audit Cover'!A4</f>
        <v>Year Ending June 30, 2020</v>
      </c>
      <c r="C4" s="2574"/>
      <c r="D4" s="2574"/>
      <c r="E4" s="2574"/>
      <c r="F4" s="2574"/>
      <c r="G4" s="2574"/>
      <c r="H4" s="2574"/>
      <c r="I4" s="2574"/>
      <c r="J4" s="2574"/>
      <c r="K4" s="2574"/>
      <c r="L4" s="2574"/>
      <c r="M4" s="2574"/>
      <c r="N4" s="1078"/>
    </row>
    <row r="5" spans="2:14" x14ac:dyDescent="0.2">
      <c r="H5" s="1917"/>
      <c r="J5" s="1917"/>
    </row>
    <row r="6" spans="2:14" x14ac:dyDescent="0.2">
      <c r="B6" s="1079"/>
      <c r="C6" s="1080"/>
      <c r="D6" s="1081" t="s">
        <v>1256</v>
      </c>
      <c r="E6" s="1082" t="s">
        <v>524</v>
      </c>
      <c r="F6" s="1083"/>
      <c r="G6" s="1084" t="s">
        <v>1711</v>
      </c>
      <c r="H6" s="1082"/>
      <c r="I6" s="1082"/>
      <c r="J6" s="1918"/>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1712</v>
      </c>
      <c r="D9" s="1090" t="s">
        <v>1713</v>
      </c>
      <c r="E9" s="1916" t="str">
        <f>"7/1/"&amp;MID('AFR20'!$E$2,3,2)-2&amp;"-6/30/"&amp;MID('AFR20'!$E$2,3,2)-1</f>
        <v>7/1/18-6/30/19</v>
      </c>
      <c r="F9" s="1916" t="str">
        <f>"7/1/"&amp;MID('AFR20'!$E$2,3,2)-1&amp;"-6/30/"&amp;MID('AFR20'!$E$2,3,2)</f>
        <v>7/1/19-6/30/20</v>
      </c>
      <c r="G9" s="1916" t="str">
        <f>"7/1/"&amp;MID('AFR20'!$E$2,3,2)-2&amp;"-6/30/"&amp;MID('AFR20'!$E$2,3,2)-1</f>
        <v>7/1/18-6/30/19</v>
      </c>
      <c r="H9" s="1093" t="s">
        <v>1568</v>
      </c>
      <c r="I9" s="1916"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t="s">
        <v>2076</v>
      </c>
      <c r="C11" s="1821"/>
      <c r="D11" s="1822"/>
      <c r="E11" s="1823"/>
      <c r="F11" s="1823"/>
      <c r="G11" s="1823"/>
      <c r="H11" s="1823"/>
      <c r="I11" s="1823"/>
      <c r="J11" s="1823"/>
      <c r="K11" s="1823"/>
      <c r="L11" s="1823">
        <f>+G11+I11+K11</f>
        <v>0</v>
      </c>
      <c r="M11" s="1823"/>
    </row>
    <row r="12" spans="2:14" ht="20.100000000000001" customHeight="1" x14ac:dyDescent="0.2">
      <c r="B12" s="1113" t="s">
        <v>2077</v>
      </c>
      <c r="C12" s="1824"/>
      <c r="D12" s="1825"/>
      <c r="E12" s="1826"/>
      <c r="F12" s="1826"/>
      <c r="G12" s="1826"/>
      <c r="H12" s="1826"/>
      <c r="I12" s="1826"/>
      <c r="J12" s="1826"/>
      <c r="K12" s="1826"/>
      <c r="L12" s="1823">
        <f t="shared" ref="L12:L27" si="0">+G12+I12+K12</f>
        <v>0</v>
      </c>
      <c r="M12" s="1826"/>
    </row>
    <row r="13" spans="2:14" ht="20.100000000000001" customHeight="1" x14ac:dyDescent="0.2">
      <c r="B13" s="1113" t="s">
        <v>2078</v>
      </c>
      <c r="C13" s="1824">
        <v>17.259</v>
      </c>
      <c r="D13" s="1825" t="s">
        <v>2121</v>
      </c>
      <c r="E13" s="1826"/>
      <c r="F13" s="2037">
        <v>117597</v>
      </c>
      <c r="G13" s="1826"/>
      <c r="H13" s="1826"/>
      <c r="I13" s="2037">
        <v>154293</v>
      </c>
      <c r="J13" s="1826"/>
      <c r="K13" s="1826"/>
      <c r="L13" s="1823">
        <f t="shared" si="0"/>
        <v>154293</v>
      </c>
      <c r="M13" s="2037">
        <v>159432</v>
      </c>
    </row>
    <row r="14" spans="2:14" ht="20.100000000000001" customHeight="1" x14ac:dyDescent="0.2">
      <c r="B14" s="1113"/>
      <c r="C14" s="1824">
        <v>17.259</v>
      </c>
      <c r="D14" s="1825" t="s">
        <v>2120</v>
      </c>
      <c r="E14" s="1826">
        <v>120885</v>
      </c>
      <c r="F14" s="2037">
        <v>29765</v>
      </c>
      <c r="G14" s="1826">
        <v>156254</v>
      </c>
      <c r="H14" s="1826"/>
      <c r="I14" s="1826"/>
      <c r="J14" s="1826"/>
      <c r="K14" s="1826"/>
      <c r="L14" s="1823">
        <f t="shared" si="0"/>
        <v>156254</v>
      </c>
      <c r="M14" s="1826">
        <v>156254</v>
      </c>
    </row>
    <row r="15" spans="2:14" ht="20.100000000000001" customHeight="1" x14ac:dyDescent="0.2">
      <c r="B15" s="1113" t="s">
        <v>2079</v>
      </c>
      <c r="C15" s="1824"/>
      <c r="D15" s="1825"/>
      <c r="E15" s="1826">
        <f>E13+E14</f>
        <v>120885</v>
      </c>
      <c r="F15" s="1826">
        <f>F13+F14</f>
        <v>147362</v>
      </c>
      <c r="G15" s="1826">
        <f>G13+G14</f>
        <v>156254</v>
      </c>
      <c r="H15" s="1826"/>
      <c r="I15" s="1826">
        <f>I13+I14</f>
        <v>154293</v>
      </c>
      <c r="J15" s="1826"/>
      <c r="K15" s="1826"/>
      <c r="L15" s="1823">
        <f t="shared" si="0"/>
        <v>310547</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t="s">
        <v>2080</v>
      </c>
      <c r="C17" s="1824"/>
      <c r="D17" s="1825"/>
      <c r="E17" s="1826"/>
      <c r="F17" s="1826"/>
      <c r="G17" s="1826"/>
      <c r="H17" s="1826"/>
      <c r="I17" s="1826"/>
      <c r="J17" s="1826"/>
      <c r="K17" s="1826"/>
      <c r="L17" s="1823">
        <f t="shared" si="0"/>
        <v>0</v>
      </c>
      <c r="M17" s="1826"/>
    </row>
    <row r="18" spans="2:14" ht="20.100000000000001" customHeight="1" x14ac:dyDescent="0.2">
      <c r="B18" s="1113" t="s">
        <v>2081</v>
      </c>
      <c r="C18" s="1824"/>
      <c r="D18" s="1825"/>
      <c r="E18" s="1826"/>
      <c r="F18" s="1826"/>
      <c r="G18" s="1826"/>
      <c r="H18" s="1826"/>
      <c r="I18" s="1826"/>
      <c r="J18" s="1826"/>
      <c r="K18" s="1826"/>
      <c r="L18" s="1823">
        <f t="shared" si="0"/>
        <v>0</v>
      </c>
      <c r="M18" s="1826"/>
    </row>
    <row r="19" spans="2:14" ht="20.100000000000001" customHeight="1" x14ac:dyDescent="0.2">
      <c r="B19" s="1113" t="s">
        <v>2082</v>
      </c>
      <c r="C19" s="1824" t="s">
        <v>2085</v>
      </c>
      <c r="D19" s="1825" t="s">
        <v>2123</v>
      </c>
      <c r="E19" s="1826"/>
      <c r="F19" s="2037">
        <v>55619</v>
      </c>
      <c r="G19" s="1826"/>
      <c r="H19" s="1826"/>
      <c r="I19" s="2037">
        <v>145660</v>
      </c>
      <c r="J19" s="1826"/>
      <c r="K19" s="1826"/>
      <c r="L19" s="1823">
        <f t="shared" si="0"/>
        <v>145660</v>
      </c>
      <c r="M19" s="2037">
        <v>145660</v>
      </c>
    </row>
    <row r="20" spans="2:14" ht="20.100000000000001" customHeight="1" x14ac:dyDescent="0.2">
      <c r="B20" s="1113"/>
      <c r="C20" s="1824" t="s">
        <v>2085</v>
      </c>
      <c r="D20" s="1825" t="s">
        <v>2122</v>
      </c>
      <c r="E20" s="1826">
        <v>59883</v>
      </c>
      <c r="F20" s="2037">
        <v>70387</v>
      </c>
      <c r="G20" s="1826">
        <v>130270</v>
      </c>
      <c r="H20" s="1826"/>
      <c r="I20" s="1826"/>
      <c r="J20" s="1826"/>
      <c r="K20" s="1826"/>
      <c r="L20" s="1823">
        <f t="shared" si="0"/>
        <v>130270</v>
      </c>
      <c r="M20" s="2037">
        <v>130270</v>
      </c>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t="s">
        <v>2064</v>
      </c>
      <c r="C22" s="1824"/>
      <c r="D22" s="1825"/>
      <c r="E22" s="1826"/>
      <c r="F22" s="1826"/>
      <c r="G22" s="1826"/>
      <c r="H22" s="1826"/>
      <c r="I22" s="1826"/>
      <c r="J22" s="1826"/>
      <c r="K22" s="1826"/>
      <c r="L22" s="1823">
        <f t="shared" si="0"/>
        <v>0</v>
      </c>
      <c r="M22" s="1826"/>
    </row>
    <row r="23" spans="2:14" ht="20.100000000000001" customHeight="1" x14ac:dyDescent="0.2">
      <c r="B23" s="1113" t="s">
        <v>2083</v>
      </c>
      <c r="C23" s="1824" t="s">
        <v>2086</v>
      </c>
      <c r="D23" s="1825" t="s">
        <v>2127</v>
      </c>
      <c r="E23" s="1826"/>
      <c r="F23" s="1826">
        <v>1113090</v>
      </c>
      <c r="G23" s="1826"/>
      <c r="H23" s="1826"/>
      <c r="I23" s="1826">
        <v>1688332</v>
      </c>
      <c r="J23" s="1826"/>
      <c r="K23" s="1826"/>
      <c r="L23" s="1823">
        <f t="shared" si="0"/>
        <v>1688332</v>
      </c>
      <c r="M23" s="1826">
        <v>2066834</v>
      </c>
    </row>
    <row r="24" spans="2:14" ht="20.100000000000001" customHeight="1" x14ac:dyDescent="0.2">
      <c r="B24" s="1113"/>
      <c r="C24" s="1824" t="s">
        <v>2086</v>
      </c>
      <c r="D24" s="1825" t="s">
        <v>2126</v>
      </c>
      <c r="E24" s="1826">
        <v>1938321</v>
      </c>
      <c r="F24" s="1826">
        <v>185793</v>
      </c>
      <c r="G24" s="1826">
        <v>2124114</v>
      </c>
      <c r="H24" s="1826"/>
      <c r="I24" s="1826"/>
      <c r="J24" s="1826"/>
      <c r="K24" s="1826"/>
      <c r="L24" s="1823">
        <f t="shared" si="0"/>
        <v>2124114</v>
      </c>
      <c r="M24" s="1826">
        <v>2346221</v>
      </c>
    </row>
    <row r="25" spans="2:14" ht="20.100000000000001" customHeight="1" x14ac:dyDescent="0.2">
      <c r="B25" s="1113" t="s">
        <v>2084</v>
      </c>
      <c r="C25" s="1824" t="s">
        <v>2086</v>
      </c>
      <c r="D25" s="1825" t="s">
        <v>2125</v>
      </c>
      <c r="E25" s="1826"/>
      <c r="F25" s="1826">
        <v>17983</v>
      </c>
      <c r="G25" s="1826"/>
      <c r="H25" s="1826"/>
      <c r="I25" s="1826">
        <v>66099</v>
      </c>
      <c r="J25" s="1826"/>
      <c r="K25" s="1826"/>
      <c r="L25" s="1823">
        <f t="shared" si="0"/>
        <v>66099</v>
      </c>
      <c r="M25" s="1826">
        <v>99217</v>
      </c>
    </row>
    <row r="26" spans="2:14" ht="20.100000000000001" customHeight="1" x14ac:dyDescent="0.2">
      <c r="B26" s="1113"/>
      <c r="C26" s="1824" t="s">
        <v>2086</v>
      </c>
      <c r="D26" s="1825" t="s">
        <v>2124</v>
      </c>
      <c r="E26" s="1826">
        <v>56555</v>
      </c>
      <c r="F26" s="1826">
        <v>29057</v>
      </c>
      <c r="G26" s="1826">
        <v>77317</v>
      </c>
      <c r="H26" s="1826"/>
      <c r="I26" s="1826">
        <v>8295</v>
      </c>
      <c r="J26" s="1826"/>
      <c r="K26" s="1826"/>
      <c r="L26" s="1823">
        <f t="shared" si="0"/>
        <v>85612</v>
      </c>
      <c r="M26" s="1826">
        <v>110870</v>
      </c>
    </row>
    <row r="27" spans="2:14" ht="20.100000000000001" customHeight="1" x14ac:dyDescent="0.2">
      <c r="B27" s="1113" t="s">
        <v>397</v>
      </c>
      <c r="C27" s="1824"/>
      <c r="D27" s="1825"/>
      <c r="E27" s="1826">
        <f>E23+E24+E25+E26</f>
        <v>1994876</v>
      </c>
      <c r="F27" s="1826">
        <f>F23+F24+F25+F26</f>
        <v>1345923</v>
      </c>
      <c r="G27" s="1826">
        <f>G23+G24+G25+G26</f>
        <v>2201431</v>
      </c>
      <c r="H27" s="1826"/>
      <c r="I27" s="1826">
        <f>I23+I24+I25+I26</f>
        <v>1762726</v>
      </c>
      <c r="J27" s="1826"/>
      <c r="K27" s="1826"/>
      <c r="L27" s="1823">
        <f t="shared" si="0"/>
        <v>3964157</v>
      </c>
      <c r="M27" s="1826"/>
      <c r="N27" s="1114"/>
    </row>
    <row r="28" spans="2:14" ht="12.75" customHeight="1" x14ac:dyDescent="0.2">
      <c r="B28" s="1115"/>
      <c r="C28" s="1116"/>
      <c r="D28" s="1117"/>
      <c r="E28" s="1118"/>
      <c r="F28" s="1118"/>
      <c r="G28" s="1118"/>
      <c r="H28" s="1118"/>
      <c r="I28" s="1118"/>
      <c r="J28" s="1118"/>
      <c r="K28" s="1118"/>
      <c r="L28" s="1118"/>
      <c r="M28" s="1118"/>
      <c r="N28" s="1114"/>
    </row>
    <row r="29" spans="2:14" ht="13.5" customHeight="1" x14ac:dyDescent="0.2">
      <c r="B29" s="1058" t="s">
        <v>1714</v>
      </c>
      <c r="C29" s="1119"/>
      <c r="D29" s="1120"/>
      <c r="E29" s="1033"/>
      <c r="F29" s="1033"/>
      <c r="G29" s="1026"/>
      <c r="H29" s="1026"/>
      <c r="I29" s="1026"/>
      <c r="J29" s="1026"/>
      <c r="K29" s="1026"/>
      <c r="L29" s="1026"/>
      <c r="M29" s="1033"/>
      <c r="N29" s="1114"/>
    </row>
    <row r="30" spans="2:14" ht="8.25" customHeight="1" x14ac:dyDescent="0.2">
      <c r="B30" s="1058"/>
      <c r="C30" s="1119"/>
      <c r="D30" s="1120"/>
      <c r="E30" s="1033"/>
      <c r="F30" s="1033"/>
      <c r="G30" s="1026"/>
      <c r="H30" s="1026"/>
      <c r="I30" s="1026"/>
      <c r="J30" s="1026"/>
      <c r="K30" s="1026"/>
      <c r="L30" s="1026"/>
      <c r="M30" s="1033"/>
      <c r="N30" s="1114"/>
    </row>
    <row r="31" spans="2:14" x14ac:dyDescent="0.2">
      <c r="B31" s="1121" t="s">
        <v>1812</v>
      </c>
      <c r="C31" s="1122"/>
      <c r="D31" s="1123"/>
      <c r="E31" s="1124"/>
      <c r="F31" s="1124"/>
      <c r="G31" s="1124"/>
      <c r="H31" s="1124"/>
      <c r="I31" s="295"/>
      <c r="J31" s="295"/>
    </row>
    <row r="32" spans="2:14" x14ac:dyDescent="0.2">
      <c r="B32" s="1053"/>
      <c r="C32" s="1125"/>
      <c r="D32" s="1126"/>
      <c r="E32" s="1054"/>
      <c r="F32" s="1054"/>
      <c r="G32" s="295"/>
      <c r="H32" s="295"/>
      <c r="I32" s="295"/>
      <c r="J32" s="295"/>
    </row>
    <row r="33" spans="2:13" ht="13.5" customHeight="1" x14ac:dyDescent="0.2">
      <c r="B33" s="1052" t="s">
        <v>1237</v>
      </c>
      <c r="G33" s="295"/>
      <c r="H33" s="295"/>
      <c r="I33" s="295"/>
      <c r="J33" s="295"/>
    </row>
    <row r="34" spans="2:13" ht="13.5" customHeight="1" x14ac:dyDescent="0.2">
      <c r="B34" s="1129"/>
      <c r="C34" s="1130"/>
      <c r="D34" s="1131"/>
      <c r="E34" s="1073"/>
      <c r="F34" s="1073"/>
      <c r="G34" s="1073"/>
      <c r="H34" s="1073"/>
      <c r="I34" s="1073"/>
      <c r="J34" s="1073"/>
      <c r="K34" s="1132"/>
      <c r="L34" s="1132"/>
      <c r="M34" s="1073"/>
    </row>
    <row r="35" spans="2:13" ht="9.6" customHeight="1" x14ac:dyDescent="0.2">
      <c r="B35" s="1133"/>
      <c r="G35" s="295"/>
      <c r="H35" s="295"/>
      <c r="I35" s="295"/>
      <c r="J35" s="295"/>
    </row>
    <row r="36" spans="2:13" ht="11.25" customHeight="1" x14ac:dyDescent="0.2">
      <c r="B36" s="1134" t="s">
        <v>1715</v>
      </c>
      <c r="C36" s="1135"/>
      <c r="D36" s="1135"/>
      <c r="E36" s="1135"/>
      <c r="F36" s="1135"/>
      <c r="G36" s="1135"/>
      <c r="H36" s="1135"/>
      <c r="I36" s="1136"/>
      <c r="J36" s="1136"/>
      <c r="K36" s="1136"/>
      <c r="L36" s="1136"/>
      <c r="M36" s="1136"/>
    </row>
    <row r="37" spans="2:13" ht="11.25" customHeight="1" x14ac:dyDescent="0.2">
      <c r="B37" s="1137" t="s">
        <v>1570</v>
      </c>
      <c r="C37" s="1136"/>
      <c r="D37" s="1136"/>
      <c r="E37" s="1136"/>
      <c r="F37" s="1136"/>
      <c r="G37" s="1136"/>
      <c r="H37" s="1136"/>
      <c r="I37" s="1136"/>
      <c r="J37" s="1136"/>
      <c r="K37" s="1136"/>
      <c r="L37" s="1136"/>
      <c r="M37" s="1136"/>
    </row>
    <row r="38" spans="2:13" ht="3.95" customHeight="1" x14ac:dyDescent="0.2">
      <c r="B38" s="1137"/>
      <c r="C38" s="1136"/>
      <c r="D38" s="1136"/>
      <c r="E38" s="1136"/>
      <c r="F38" s="1136"/>
      <c r="G38" s="1136"/>
      <c r="H38" s="1136"/>
      <c r="I38" s="1136"/>
      <c r="J38" s="1136"/>
      <c r="K38" s="1136"/>
      <c r="L38" s="1136"/>
      <c r="M38" s="1136"/>
    </row>
    <row r="39" spans="2:13" ht="11.25" customHeight="1" x14ac:dyDescent="0.2">
      <c r="B39" s="1134" t="s">
        <v>1716</v>
      </c>
      <c r="C39" s="1136"/>
      <c r="D39" s="1136"/>
      <c r="E39" s="1136"/>
      <c r="F39" s="1136"/>
      <c r="G39" s="1136"/>
      <c r="H39" s="1136"/>
      <c r="I39" s="1136"/>
      <c r="J39" s="1136"/>
      <c r="K39" s="1136"/>
      <c r="L39" s="1136"/>
      <c r="M39" s="1136"/>
    </row>
    <row r="40" spans="2:13" ht="11.25" customHeight="1" x14ac:dyDescent="0.2">
      <c r="B40" s="1076" t="s">
        <v>1571</v>
      </c>
      <c r="C40" s="1138"/>
      <c r="D40" s="1139"/>
      <c r="E40" s="1076"/>
      <c r="F40" s="1076"/>
      <c r="G40" s="1076"/>
      <c r="H40" s="1076"/>
      <c r="I40" s="1076"/>
      <c r="J40" s="1076"/>
      <c r="K40" s="1140"/>
      <c r="L40" s="1140"/>
      <c r="M40" s="1076"/>
    </row>
    <row r="41" spans="2:13" ht="3.95" customHeight="1" x14ac:dyDescent="0.2">
      <c r="B41" s="1076"/>
      <c r="C41" s="1138"/>
      <c r="D41" s="1139"/>
      <c r="E41" s="1076"/>
      <c r="F41" s="1076"/>
      <c r="G41" s="1076"/>
      <c r="H41" s="1076"/>
      <c r="I41" s="1076"/>
      <c r="J41" s="1076"/>
      <c r="K41" s="1140"/>
      <c r="L41" s="1140"/>
      <c r="M41" s="1076"/>
    </row>
    <row r="42" spans="2:13" ht="11.25" customHeight="1" x14ac:dyDescent="0.2">
      <c r="B42" s="1141" t="s">
        <v>1717</v>
      </c>
      <c r="C42" s="1138"/>
      <c r="D42" s="1139"/>
      <c r="E42" s="1076"/>
      <c r="F42" s="1076"/>
      <c r="G42" s="1076"/>
      <c r="H42" s="1076"/>
      <c r="I42" s="1076"/>
      <c r="J42" s="1076"/>
      <c r="K42" s="1140"/>
      <c r="L42" s="1140"/>
      <c r="M42" s="1076"/>
    </row>
    <row r="43" spans="2:13" ht="3.95" customHeight="1" x14ac:dyDescent="0.2">
      <c r="B43" s="1141"/>
      <c r="C43" s="1138"/>
      <c r="D43" s="1139"/>
      <c r="E43" s="1076"/>
      <c r="F43" s="1076"/>
      <c r="G43" s="1076"/>
      <c r="H43" s="1076"/>
      <c r="I43" s="1076"/>
      <c r="J43" s="1076"/>
      <c r="K43" s="1140"/>
      <c r="L43" s="1140"/>
      <c r="M43" s="1076"/>
    </row>
    <row r="44" spans="2:13" ht="11.25" customHeight="1" x14ac:dyDescent="0.2">
      <c r="B44" s="1142" t="s">
        <v>1718</v>
      </c>
      <c r="C44" s="1138"/>
      <c r="D44" s="1139"/>
      <c r="E44" s="1076"/>
      <c r="F44" s="1076"/>
      <c r="G44" s="1076"/>
      <c r="H44" s="1076"/>
      <c r="I44" s="1076"/>
      <c r="J44" s="1076"/>
      <c r="K44" s="1140"/>
      <c r="L44" s="1140"/>
      <c r="M44" s="1076"/>
    </row>
    <row r="45" spans="2:13" ht="11.25" customHeight="1" x14ac:dyDescent="0.2">
      <c r="B45" s="1076" t="s">
        <v>1572</v>
      </c>
      <c r="G45" s="295"/>
      <c r="H45" s="295"/>
      <c r="I45" s="295"/>
      <c r="J45" s="295"/>
    </row>
    <row r="46" spans="2:13" ht="11.1" customHeight="1" x14ac:dyDescent="0.2">
      <c r="B46" s="1076"/>
      <c r="G46" s="295"/>
      <c r="H46" s="295"/>
      <c r="I46" s="295"/>
      <c r="J46" s="295"/>
    </row>
    <row r="47" spans="2:13" ht="11.1" customHeight="1" x14ac:dyDescent="0.2">
      <c r="B47" s="1076"/>
      <c r="G47" s="295"/>
      <c r="H47" s="295"/>
      <c r="I47" s="295"/>
      <c r="J47" s="295"/>
    </row>
    <row r="48" spans="2:13" ht="13.5" customHeight="1" x14ac:dyDescent="0.2">
      <c r="M48" s="1143"/>
    </row>
    <row r="49" spans="7:13" ht="13.5" customHeight="1" x14ac:dyDescent="0.2">
      <c r="M49" s="1143"/>
    </row>
    <row r="50" spans="7:13" ht="13.5" customHeight="1" x14ac:dyDescent="0.2">
      <c r="M50" s="1143"/>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9" t="s">
        <v>1160</v>
      </c>
      <c r="B2" s="2159"/>
      <c r="C2" s="2159"/>
      <c r="D2" s="2159"/>
      <c r="E2" s="2159"/>
      <c r="F2" s="2159"/>
      <c r="G2" s="2159"/>
      <c r="H2" s="2159"/>
      <c r="I2" s="2159"/>
      <c r="J2" s="2159"/>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2048</v>
      </c>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73" t="s">
        <v>1619</v>
      </c>
      <c r="B35" s="2174"/>
      <c r="C35" s="2174"/>
      <c r="D35" s="2174"/>
      <c r="E35" s="2175"/>
      <c r="F35" s="2175"/>
      <c r="G35" s="2175"/>
      <c r="H35" s="2175"/>
      <c r="I35" s="217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3" t="s">
        <v>310</v>
      </c>
      <c r="B47" s="2176"/>
      <c r="C47" s="2176"/>
      <c r="D47" s="2176"/>
      <c r="E47" s="2177"/>
      <c r="F47" s="2177"/>
      <c r="G47" s="2177"/>
      <c r="H47" s="2177"/>
      <c r="I47" s="217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2048</v>
      </c>
      <c r="C53" s="174">
        <v>22</v>
      </c>
      <c r="D53" s="242" t="s">
        <v>1448</v>
      </c>
      <c r="E53" s="243"/>
      <c r="F53" s="244"/>
      <c r="G53" s="244" t="s">
        <v>1447</v>
      </c>
      <c r="H53" s="245">
        <v>35370</v>
      </c>
      <c r="I53" s="232" t="s">
        <v>1469</v>
      </c>
    </row>
    <row r="54" spans="1:10" s="176" customFormat="1" x14ac:dyDescent="0.2">
      <c r="A54" s="214"/>
      <c r="B54" s="215" t="s">
        <v>2048</v>
      </c>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0" t="s">
        <v>2162</v>
      </c>
      <c r="C57" s="2181"/>
      <c r="D57" s="2181"/>
      <c r="E57" s="2181"/>
      <c r="F57" s="2181"/>
      <c r="G57" s="2181"/>
      <c r="H57" s="2181"/>
      <c r="I57" s="2181"/>
      <c r="J57" s="2182"/>
    </row>
    <row r="58" spans="1:10" s="176" customFormat="1" x14ac:dyDescent="0.2">
      <c r="A58" s="248"/>
      <c r="B58" s="2183"/>
      <c r="C58" s="2184"/>
      <c r="D58" s="2184"/>
      <c r="E58" s="2184"/>
      <c r="F58" s="2184"/>
      <c r="G58" s="2184"/>
      <c r="H58" s="2184"/>
      <c r="I58" s="2184"/>
      <c r="J58" s="2185"/>
    </row>
    <row r="59" spans="1:10" s="176" customFormat="1" x14ac:dyDescent="0.2">
      <c r="A59" s="248"/>
      <c r="B59" s="2183"/>
      <c r="C59" s="2184"/>
      <c r="D59" s="2184"/>
      <c r="E59" s="2184"/>
      <c r="F59" s="2184"/>
      <c r="G59" s="2184"/>
      <c r="H59" s="2184"/>
      <c r="I59" s="2184"/>
      <c r="J59" s="2185"/>
    </row>
    <row r="60" spans="1:10" s="176" customFormat="1" x14ac:dyDescent="0.2">
      <c r="A60" s="248"/>
      <c r="B60" s="2183"/>
      <c r="C60" s="2184"/>
      <c r="D60" s="2184"/>
      <c r="E60" s="2184"/>
      <c r="F60" s="2184"/>
      <c r="G60" s="2184"/>
      <c r="H60" s="2184"/>
      <c r="I60" s="2184"/>
      <c r="J60" s="2185"/>
    </row>
    <row r="61" spans="1:10" s="176" customFormat="1" x14ac:dyDescent="0.2">
      <c r="A61" s="248"/>
      <c r="B61" s="2183"/>
      <c r="C61" s="2184"/>
      <c r="D61" s="2184"/>
      <c r="E61" s="2184"/>
      <c r="F61" s="2184"/>
      <c r="G61" s="2184"/>
      <c r="H61" s="2184"/>
      <c r="I61" s="2184"/>
      <c r="J61" s="2185"/>
    </row>
    <row r="62" spans="1:10" s="176" customFormat="1" x14ac:dyDescent="0.2">
      <c r="A62" s="248"/>
      <c r="B62" s="2183"/>
      <c r="C62" s="2184"/>
      <c r="D62" s="2184"/>
      <c r="E62" s="2184"/>
      <c r="F62" s="2184"/>
      <c r="G62" s="2184"/>
      <c r="H62" s="2184"/>
      <c r="I62" s="2184"/>
      <c r="J62" s="2185"/>
    </row>
    <row r="63" spans="1:10" s="176" customFormat="1" x14ac:dyDescent="0.2">
      <c r="A63" s="248"/>
      <c r="B63" s="2183"/>
      <c r="C63" s="2184"/>
      <c r="D63" s="2184"/>
      <c r="E63" s="2184"/>
      <c r="F63" s="2184"/>
      <c r="G63" s="2184"/>
      <c r="H63" s="2184"/>
      <c r="I63" s="2184"/>
      <c r="J63" s="2185"/>
    </row>
    <row r="64" spans="1:10" s="176" customFormat="1" x14ac:dyDescent="0.2">
      <c r="A64" s="248"/>
      <c r="B64" s="2183"/>
      <c r="C64" s="2184"/>
      <c r="D64" s="2184"/>
      <c r="E64" s="2184"/>
      <c r="F64" s="2184"/>
      <c r="G64" s="2184"/>
      <c r="H64" s="2184"/>
      <c r="I64" s="2184"/>
      <c r="J64" s="2185"/>
    </row>
    <row r="65" spans="1:11" s="176" customFormat="1" x14ac:dyDescent="0.2">
      <c r="A65" s="248"/>
      <c r="B65" s="2183"/>
      <c r="C65" s="2184"/>
      <c r="D65" s="2184"/>
      <c r="E65" s="2184"/>
      <c r="F65" s="2184"/>
      <c r="G65" s="2184"/>
      <c r="H65" s="2184"/>
      <c r="I65" s="2184"/>
      <c r="J65" s="2185"/>
    </row>
    <row r="66" spans="1:11" s="176" customFormat="1" x14ac:dyDescent="0.2">
      <c r="A66" s="248"/>
      <c r="B66" s="2183"/>
      <c r="C66" s="2184"/>
      <c r="D66" s="2184"/>
      <c r="E66" s="2184"/>
      <c r="F66" s="2184"/>
      <c r="G66" s="2184"/>
      <c r="H66" s="2184"/>
      <c r="I66" s="2184"/>
      <c r="J66" s="2185"/>
    </row>
    <row r="67" spans="1:11" s="176" customFormat="1" ht="9" customHeight="1" x14ac:dyDescent="0.2">
      <c r="A67" s="249"/>
      <c r="B67" s="2186"/>
      <c r="C67" s="2187"/>
      <c r="D67" s="2187"/>
      <c r="E67" s="2187"/>
      <c r="F67" s="2187"/>
      <c r="G67" s="2187"/>
      <c r="H67" s="2187"/>
      <c r="I67" s="2187"/>
      <c r="J67" s="218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3" t="s">
        <v>1314</v>
      </c>
      <c r="B70" s="2176"/>
      <c r="C70" s="2176"/>
      <c r="D70" s="2176"/>
      <c r="E70" s="2177"/>
      <c r="F70" s="2177"/>
      <c r="G70" s="2177"/>
      <c r="H70" s="2177"/>
      <c r="I70" s="2177"/>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471"/>
      <c r="J77" s="256">
        <v>44089</v>
      </c>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8" t="s">
        <v>1311</v>
      </c>
      <c r="B83" s="2178"/>
      <c r="C83" s="2178"/>
      <c r="D83" s="2179"/>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9" t="s">
        <v>1989</v>
      </c>
      <c r="B85" s="2189"/>
      <c r="C85" s="2189"/>
      <c r="D85" s="2190"/>
      <c r="E85" s="1544">
        <v>0</v>
      </c>
      <c r="F85" s="1544">
        <v>0</v>
      </c>
      <c r="G85" s="1544">
        <v>0</v>
      </c>
      <c r="H85" s="1544">
        <v>0</v>
      </c>
      <c r="I85" s="1904">
        <v>0</v>
      </c>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1312</v>
      </c>
      <c r="B87" s="271"/>
      <c r="C87" s="272"/>
      <c r="D87" s="269"/>
      <c r="E87" s="264"/>
      <c r="F87" s="264"/>
      <c r="G87" s="264"/>
      <c r="H87" s="264"/>
      <c r="I87" s="265"/>
      <c r="J87" s="1728"/>
    </row>
    <row r="88" spans="1:10" s="176" customFormat="1" ht="13.5" customHeight="1" x14ac:dyDescent="0.2">
      <c r="A88" s="2191" t="s">
        <v>1989</v>
      </c>
      <c r="B88" s="2192"/>
      <c r="C88" s="2192"/>
      <c r="D88" s="2193"/>
      <c r="E88" s="1544">
        <v>112403</v>
      </c>
      <c r="F88" s="1544">
        <v>0</v>
      </c>
      <c r="G88" s="1544">
        <v>135576.95999999999</v>
      </c>
      <c r="H88" s="1544">
        <v>106812.97</v>
      </c>
      <c r="I88" s="1904">
        <v>0</v>
      </c>
      <c r="J88" s="1727">
        <f>SUM(E88:I88)</f>
        <v>354792.93</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354792.93</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60"/>
      <c r="C102" s="2161"/>
      <c r="D102" s="2161"/>
      <c r="E102" s="2161"/>
      <c r="F102" s="2161"/>
      <c r="G102" s="2161"/>
      <c r="H102" s="2161"/>
      <c r="I102" s="2162"/>
    </row>
    <row r="103" spans="1:9" s="176" customFormat="1" ht="11.25" customHeight="1" x14ac:dyDescent="0.2">
      <c r="A103" s="294"/>
      <c r="B103" s="2163"/>
      <c r="C103" s="2164"/>
      <c r="D103" s="2164"/>
      <c r="E103" s="2164"/>
      <c r="F103" s="2164"/>
      <c r="G103" s="2164"/>
      <c r="H103" s="2164"/>
      <c r="I103" s="2165"/>
    </row>
    <row r="104" spans="1:9" s="176" customFormat="1" ht="11.25" customHeight="1" x14ac:dyDescent="0.2">
      <c r="A104" s="294"/>
      <c r="B104" s="2163"/>
      <c r="C104" s="2164"/>
      <c r="D104" s="2164"/>
      <c r="E104" s="2164"/>
      <c r="F104" s="2164"/>
      <c r="G104" s="2164"/>
      <c r="H104" s="2164"/>
      <c r="I104" s="2165"/>
    </row>
    <row r="105" spans="1:9" s="176" customFormat="1" x14ac:dyDescent="0.2">
      <c r="A105" s="294"/>
      <c r="B105" s="2163"/>
      <c r="C105" s="2164"/>
      <c r="D105" s="2164"/>
      <c r="E105" s="2164"/>
      <c r="F105" s="2164"/>
      <c r="G105" s="2164"/>
      <c r="H105" s="2164"/>
      <c r="I105" s="2165"/>
    </row>
    <row r="106" spans="1:9" s="176" customFormat="1" ht="11.25" customHeight="1" x14ac:dyDescent="0.2">
      <c r="A106" s="294"/>
      <c r="B106" s="2163"/>
      <c r="C106" s="2164"/>
      <c r="D106" s="2164"/>
      <c r="E106" s="2164"/>
      <c r="F106" s="2164"/>
      <c r="G106" s="2164"/>
      <c r="H106" s="2164"/>
      <c r="I106" s="2165"/>
    </row>
    <row r="107" spans="1:9" s="176" customFormat="1" ht="11.25" customHeight="1" x14ac:dyDescent="0.2">
      <c r="A107" s="294"/>
      <c r="B107" s="2163"/>
      <c r="C107" s="2164"/>
      <c r="D107" s="2164"/>
      <c r="E107" s="2164"/>
      <c r="F107" s="2164"/>
      <c r="G107" s="2164"/>
      <c r="H107" s="2164"/>
      <c r="I107" s="2165"/>
    </row>
    <row r="108" spans="1:9" s="176" customFormat="1" ht="11.25" customHeight="1" x14ac:dyDescent="0.2">
      <c r="A108" s="294"/>
      <c r="B108" s="2163"/>
      <c r="C108" s="2164"/>
      <c r="D108" s="2164"/>
      <c r="E108" s="2164"/>
      <c r="F108" s="2164"/>
      <c r="G108" s="2164"/>
      <c r="H108" s="2164"/>
      <c r="I108" s="2165"/>
    </row>
    <row r="109" spans="1:9" s="176" customFormat="1" ht="11.25" customHeight="1" x14ac:dyDescent="0.2">
      <c r="A109" s="294"/>
      <c r="B109" s="2163"/>
      <c r="C109" s="2164"/>
      <c r="D109" s="2164"/>
      <c r="E109" s="2164"/>
      <c r="F109" s="2164"/>
      <c r="G109" s="2164"/>
      <c r="H109" s="2164"/>
      <c r="I109" s="2165"/>
    </row>
    <row r="110" spans="1:9" s="176" customFormat="1" ht="11.25" customHeight="1" x14ac:dyDescent="0.2">
      <c r="A110" s="294"/>
      <c r="B110" s="2163"/>
      <c r="C110" s="2164"/>
      <c r="D110" s="2164"/>
      <c r="E110" s="2164"/>
      <c r="F110" s="2164"/>
      <c r="G110" s="2164"/>
      <c r="H110" s="2164"/>
      <c r="I110" s="2165"/>
    </row>
    <row r="111" spans="1:9" s="176" customFormat="1" ht="11.25" customHeight="1" x14ac:dyDescent="0.2">
      <c r="A111" s="294"/>
      <c r="B111" s="2163"/>
      <c r="C111" s="2164"/>
      <c r="D111" s="2164"/>
      <c r="E111" s="2164"/>
      <c r="F111" s="2164"/>
      <c r="G111" s="2164"/>
      <c r="H111" s="2164"/>
      <c r="I111" s="2165"/>
    </row>
    <row r="112" spans="1:9" s="176" customFormat="1" ht="11.25" customHeight="1" x14ac:dyDescent="0.2">
      <c r="A112" s="294"/>
      <c r="B112" s="2166"/>
      <c r="C112" s="2167"/>
      <c r="D112" s="2167"/>
      <c r="E112" s="2167"/>
      <c r="F112" s="2167"/>
      <c r="G112" s="2167"/>
      <c r="H112" s="2167"/>
      <c r="I112" s="216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9" t="s">
        <v>2052</v>
      </c>
      <c r="D114" s="2169"/>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0" t="s">
        <v>1321</v>
      </c>
      <c r="D117" s="2171"/>
      <c r="E117" s="2172"/>
      <c r="F117" s="2172"/>
      <c r="G117" s="2172"/>
      <c r="H117" s="2172"/>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48AB3-E6CC-42E1-82BB-81469DEE3ECC}">
  <dimension ref="B1:N154"/>
  <sheetViews>
    <sheetView showGridLines="0" topLeftCell="A4" zoomScaleNormal="100" workbookViewId="0">
      <selection activeCell="I21" sqref="I21:I22"/>
    </sheetView>
  </sheetViews>
  <sheetFormatPr defaultColWidth="33.5703125" defaultRowHeight="12.75" x14ac:dyDescent="0.2"/>
  <cols>
    <col min="1" max="1" width="0.140625" style="295" customWidth="1"/>
    <col min="2" max="2" width="36.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9" t="str">
        <f>'Single Audit Cover'!A7</f>
        <v xml:space="preserve"> Urbana SD 116</v>
      </c>
      <c r="C1" s="2571"/>
      <c r="D1" s="2571"/>
      <c r="E1" s="2571"/>
      <c r="F1" s="2571"/>
      <c r="G1" s="2571"/>
      <c r="H1" s="2571"/>
      <c r="I1" s="2571"/>
      <c r="J1" s="2571"/>
      <c r="K1" s="2571"/>
      <c r="L1" s="2571"/>
      <c r="M1" s="2571"/>
    </row>
    <row r="2" spans="2:14" ht="15" x14ac:dyDescent="0.2">
      <c r="B2" s="2572">
        <f>'Single Audit Cover'!E7</f>
        <v>9010116022</v>
      </c>
      <c r="C2" s="2572"/>
      <c r="D2" s="2572"/>
      <c r="E2" s="2572"/>
      <c r="F2" s="2572"/>
      <c r="G2" s="2572"/>
      <c r="H2" s="2572"/>
      <c r="I2" s="2572"/>
      <c r="J2" s="2572"/>
      <c r="K2" s="2572"/>
      <c r="L2" s="2572"/>
      <c r="M2" s="2572"/>
      <c r="N2" s="1078"/>
    </row>
    <row r="3" spans="2:14" ht="15" x14ac:dyDescent="0.2">
      <c r="B3" s="2573" t="s">
        <v>1210</v>
      </c>
      <c r="C3" s="2573"/>
      <c r="D3" s="2573"/>
      <c r="E3" s="2573"/>
      <c r="F3" s="2573"/>
      <c r="G3" s="2573"/>
      <c r="H3" s="2573"/>
      <c r="I3" s="2573"/>
      <c r="J3" s="2573"/>
      <c r="K3" s="2573"/>
      <c r="L3" s="2573"/>
      <c r="M3" s="2573"/>
      <c r="N3" s="1078"/>
    </row>
    <row r="4" spans="2:14" ht="15" x14ac:dyDescent="0.2">
      <c r="B4" s="2574" t="str">
        <f>'Single Audit Cover'!A4</f>
        <v>Year Ending June 30, 2020</v>
      </c>
      <c r="C4" s="2574"/>
      <c r="D4" s="2574"/>
      <c r="E4" s="2574"/>
      <c r="F4" s="2574"/>
      <c r="G4" s="2574"/>
      <c r="H4" s="2574"/>
      <c r="I4" s="2574"/>
      <c r="J4" s="2574"/>
      <c r="K4" s="2574"/>
      <c r="L4" s="2574"/>
      <c r="M4" s="2574"/>
      <c r="N4" s="1078"/>
    </row>
    <row r="5" spans="2:14" x14ac:dyDescent="0.2">
      <c r="H5" s="1917"/>
      <c r="J5" s="1917"/>
    </row>
    <row r="6" spans="2:14" x14ac:dyDescent="0.2">
      <c r="B6" s="1079"/>
      <c r="C6" s="1080"/>
      <c r="D6" s="1081" t="s">
        <v>1256</v>
      </c>
      <c r="E6" s="1082" t="s">
        <v>524</v>
      </c>
      <c r="F6" s="1083"/>
      <c r="G6" s="1084" t="s">
        <v>1711</v>
      </c>
      <c r="H6" s="1082"/>
      <c r="I6" s="1082"/>
      <c r="J6" s="1918"/>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1712</v>
      </c>
      <c r="D9" s="1090" t="s">
        <v>1713</v>
      </c>
      <c r="E9" s="1916" t="str">
        <f>"7/1/"&amp;MID('AFR20'!$E$2,3,2)-2&amp;"-6/30/"&amp;MID('AFR20'!$E$2,3,2)-1</f>
        <v>7/1/18-6/30/19</v>
      </c>
      <c r="F9" s="1916" t="str">
        <f>"7/1/"&amp;MID('AFR20'!$E$2,3,2)-1&amp;"-6/30/"&amp;MID('AFR20'!$E$2,3,2)</f>
        <v>7/1/19-6/30/20</v>
      </c>
      <c r="G9" s="1916" t="str">
        <f>"7/1/"&amp;MID('AFR20'!$E$2,3,2)-2&amp;"-6/30/"&amp;MID('AFR20'!$E$2,3,2)-1</f>
        <v>7/1/18-6/30/19</v>
      </c>
      <c r="H9" s="1093" t="s">
        <v>1568</v>
      </c>
      <c r="I9" s="1916"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t="s">
        <v>2087</v>
      </c>
      <c r="C11" s="1821"/>
      <c r="D11" s="1822"/>
      <c r="E11" s="1823"/>
      <c r="F11" s="1823"/>
      <c r="G11" s="1823"/>
      <c r="H11" s="1823"/>
      <c r="I11" s="1823"/>
      <c r="J11" s="1823"/>
      <c r="K11" s="1823"/>
      <c r="L11" s="1823">
        <f>+G11+I11+K11</f>
        <v>0</v>
      </c>
      <c r="M11" s="1823"/>
    </row>
    <row r="12" spans="2:14" ht="20.100000000000001" customHeight="1" x14ac:dyDescent="0.2">
      <c r="B12" s="1113" t="s">
        <v>2088</v>
      </c>
      <c r="C12" s="1824" t="s">
        <v>2086</v>
      </c>
      <c r="D12" s="1825" t="s">
        <v>2128</v>
      </c>
      <c r="E12" s="1826"/>
      <c r="F12" s="1826">
        <v>225115</v>
      </c>
      <c r="G12" s="1826"/>
      <c r="H12" s="1826"/>
      <c r="I12" s="1826">
        <v>225115</v>
      </c>
      <c r="J12" s="1826"/>
      <c r="K12" s="1826"/>
      <c r="L12" s="1823">
        <f t="shared" ref="L12:L30" si="0">+G12+I12+K12</f>
        <v>225115</v>
      </c>
      <c r="M12" s="1826">
        <v>308179</v>
      </c>
    </row>
    <row r="13" spans="2:14" ht="20.100000000000001" customHeight="1" x14ac:dyDescent="0.2">
      <c r="B13" s="1113"/>
      <c r="C13" s="1824" t="s">
        <v>2086</v>
      </c>
      <c r="D13" s="1825" t="s">
        <v>2099</v>
      </c>
      <c r="E13" s="1826">
        <v>2305</v>
      </c>
      <c r="F13" s="1826">
        <v>78998</v>
      </c>
      <c r="G13" s="1826">
        <v>81303</v>
      </c>
      <c r="H13" s="1826"/>
      <c r="I13" s="1826"/>
      <c r="J13" s="1826"/>
      <c r="K13" s="1826"/>
      <c r="L13" s="1823">
        <f>G13+I13+K13</f>
        <v>81303</v>
      </c>
      <c r="M13" s="1826">
        <v>382532</v>
      </c>
    </row>
    <row r="14" spans="2:14" ht="20.100000000000001" customHeight="1" x14ac:dyDescent="0.2">
      <c r="B14" s="1113" t="s">
        <v>2089</v>
      </c>
      <c r="C14" s="1824" t="s">
        <v>2095</v>
      </c>
      <c r="D14" s="1825" t="s">
        <v>2129</v>
      </c>
      <c r="E14" s="1826"/>
      <c r="F14" s="1826">
        <v>31117</v>
      </c>
      <c r="G14" s="1826"/>
      <c r="H14" s="1826"/>
      <c r="I14" s="1826">
        <v>48944</v>
      </c>
      <c r="J14" s="1826"/>
      <c r="K14" s="1826"/>
      <c r="L14" s="1823">
        <f t="shared" si="0"/>
        <v>48944</v>
      </c>
      <c r="M14" s="1826">
        <v>53184</v>
      </c>
    </row>
    <row r="15" spans="2:14" ht="20.100000000000001" customHeight="1" x14ac:dyDescent="0.2">
      <c r="B15" s="1113"/>
      <c r="C15" s="1824" t="s">
        <v>2095</v>
      </c>
      <c r="D15" s="1825" t="s">
        <v>2100</v>
      </c>
      <c r="E15" s="1826">
        <v>14423</v>
      </c>
      <c r="F15" s="1826">
        <v>22732</v>
      </c>
      <c r="G15" s="1826">
        <v>37155</v>
      </c>
      <c r="H15" s="1826"/>
      <c r="I15" s="1826"/>
      <c r="J15" s="1826"/>
      <c r="K15" s="1826"/>
      <c r="L15" s="1823">
        <f t="shared" si="0"/>
        <v>37155</v>
      </c>
      <c r="M15" s="1826">
        <v>53184</v>
      </c>
    </row>
    <row r="16" spans="2:14" ht="20.100000000000001" customHeight="1" x14ac:dyDescent="0.2">
      <c r="B16" s="1113"/>
      <c r="C16" s="1824"/>
      <c r="D16" s="1825"/>
      <c r="E16" s="1826"/>
      <c r="F16" s="1826"/>
      <c r="G16" s="1826"/>
      <c r="H16" s="1826"/>
      <c r="I16" s="1826"/>
      <c r="J16" s="1826"/>
      <c r="K16" s="1826"/>
      <c r="L16" s="1823"/>
      <c r="M16" s="1826"/>
    </row>
    <row r="17" spans="2:14" ht="20.100000000000001" customHeight="1" x14ac:dyDescent="0.2">
      <c r="B17" s="1113" t="s">
        <v>2142</v>
      </c>
      <c r="C17" s="1824" t="s">
        <v>2143</v>
      </c>
      <c r="D17" s="1825" t="s">
        <v>2138</v>
      </c>
      <c r="E17" s="1826"/>
      <c r="F17" s="1826">
        <v>20128</v>
      </c>
      <c r="G17" s="1826"/>
      <c r="H17" s="1826"/>
      <c r="I17" s="1826">
        <v>20128</v>
      </c>
      <c r="J17" s="1826"/>
      <c r="K17" s="1826"/>
      <c r="L17" s="1823">
        <f>G17+I17+K17</f>
        <v>20128</v>
      </c>
      <c r="M17" s="1826">
        <v>38059</v>
      </c>
    </row>
    <row r="18" spans="2:14" ht="20.100000000000001" customHeight="1" x14ac:dyDescent="0.2">
      <c r="B18" s="1113"/>
      <c r="C18" s="1824"/>
      <c r="D18" s="1825"/>
      <c r="E18" s="1826"/>
      <c r="F18" s="1826"/>
      <c r="G18" s="1826"/>
      <c r="H18" s="1826"/>
      <c r="I18" s="1826"/>
      <c r="J18" s="1826"/>
      <c r="K18" s="1826"/>
      <c r="L18" s="1823"/>
      <c r="M18" s="1826"/>
    </row>
    <row r="19" spans="2:14" ht="20.100000000000001" customHeight="1" x14ac:dyDescent="0.2">
      <c r="B19" s="1113" t="s">
        <v>2090</v>
      </c>
      <c r="C19" s="1824" t="s">
        <v>2096</v>
      </c>
      <c r="D19" s="1825" t="s">
        <v>2132</v>
      </c>
      <c r="E19" s="1826"/>
      <c r="F19" s="1826">
        <v>51385</v>
      </c>
      <c r="G19" s="1826"/>
      <c r="H19" s="1826"/>
      <c r="I19" s="1826">
        <v>70863</v>
      </c>
      <c r="J19" s="1826"/>
      <c r="K19" s="1826"/>
      <c r="L19" s="1823">
        <f t="shared" si="0"/>
        <v>70863</v>
      </c>
      <c r="M19" s="1826">
        <v>93605</v>
      </c>
    </row>
    <row r="20" spans="2:14" ht="20.100000000000001" customHeight="1" x14ac:dyDescent="0.2">
      <c r="B20" s="1113"/>
      <c r="C20" s="1824" t="s">
        <v>2096</v>
      </c>
      <c r="D20" s="1825" t="s">
        <v>2133</v>
      </c>
      <c r="E20" s="1826">
        <v>24919</v>
      </c>
      <c r="F20" s="1826">
        <v>32426</v>
      </c>
      <c r="G20" s="1826">
        <v>57345</v>
      </c>
      <c r="H20" s="1826"/>
      <c r="I20" s="1826"/>
      <c r="J20" s="1826"/>
      <c r="K20" s="1826"/>
      <c r="L20" s="1823">
        <f t="shared" si="0"/>
        <v>57345</v>
      </c>
      <c r="M20" s="1826">
        <v>79226</v>
      </c>
    </row>
    <row r="21" spans="2:14" ht="20.100000000000001" customHeight="1" x14ac:dyDescent="0.2">
      <c r="B21" s="1113" t="s">
        <v>2091</v>
      </c>
      <c r="C21" s="1824" t="s">
        <v>2097</v>
      </c>
      <c r="D21" s="1825" t="s">
        <v>2134</v>
      </c>
      <c r="E21" s="1826"/>
      <c r="F21" s="1826">
        <v>846578</v>
      </c>
      <c r="G21" s="1826"/>
      <c r="H21" s="1826"/>
      <c r="I21" s="1826">
        <v>1202390</v>
      </c>
      <c r="J21" s="1826"/>
      <c r="K21" s="1826"/>
      <c r="L21" s="1823">
        <f t="shared" si="0"/>
        <v>1202390</v>
      </c>
      <c r="M21" s="1826">
        <v>1335463</v>
      </c>
    </row>
    <row r="22" spans="2:14" ht="20.100000000000001" customHeight="1" x14ac:dyDescent="0.2">
      <c r="B22" s="1113"/>
      <c r="C22" s="1824" t="s">
        <v>2097</v>
      </c>
      <c r="D22" s="1825" t="s">
        <v>2135</v>
      </c>
      <c r="E22" s="1826">
        <v>1098879</v>
      </c>
      <c r="F22" s="1826">
        <v>111052</v>
      </c>
      <c r="G22" s="1826">
        <v>1221694</v>
      </c>
      <c r="H22" s="1826"/>
      <c r="I22" s="1826">
        <v>-11763</v>
      </c>
      <c r="J22" s="1826"/>
      <c r="K22" s="1826"/>
      <c r="L22" s="1823">
        <f t="shared" si="0"/>
        <v>1209931</v>
      </c>
      <c r="M22" s="1826">
        <v>1442477</v>
      </c>
    </row>
    <row r="23" spans="2:14" ht="20.100000000000001" customHeight="1" x14ac:dyDescent="0.2">
      <c r="B23" s="1113" t="s">
        <v>2092</v>
      </c>
      <c r="C23" s="1824" t="s">
        <v>2097</v>
      </c>
      <c r="D23" s="1825" t="s">
        <v>2136</v>
      </c>
      <c r="E23" s="1826"/>
      <c r="F23" s="1826">
        <v>90477</v>
      </c>
      <c r="G23" s="1826"/>
      <c r="H23" s="1826"/>
      <c r="I23" s="1826">
        <v>90477</v>
      </c>
      <c r="J23" s="1826"/>
      <c r="K23" s="1826"/>
      <c r="L23" s="1823">
        <f t="shared" si="0"/>
        <v>90477</v>
      </c>
      <c r="M23" s="1826" t="s">
        <v>2114</v>
      </c>
    </row>
    <row r="24" spans="2:14" ht="20.100000000000001" customHeight="1" x14ac:dyDescent="0.2">
      <c r="B24" s="1113"/>
      <c r="C24" s="1824" t="s">
        <v>2097</v>
      </c>
      <c r="D24" s="1825" t="s">
        <v>2137</v>
      </c>
      <c r="E24" s="1826">
        <v>172932</v>
      </c>
      <c r="F24" s="1826">
        <v>102200</v>
      </c>
      <c r="G24" s="1826">
        <v>172932</v>
      </c>
      <c r="H24" s="1826"/>
      <c r="I24" s="1826">
        <v>102200</v>
      </c>
      <c r="J24" s="1826"/>
      <c r="K24" s="1826"/>
      <c r="L24" s="1823">
        <f t="shared" si="0"/>
        <v>275132</v>
      </c>
      <c r="M24" s="1826" t="s">
        <v>2114</v>
      </c>
    </row>
    <row r="25" spans="2:14" ht="20.100000000000001" customHeight="1" x14ac:dyDescent="0.2">
      <c r="B25" s="1113" t="s">
        <v>2093</v>
      </c>
      <c r="C25" s="1824"/>
      <c r="D25" s="1825"/>
      <c r="E25" s="1826">
        <f>E19+E20+E21+E22+E23+E24</f>
        <v>1296730</v>
      </c>
      <c r="F25" s="1826">
        <f>F19+F20+F21+F22+F23+F24</f>
        <v>1234118</v>
      </c>
      <c r="G25" s="1826">
        <f>G19+G20+G21+G22+G23+G24</f>
        <v>1451971</v>
      </c>
      <c r="H25" s="1826"/>
      <c r="I25" s="1826">
        <f>I19+I20+I21+I22+I23+I24</f>
        <v>1454167</v>
      </c>
      <c r="J25" s="1826"/>
      <c r="K25" s="1826"/>
      <c r="L25" s="1823">
        <f t="shared" si="0"/>
        <v>2906138</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t="s">
        <v>2094</v>
      </c>
      <c r="C27" s="1824" t="s">
        <v>2098</v>
      </c>
      <c r="D27" s="1825" t="s">
        <v>2130</v>
      </c>
      <c r="E27" s="1826"/>
      <c r="F27" s="1826">
        <v>77768</v>
      </c>
      <c r="G27" s="1826"/>
      <c r="H27" s="1826"/>
      <c r="I27" s="1826">
        <v>95222</v>
      </c>
      <c r="J27" s="1826"/>
      <c r="K27" s="1826"/>
      <c r="L27" s="1823">
        <f t="shared" si="0"/>
        <v>95222</v>
      </c>
      <c r="M27" s="1826">
        <v>118143</v>
      </c>
    </row>
    <row r="28" spans="2:14" ht="20.100000000000001" customHeight="1" x14ac:dyDescent="0.2">
      <c r="B28" s="1113"/>
      <c r="C28" s="1824" t="s">
        <v>2145</v>
      </c>
      <c r="D28" s="1825" t="s">
        <v>2131</v>
      </c>
      <c r="E28" s="1826">
        <v>26661</v>
      </c>
      <c r="F28" s="1826">
        <v>30008</v>
      </c>
      <c r="G28" s="1826">
        <v>36396</v>
      </c>
      <c r="H28" s="1826"/>
      <c r="I28" s="1826">
        <v>20273</v>
      </c>
      <c r="J28" s="1826"/>
      <c r="K28" s="1826"/>
      <c r="L28" s="1823">
        <f>G28+I28+K28</f>
        <v>56669</v>
      </c>
      <c r="M28" s="1826">
        <v>97312</v>
      </c>
    </row>
    <row r="29" spans="2:14" ht="20.100000000000001" customHeight="1" x14ac:dyDescent="0.2">
      <c r="B29" s="1113"/>
      <c r="C29" s="1824"/>
      <c r="D29" s="1825"/>
      <c r="E29" s="1826"/>
      <c r="F29" s="1826"/>
      <c r="G29" s="1826"/>
      <c r="H29" s="1826"/>
      <c r="I29" s="1826"/>
      <c r="J29" s="1826"/>
      <c r="K29" s="1826"/>
      <c r="L29" s="1823"/>
      <c r="M29" s="1826"/>
    </row>
    <row r="30" spans="2:14" ht="20.100000000000001" customHeight="1" x14ac:dyDescent="0.2">
      <c r="B30" s="1113" t="s">
        <v>2146</v>
      </c>
      <c r="C30" s="1824" t="s">
        <v>2098</v>
      </c>
      <c r="D30" s="1825" t="s">
        <v>2147</v>
      </c>
      <c r="E30" s="1826"/>
      <c r="F30" s="1826">
        <v>6727</v>
      </c>
      <c r="G30" s="1826"/>
      <c r="H30" s="1826"/>
      <c r="I30" s="1826">
        <v>6727</v>
      </c>
      <c r="J30" s="1826"/>
      <c r="K30" s="1826"/>
      <c r="L30" s="1823">
        <f t="shared" si="0"/>
        <v>6727</v>
      </c>
      <c r="M30" s="1826">
        <v>9351</v>
      </c>
      <c r="N30" s="1114"/>
    </row>
    <row r="31" spans="2:14" ht="12.75" customHeight="1" x14ac:dyDescent="0.2">
      <c r="B31" s="1115"/>
      <c r="C31" s="1116"/>
      <c r="D31" s="1117"/>
      <c r="E31" s="1118"/>
      <c r="F31" s="1118"/>
      <c r="G31" s="1118"/>
      <c r="H31" s="1118"/>
      <c r="I31" s="1118"/>
      <c r="J31" s="1118"/>
      <c r="K31" s="1118"/>
      <c r="L31" s="1118"/>
      <c r="M31" s="1118"/>
      <c r="N31" s="1114"/>
    </row>
    <row r="32" spans="2:14" ht="13.5" customHeight="1" x14ac:dyDescent="0.2">
      <c r="B32" s="1058" t="s">
        <v>1714</v>
      </c>
      <c r="C32" s="1119"/>
      <c r="D32" s="1120"/>
      <c r="E32" s="1033"/>
      <c r="F32" s="1033"/>
      <c r="G32" s="1026"/>
      <c r="H32" s="1026"/>
      <c r="I32" s="1026"/>
      <c r="J32" s="1026"/>
      <c r="K32" s="1026"/>
      <c r="L32" s="1026"/>
      <c r="M32" s="1033"/>
      <c r="N32" s="1114"/>
    </row>
    <row r="33" spans="2:14" ht="8.25" customHeight="1" x14ac:dyDescent="0.2">
      <c r="B33" s="1058"/>
      <c r="C33" s="1119"/>
      <c r="D33" s="1120"/>
      <c r="E33" s="1033"/>
      <c r="F33" s="1033"/>
      <c r="G33" s="1026"/>
      <c r="H33" s="1026"/>
      <c r="I33" s="1026"/>
      <c r="J33" s="1026"/>
      <c r="K33" s="1026"/>
      <c r="L33" s="1026"/>
      <c r="M33" s="1033"/>
      <c r="N33" s="1114"/>
    </row>
    <row r="34" spans="2:14" x14ac:dyDescent="0.2">
      <c r="B34" s="1121" t="s">
        <v>1812</v>
      </c>
      <c r="C34" s="1122"/>
      <c r="D34" s="1123"/>
      <c r="E34" s="1124"/>
      <c r="F34" s="1124"/>
      <c r="G34" s="1124"/>
      <c r="H34" s="1124"/>
      <c r="I34" s="295"/>
      <c r="J34" s="295"/>
    </row>
    <row r="35" spans="2:14" ht="8.25" customHeight="1" x14ac:dyDescent="0.2">
      <c r="B35" s="1053"/>
      <c r="C35" s="1125"/>
      <c r="D35" s="1126"/>
      <c r="E35" s="1054"/>
      <c r="F35" s="1054"/>
      <c r="G35" s="295"/>
      <c r="H35" s="295"/>
      <c r="I35" s="295"/>
      <c r="J35" s="295"/>
    </row>
    <row r="36" spans="2:14" ht="13.5" customHeight="1" x14ac:dyDescent="0.2">
      <c r="B36" s="1052" t="s">
        <v>1237</v>
      </c>
      <c r="G36" s="295"/>
      <c r="H36" s="295"/>
      <c r="I36" s="295"/>
      <c r="J36" s="295"/>
    </row>
    <row r="37" spans="2:14" ht="8.25" customHeight="1" x14ac:dyDescent="0.2">
      <c r="B37" s="1129"/>
      <c r="C37" s="1130"/>
      <c r="D37" s="1131"/>
      <c r="E37" s="1073"/>
      <c r="F37" s="1073"/>
      <c r="G37" s="1073"/>
      <c r="H37" s="1073"/>
      <c r="I37" s="1073"/>
      <c r="J37" s="1073"/>
      <c r="K37" s="1132"/>
      <c r="L37" s="1132"/>
      <c r="M37" s="1073"/>
    </row>
    <row r="38" spans="2:14" ht="9.6" customHeight="1" x14ac:dyDescent="0.2">
      <c r="B38" s="1133"/>
      <c r="G38" s="295"/>
      <c r="H38" s="295"/>
      <c r="I38" s="295"/>
      <c r="J38" s="295"/>
    </row>
    <row r="39" spans="2:14" ht="11.25" customHeight="1" x14ac:dyDescent="0.2">
      <c r="B39" s="1134" t="s">
        <v>1715</v>
      </c>
      <c r="C39" s="1135"/>
      <c r="D39" s="1135"/>
      <c r="E39" s="1135"/>
      <c r="F39" s="1135"/>
      <c r="G39" s="1135"/>
      <c r="H39" s="1135"/>
      <c r="I39" s="1136"/>
      <c r="J39" s="1136"/>
      <c r="K39" s="1136"/>
      <c r="L39" s="1136"/>
      <c r="M39" s="1136"/>
    </row>
    <row r="40" spans="2:14" ht="11.25" customHeight="1" x14ac:dyDescent="0.2">
      <c r="B40" s="1137" t="s">
        <v>1570</v>
      </c>
      <c r="C40" s="1136"/>
      <c r="D40" s="1136"/>
      <c r="E40" s="1136"/>
      <c r="F40" s="1136"/>
      <c r="G40" s="1136"/>
      <c r="H40" s="1136"/>
      <c r="I40" s="1136"/>
      <c r="J40" s="1136"/>
      <c r="K40" s="1136"/>
      <c r="L40" s="1136"/>
      <c r="M40" s="1136"/>
    </row>
    <row r="41" spans="2:14" ht="3.95" customHeight="1" x14ac:dyDescent="0.2">
      <c r="B41" s="1137"/>
      <c r="C41" s="1136"/>
      <c r="D41" s="1136"/>
      <c r="E41" s="1136"/>
      <c r="F41" s="1136"/>
      <c r="G41" s="1136"/>
      <c r="H41" s="1136"/>
      <c r="I41" s="1136"/>
      <c r="J41" s="1136"/>
      <c r="K41" s="1136"/>
      <c r="L41" s="1136"/>
      <c r="M41" s="1136"/>
    </row>
    <row r="42" spans="2:14" ht="11.25" customHeight="1" x14ac:dyDescent="0.2">
      <c r="B42" s="1134" t="s">
        <v>1716</v>
      </c>
      <c r="C42" s="1136"/>
      <c r="D42" s="1136"/>
      <c r="E42" s="1136"/>
      <c r="F42" s="1136"/>
      <c r="G42" s="1136"/>
      <c r="H42" s="1136"/>
      <c r="I42" s="1136"/>
      <c r="J42" s="1136"/>
      <c r="K42" s="1136"/>
      <c r="L42" s="1136"/>
      <c r="M42" s="1136"/>
    </row>
    <row r="43" spans="2:14" ht="11.25" customHeight="1" x14ac:dyDescent="0.2">
      <c r="B43" s="1076" t="s">
        <v>1571</v>
      </c>
      <c r="C43" s="1138"/>
      <c r="D43" s="1139"/>
      <c r="E43" s="1076"/>
      <c r="F43" s="1076"/>
      <c r="G43" s="1076"/>
      <c r="H43" s="1076"/>
      <c r="I43" s="1076"/>
      <c r="J43" s="1076"/>
      <c r="K43" s="1140"/>
      <c r="L43" s="1140"/>
      <c r="M43" s="1076"/>
    </row>
    <row r="44" spans="2:14" ht="3.95" customHeight="1" x14ac:dyDescent="0.2">
      <c r="B44" s="1076"/>
      <c r="C44" s="1138"/>
      <c r="D44" s="1139"/>
      <c r="E44" s="1076"/>
      <c r="F44" s="1076"/>
      <c r="G44" s="1076"/>
      <c r="H44" s="1076"/>
      <c r="I44" s="1076"/>
      <c r="J44" s="1076"/>
      <c r="K44" s="1140"/>
      <c r="L44" s="1140"/>
      <c r="M44" s="1076"/>
    </row>
    <row r="45" spans="2:14" ht="11.25" customHeight="1" x14ac:dyDescent="0.2">
      <c r="B45" s="1141" t="s">
        <v>1717</v>
      </c>
      <c r="C45" s="1138"/>
      <c r="D45" s="1139"/>
      <c r="E45" s="1076"/>
      <c r="F45" s="1076"/>
      <c r="G45" s="1076"/>
      <c r="H45" s="1076"/>
      <c r="I45" s="1076"/>
      <c r="J45" s="1076"/>
      <c r="K45" s="1140"/>
      <c r="L45" s="1140"/>
      <c r="M45" s="1076"/>
    </row>
    <row r="46" spans="2:14" ht="3.95" customHeight="1" x14ac:dyDescent="0.2">
      <c r="B46" s="1141"/>
      <c r="C46" s="1138"/>
      <c r="D46" s="1139"/>
      <c r="E46" s="1076"/>
      <c r="F46" s="1076"/>
      <c r="G46" s="1076"/>
      <c r="H46" s="1076"/>
      <c r="I46" s="1076"/>
      <c r="J46" s="1076"/>
      <c r="K46" s="1140"/>
      <c r="L46" s="1140"/>
      <c r="M46" s="1076"/>
    </row>
    <row r="47" spans="2:14" ht="11.25" customHeight="1" x14ac:dyDescent="0.2">
      <c r="B47" s="1142" t="s">
        <v>1718</v>
      </c>
      <c r="C47" s="1138"/>
      <c r="D47" s="1139"/>
      <c r="E47" s="1076"/>
      <c r="F47" s="1076"/>
      <c r="G47" s="1076"/>
      <c r="H47" s="1076"/>
      <c r="I47" s="1076"/>
      <c r="J47" s="1076"/>
      <c r="K47" s="1140"/>
      <c r="L47" s="1140"/>
      <c r="M47" s="1076"/>
    </row>
    <row r="48" spans="2:14" ht="11.25" customHeight="1" x14ac:dyDescent="0.2">
      <c r="B48" s="1076" t="s">
        <v>1572</v>
      </c>
      <c r="G48" s="295"/>
      <c r="H48" s="295"/>
      <c r="I48" s="295"/>
      <c r="J48" s="295"/>
    </row>
    <row r="49" spans="2:13" ht="11.1" customHeight="1" x14ac:dyDescent="0.2">
      <c r="B49" s="1076"/>
      <c r="G49" s="295"/>
      <c r="H49" s="295"/>
      <c r="I49" s="295"/>
      <c r="J49" s="295"/>
    </row>
    <row r="50" spans="2:13" ht="11.1" customHeight="1" x14ac:dyDescent="0.2">
      <c r="B50" s="1076"/>
      <c r="G50" s="295"/>
      <c r="H50" s="295"/>
      <c r="I50" s="295"/>
      <c r="J50" s="295"/>
    </row>
    <row r="51" spans="2:13" ht="13.5" customHeight="1" x14ac:dyDescent="0.2">
      <c r="M51" s="1143"/>
    </row>
    <row r="52" spans="2:13" ht="13.5" customHeight="1" x14ac:dyDescent="0.2">
      <c r="M52" s="1143"/>
    </row>
    <row r="53" spans="2:13" ht="13.5" customHeight="1" x14ac:dyDescent="0.2">
      <c r="M53" s="1143"/>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75"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99239-35E3-44FC-8FAD-28B0A8112BB6}">
  <dimension ref="B1:N153"/>
  <sheetViews>
    <sheetView showGridLines="0" topLeftCell="A6" zoomScaleNormal="100" workbookViewId="0">
      <selection activeCell="I15" sqref="I15:I1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9" t="str">
        <f>'Single Audit Cover'!A7</f>
        <v xml:space="preserve"> Urbana SD 116</v>
      </c>
      <c r="C1" s="2571"/>
      <c r="D1" s="2571"/>
      <c r="E1" s="2571"/>
      <c r="F1" s="2571"/>
      <c r="G1" s="2571"/>
      <c r="H1" s="2571"/>
      <c r="I1" s="2571"/>
      <c r="J1" s="2571"/>
      <c r="K1" s="2571"/>
      <c r="L1" s="2571"/>
      <c r="M1" s="2571"/>
    </row>
    <row r="2" spans="2:14" ht="15" x14ac:dyDescent="0.2">
      <c r="B2" s="2572">
        <f>'Single Audit Cover'!E7</f>
        <v>9010116022</v>
      </c>
      <c r="C2" s="2572"/>
      <c r="D2" s="2572"/>
      <c r="E2" s="2572"/>
      <c r="F2" s="2572"/>
      <c r="G2" s="2572"/>
      <c r="H2" s="2572"/>
      <c r="I2" s="2572"/>
      <c r="J2" s="2572"/>
      <c r="K2" s="2572"/>
      <c r="L2" s="2572"/>
      <c r="M2" s="2572"/>
      <c r="N2" s="1078"/>
    </row>
    <row r="3" spans="2:14" ht="15" x14ac:dyDescent="0.2">
      <c r="B3" s="2573" t="s">
        <v>1210</v>
      </c>
      <c r="C3" s="2573"/>
      <c r="D3" s="2573"/>
      <c r="E3" s="2573"/>
      <c r="F3" s="2573"/>
      <c r="G3" s="2573"/>
      <c r="H3" s="2573"/>
      <c r="I3" s="2573"/>
      <c r="J3" s="2573"/>
      <c r="K3" s="2573"/>
      <c r="L3" s="2573"/>
      <c r="M3" s="2573"/>
      <c r="N3" s="1078"/>
    </row>
    <row r="4" spans="2:14" ht="15" x14ac:dyDescent="0.2">
      <c r="B4" s="2574" t="str">
        <f>'Single Audit Cover'!A4</f>
        <v>Year Ending June 30, 2020</v>
      </c>
      <c r="C4" s="2574"/>
      <c r="D4" s="2574"/>
      <c r="E4" s="2574"/>
      <c r="F4" s="2574"/>
      <c r="G4" s="2574"/>
      <c r="H4" s="2574"/>
      <c r="I4" s="2574"/>
      <c r="J4" s="2574"/>
      <c r="K4" s="2574"/>
      <c r="L4" s="2574"/>
      <c r="M4" s="2574"/>
      <c r="N4" s="1078"/>
    </row>
    <row r="5" spans="2:14" x14ac:dyDescent="0.2">
      <c r="H5" s="1917"/>
      <c r="J5" s="1917"/>
    </row>
    <row r="6" spans="2:14" x14ac:dyDescent="0.2">
      <c r="B6" s="1079"/>
      <c r="C6" s="1080"/>
      <c r="D6" s="1081" t="s">
        <v>1256</v>
      </c>
      <c r="E6" s="1082" t="s">
        <v>524</v>
      </c>
      <c r="F6" s="1083"/>
      <c r="G6" s="1084" t="s">
        <v>1711</v>
      </c>
      <c r="H6" s="1082"/>
      <c r="I6" s="1082"/>
      <c r="J6" s="1918"/>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1712</v>
      </c>
      <c r="D9" s="1090" t="s">
        <v>1713</v>
      </c>
      <c r="E9" s="1916" t="str">
        <f>"7/1/"&amp;MID('AFR20'!$E$2,3,2)-2&amp;"-6/30/"&amp;MID('AFR20'!$E$2,3,2)-1</f>
        <v>7/1/18-6/30/19</v>
      </c>
      <c r="F9" s="1916" t="str">
        <f>"7/1/"&amp;MID('AFR20'!$E$2,3,2)-1&amp;"-6/30/"&amp;MID('AFR20'!$E$2,3,2)</f>
        <v>7/1/19-6/30/20</v>
      </c>
      <c r="G9" s="1916" t="str">
        <f>"7/1/"&amp;MID('AFR20'!$E$2,3,2)-2&amp;"-6/30/"&amp;MID('AFR20'!$E$2,3,2)-1</f>
        <v>7/1/18-6/30/19</v>
      </c>
      <c r="H9" s="1093" t="s">
        <v>1568</v>
      </c>
      <c r="I9" s="1916"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t="s">
        <v>2101</v>
      </c>
      <c r="C11" s="1821"/>
      <c r="D11" s="1822"/>
      <c r="E11" s="1823"/>
      <c r="F11" s="1823"/>
      <c r="G11" s="1823"/>
      <c r="H11" s="1823"/>
      <c r="I11" s="1823"/>
      <c r="J11" s="1823"/>
      <c r="K11" s="1823"/>
      <c r="L11" s="1823">
        <f>+G11+I11+K11</f>
        <v>0</v>
      </c>
      <c r="M11" s="1823"/>
    </row>
    <row r="12" spans="2:14" ht="20.100000000000001" customHeight="1" x14ac:dyDescent="0.2">
      <c r="B12" s="1113" t="s">
        <v>2102</v>
      </c>
      <c r="C12" s="1824" t="s">
        <v>2110</v>
      </c>
      <c r="D12" s="1825" t="s">
        <v>2139</v>
      </c>
      <c r="E12" s="1826"/>
      <c r="F12" s="1826">
        <v>87498</v>
      </c>
      <c r="G12" s="1826"/>
      <c r="H12" s="1826"/>
      <c r="I12" s="1826">
        <v>166226</v>
      </c>
      <c r="J12" s="1826"/>
      <c r="K12" s="1826"/>
      <c r="L12" s="1823">
        <f t="shared" ref="L12:L27" si="0">+G12+I12+K12</f>
        <v>166226</v>
      </c>
      <c r="M12" s="1826">
        <v>282455</v>
      </c>
    </row>
    <row r="13" spans="2:14" ht="20.100000000000001" customHeight="1" x14ac:dyDescent="0.2">
      <c r="B13" s="1113"/>
      <c r="C13" s="1824" t="s">
        <v>2110</v>
      </c>
      <c r="D13" s="1825" t="s">
        <v>2112</v>
      </c>
      <c r="E13" s="1826">
        <v>163555</v>
      </c>
      <c r="F13" s="1826">
        <v>25500</v>
      </c>
      <c r="G13" s="1826">
        <v>189055</v>
      </c>
      <c r="H13" s="1826"/>
      <c r="I13" s="1826"/>
      <c r="J13" s="1826"/>
      <c r="K13" s="1826"/>
      <c r="L13" s="1823">
        <f t="shared" si="0"/>
        <v>189055</v>
      </c>
      <c r="M13" s="1826">
        <v>211749</v>
      </c>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2103</v>
      </c>
      <c r="C15" s="1824" t="s">
        <v>2111</v>
      </c>
      <c r="D15" s="1825" t="s">
        <v>2141</v>
      </c>
      <c r="E15" s="1826"/>
      <c r="F15" s="1826">
        <v>315378</v>
      </c>
      <c r="G15" s="1826"/>
      <c r="H15" s="1826"/>
      <c r="I15" s="1826">
        <v>417253</v>
      </c>
      <c r="J15" s="1826"/>
      <c r="K15" s="1826"/>
      <c r="L15" s="1823">
        <f t="shared" si="0"/>
        <v>417253</v>
      </c>
      <c r="M15" s="1826">
        <v>660000</v>
      </c>
    </row>
    <row r="16" spans="2:14" ht="20.100000000000001" customHeight="1" x14ac:dyDescent="0.2">
      <c r="B16" s="1113"/>
      <c r="C16" s="1824" t="s">
        <v>2111</v>
      </c>
      <c r="D16" s="1825" t="s">
        <v>2140</v>
      </c>
      <c r="E16" s="1826">
        <v>309946</v>
      </c>
      <c r="F16" s="1826">
        <v>292541</v>
      </c>
      <c r="G16" s="1826">
        <f>240546+114000+168170</f>
        <v>522716</v>
      </c>
      <c r="H16" s="1826"/>
      <c r="I16" s="1826">
        <v>79771</v>
      </c>
      <c r="J16" s="1826"/>
      <c r="K16" s="1826"/>
      <c r="L16" s="1823">
        <f t="shared" si="0"/>
        <v>602487</v>
      </c>
      <c r="M16" s="1826">
        <v>660000</v>
      </c>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t="s">
        <v>2197</v>
      </c>
      <c r="C18" s="1824" t="s">
        <v>2163</v>
      </c>
      <c r="D18" s="2041" t="s">
        <v>2198</v>
      </c>
      <c r="E18" s="1826"/>
      <c r="F18" s="1826"/>
      <c r="G18" s="1826"/>
      <c r="H18" s="1826"/>
      <c r="I18" s="1826">
        <v>41508</v>
      </c>
      <c r="J18" s="1826"/>
      <c r="K18" s="1826"/>
      <c r="L18" s="1823">
        <f>G18+I18+K18</f>
        <v>41508</v>
      </c>
      <c r="M18" s="1826">
        <v>1448831</v>
      </c>
    </row>
    <row r="19" spans="2:14" ht="20.100000000000001" customHeight="1" x14ac:dyDescent="0.2">
      <c r="B19" s="1113"/>
      <c r="C19" s="1824"/>
      <c r="D19" s="1825"/>
      <c r="E19" s="1826"/>
      <c r="F19" s="1826"/>
      <c r="G19" s="1826"/>
      <c r="H19" s="1826"/>
      <c r="I19" s="1826"/>
      <c r="J19" s="1826"/>
      <c r="K19" s="1826"/>
      <c r="L19" s="1823"/>
      <c r="M19" s="1826"/>
    </row>
    <row r="20" spans="2:14" ht="20.100000000000001" customHeight="1" x14ac:dyDescent="0.2">
      <c r="B20" s="1113" t="s">
        <v>2104</v>
      </c>
      <c r="C20" s="1824"/>
      <c r="D20" s="1825"/>
      <c r="E20" s="1826">
        <f>E16+E15+E13+E12+' SEFA (3)'!E27+' SEFA (3)'!E25+' SEFA (3)'!E15+' SEFA (3)'!E14+' SEFA (3)'!E12+' SEFA (2)'!E27+' SEFA (2)'!E20+' SEFA (2)'!E19</f>
        <v>3839413</v>
      </c>
      <c r="F20" s="1826">
        <f>F16+F15+F13+F12+' SEFA (3)'!F30+' SEFA (3)'!F27+' SEFA (3)'!F25+' SEFA (3)'!F17+' SEFA (3)'!F15+' SEFA (3)'!F14+' SEFA (3)'!F13+' SEFA (3)'!F12+' SEFA (2)'!F27+' SEFA (2)'!F20+' SEFA (2)'!F19</f>
        <v>3889549</v>
      </c>
      <c r="G20" s="1826">
        <f>G12+G13+G15+G16+' SEFA (3)'!G27+' SEFA (3)'!G25+' SEFA (3)'!G15+' SEFA (3)'!G14+' SEFA (3)'!G12+' SEFA (2)'!G27+' SEFA (2)'!G20+' SEFA (2)'!G19</f>
        <v>4532598</v>
      </c>
      <c r="H20" s="1826"/>
      <c r="I20" s="1826">
        <f>I16+I15+I12+' SEFA (3)'!I30+' SEFA (3)'!I28+' SEFA (3)'!I27+' SEFA (3)'!I25+' SEFA (3)'!I17+' SEFA (3)'!I14+' SEFA (3)'!I12+' SEFA (2)'!I27+' SEFA (2)'!I19+I18</f>
        <v>4483720</v>
      </c>
      <c r="J20" s="1826"/>
      <c r="K20" s="1826"/>
      <c r="L20" s="1823">
        <f t="shared" si="0"/>
        <v>9016318</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t="s">
        <v>2105</v>
      </c>
      <c r="C22" s="1824"/>
      <c r="D22" s="1825"/>
      <c r="E22" s="1826"/>
      <c r="F22" s="1826"/>
      <c r="G22" s="1826"/>
      <c r="H22" s="1826"/>
      <c r="I22" s="1826"/>
      <c r="J22" s="1826"/>
      <c r="K22" s="1826"/>
      <c r="L22" s="1823">
        <f t="shared" si="0"/>
        <v>0</v>
      </c>
      <c r="M22" s="1826"/>
    </row>
    <row r="23" spans="2:14" ht="20.100000000000001" customHeight="1" x14ac:dyDescent="0.2">
      <c r="B23" s="1113" t="s">
        <v>2106</v>
      </c>
      <c r="C23" s="1824"/>
      <c r="D23" s="1825"/>
      <c r="E23" s="1826"/>
      <c r="F23" s="1826"/>
      <c r="G23" s="1826"/>
      <c r="H23" s="1826"/>
      <c r="I23" s="1826"/>
      <c r="J23" s="1826"/>
      <c r="K23" s="1826"/>
      <c r="L23" s="1823">
        <f t="shared" si="0"/>
        <v>0</v>
      </c>
      <c r="M23" s="1826"/>
    </row>
    <row r="24" spans="2:14" ht="20.100000000000001" customHeight="1" x14ac:dyDescent="0.2">
      <c r="B24" s="1113" t="s">
        <v>2107</v>
      </c>
      <c r="C24" s="1824">
        <v>93.778000000000006</v>
      </c>
      <c r="D24" s="1825" t="s">
        <v>2144</v>
      </c>
      <c r="E24" s="1826"/>
      <c r="F24" s="2037">
        <v>124945</v>
      </c>
      <c r="G24" s="1826"/>
      <c r="H24" s="1826"/>
      <c r="I24" s="2037">
        <v>124945</v>
      </c>
      <c r="J24" s="1826"/>
      <c r="K24" s="1826"/>
      <c r="L24" s="1823">
        <f>G24+I24+K24</f>
        <v>124945</v>
      </c>
      <c r="M24" s="1826" t="s">
        <v>2114</v>
      </c>
    </row>
    <row r="25" spans="2:14" ht="20.100000000000001" customHeight="1" x14ac:dyDescent="0.2">
      <c r="B25" s="1113"/>
      <c r="C25" s="1824">
        <v>93.778000000000006</v>
      </c>
      <c r="D25" s="1825" t="s">
        <v>2113</v>
      </c>
      <c r="E25" s="1826">
        <f>83736+17145</f>
        <v>100881</v>
      </c>
      <c r="F25" s="1826"/>
      <c r="G25" s="1826">
        <v>100881</v>
      </c>
      <c r="H25" s="1826"/>
      <c r="I25" s="1826"/>
      <c r="J25" s="1826"/>
      <c r="K25" s="1826"/>
      <c r="L25" s="1823">
        <f t="shared" si="0"/>
        <v>100881</v>
      </c>
      <c r="M25" s="1826" t="s">
        <v>2114</v>
      </c>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t="s">
        <v>2108</v>
      </c>
      <c r="C27" s="1824"/>
      <c r="D27" s="1825"/>
      <c r="E27" s="1826">
        <f>E25</f>
        <v>100881</v>
      </c>
      <c r="F27" s="1826">
        <f>F24+F25</f>
        <v>124945</v>
      </c>
      <c r="G27" s="1826">
        <f>G25</f>
        <v>100881</v>
      </c>
      <c r="H27" s="1826"/>
      <c r="I27" s="1826">
        <f>I24+I25</f>
        <v>124945</v>
      </c>
      <c r="J27" s="1826"/>
      <c r="K27" s="1826"/>
      <c r="L27" s="1823">
        <f t="shared" si="0"/>
        <v>225826</v>
      </c>
      <c r="M27" s="1826"/>
    </row>
    <row r="28" spans="2:14" ht="20.100000000000001" customHeight="1" x14ac:dyDescent="0.2">
      <c r="B28" s="1113"/>
      <c r="C28" s="1824"/>
      <c r="D28" s="1825"/>
      <c r="E28" s="1826"/>
      <c r="F28" s="1826"/>
      <c r="G28" s="1826"/>
      <c r="H28" s="1826"/>
      <c r="I28" s="1826"/>
      <c r="J28" s="1826"/>
      <c r="K28" s="1826"/>
      <c r="L28" s="1823">
        <f>+G28+I28+K28</f>
        <v>0</v>
      </c>
      <c r="M28" s="1826"/>
    </row>
    <row r="29" spans="2:14" ht="20.100000000000001" customHeight="1" x14ac:dyDescent="0.2">
      <c r="B29" s="1113" t="s">
        <v>2109</v>
      </c>
      <c r="C29" s="1824"/>
      <c r="D29" s="1825"/>
      <c r="E29" s="1826">
        <f>E20+E27+' SEFA (2)'!E15+' SEFA'!E28</f>
        <v>6253869</v>
      </c>
      <c r="F29" s="1826">
        <f>F27+F20+' SEFA'!F28+' SEFA (2)'!F15</f>
        <v>6554529</v>
      </c>
      <c r="G29" s="1826">
        <f>G27+G20+' SEFA (2)'!G15+' SEFA'!G28</f>
        <v>6982423</v>
      </c>
      <c r="H29" s="1826"/>
      <c r="I29" s="1826">
        <f>I27+I20+' SEFA (2)'!I15+' SEFA'!I28</f>
        <v>7155631</v>
      </c>
      <c r="J29" s="1826"/>
      <c r="K29" s="1826"/>
      <c r="L29" s="1823">
        <f>+G29+I29+K29</f>
        <v>14138054</v>
      </c>
      <c r="M29" s="1826"/>
    </row>
    <row r="30" spans="2:14" x14ac:dyDescent="0.2">
      <c r="B30" s="1033"/>
      <c r="C30" s="1119"/>
      <c r="D30" s="1120"/>
      <c r="E30" s="1033"/>
      <c r="F30" s="1033"/>
      <c r="G30" s="1026"/>
      <c r="H30" s="1026"/>
      <c r="I30" s="1026"/>
      <c r="J30" s="1026"/>
      <c r="K30" s="1026"/>
      <c r="L30" s="1026"/>
      <c r="M30" s="1033"/>
      <c r="N30" s="1114"/>
    </row>
    <row r="31" spans="2:14" ht="13.5" customHeight="1" x14ac:dyDescent="0.2">
      <c r="B31" s="1058" t="s">
        <v>1714</v>
      </c>
      <c r="C31" s="1119"/>
      <c r="D31" s="1120"/>
      <c r="E31" s="1033"/>
      <c r="F31" s="1033"/>
      <c r="G31" s="1026"/>
      <c r="H31" s="1026"/>
      <c r="I31" s="1026"/>
      <c r="J31" s="1026"/>
      <c r="K31" s="1026"/>
      <c r="L31" s="1026"/>
      <c r="M31" s="1033"/>
      <c r="N31" s="1114"/>
    </row>
    <row r="32" spans="2:14" ht="8.25" customHeight="1" x14ac:dyDescent="0.2">
      <c r="B32" s="1058"/>
      <c r="C32" s="1119"/>
      <c r="D32" s="1120"/>
      <c r="E32" s="1033"/>
      <c r="F32" s="1033"/>
      <c r="G32" s="1026"/>
      <c r="H32" s="1026"/>
      <c r="I32" s="1026"/>
      <c r="J32" s="1026"/>
      <c r="K32" s="1026"/>
      <c r="L32" s="1026"/>
      <c r="M32" s="1033"/>
      <c r="N32" s="1114"/>
    </row>
    <row r="33" spans="2:13" x14ac:dyDescent="0.2">
      <c r="B33" s="1121" t="s">
        <v>1812</v>
      </c>
      <c r="C33" s="1122"/>
      <c r="D33" s="1123"/>
      <c r="E33" s="1124"/>
      <c r="F33" s="1124"/>
      <c r="G33" s="1124"/>
      <c r="H33" s="1124"/>
      <c r="I33" s="295"/>
      <c r="J33" s="295"/>
    </row>
    <row r="34" spans="2:13" x14ac:dyDescent="0.2">
      <c r="B34" s="1053"/>
      <c r="C34" s="1125"/>
      <c r="D34" s="1126"/>
      <c r="E34" s="1054"/>
      <c r="F34" s="1054"/>
      <c r="G34" s="295"/>
      <c r="H34" s="295"/>
      <c r="I34" s="295"/>
      <c r="J34" s="295"/>
    </row>
    <row r="35" spans="2:13" ht="13.5" customHeight="1" x14ac:dyDescent="0.2">
      <c r="B35" s="1052" t="s">
        <v>1237</v>
      </c>
      <c r="G35" s="295"/>
      <c r="H35" s="295"/>
      <c r="I35" s="295"/>
      <c r="J35" s="295"/>
    </row>
    <row r="36" spans="2:13" ht="13.5" customHeight="1" x14ac:dyDescent="0.2">
      <c r="B36" s="1129"/>
      <c r="C36" s="1130"/>
      <c r="D36" s="1131"/>
      <c r="E36" s="1073"/>
      <c r="F36" s="1073"/>
      <c r="G36" s="1073"/>
      <c r="H36" s="1073"/>
      <c r="I36" s="1073"/>
      <c r="J36" s="1073"/>
      <c r="K36" s="1132"/>
      <c r="L36" s="1132"/>
      <c r="M36" s="1073"/>
    </row>
    <row r="37" spans="2:13" ht="9.6" customHeight="1" x14ac:dyDescent="0.2">
      <c r="B37" s="1133"/>
      <c r="G37" s="295"/>
      <c r="H37" s="295"/>
      <c r="I37" s="295"/>
      <c r="J37" s="295"/>
    </row>
    <row r="38" spans="2:13" ht="11.25" customHeight="1" x14ac:dyDescent="0.2">
      <c r="B38" s="1134" t="s">
        <v>1715</v>
      </c>
      <c r="C38" s="1135"/>
      <c r="D38" s="1135"/>
      <c r="E38" s="1135"/>
      <c r="F38" s="1135"/>
      <c r="G38" s="1135"/>
      <c r="H38" s="1135"/>
      <c r="I38" s="1136"/>
      <c r="J38" s="1136"/>
      <c r="K38" s="1136"/>
      <c r="L38" s="1136"/>
      <c r="M38" s="1136"/>
    </row>
    <row r="39" spans="2:13" ht="11.25" customHeight="1" x14ac:dyDescent="0.2">
      <c r="B39" s="1137" t="s">
        <v>1570</v>
      </c>
      <c r="C39" s="1136"/>
      <c r="D39" s="1136"/>
      <c r="E39" s="1136"/>
      <c r="F39" s="1136"/>
      <c r="G39" s="1136"/>
      <c r="H39" s="1136"/>
      <c r="I39" s="1136"/>
      <c r="J39" s="1136"/>
      <c r="K39" s="1136"/>
      <c r="L39" s="1136"/>
      <c r="M39" s="1136"/>
    </row>
    <row r="40" spans="2:13" ht="3.95" customHeight="1" x14ac:dyDescent="0.2">
      <c r="B40" s="1137"/>
      <c r="C40" s="1136"/>
      <c r="D40" s="1136"/>
      <c r="E40" s="1136"/>
      <c r="F40" s="1136"/>
      <c r="G40" s="1136"/>
      <c r="H40" s="1136"/>
      <c r="I40" s="1136"/>
      <c r="J40" s="1136"/>
      <c r="K40" s="1136"/>
      <c r="L40" s="1136"/>
      <c r="M40" s="1136"/>
    </row>
    <row r="41" spans="2:13" ht="11.25" customHeight="1" x14ac:dyDescent="0.2">
      <c r="B41" s="1134" t="s">
        <v>1716</v>
      </c>
      <c r="C41" s="1136"/>
      <c r="D41" s="1136"/>
      <c r="E41" s="1136"/>
      <c r="F41" s="1136"/>
      <c r="G41" s="1136"/>
      <c r="H41" s="1136"/>
      <c r="I41" s="1136"/>
      <c r="J41" s="1136"/>
      <c r="K41" s="1136"/>
      <c r="L41" s="1136"/>
      <c r="M41" s="1136"/>
    </row>
    <row r="42" spans="2:13" ht="11.25" customHeight="1" x14ac:dyDescent="0.2">
      <c r="B42" s="1076" t="s">
        <v>1571</v>
      </c>
      <c r="C42" s="1138"/>
      <c r="D42" s="1139"/>
      <c r="E42" s="1076"/>
      <c r="F42" s="1076"/>
      <c r="G42" s="1076"/>
      <c r="H42" s="1076"/>
      <c r="I42" s="1076"/>
      <c r="J42" s="1076"/>
      <c r="K42" s="1140"/>
      <c r="L42" s="1140"/>
      <c r="M42" s="1076"/>
    </row>
    <row r="43" spans="2:13" ht="3.95" customHeight="1" x14ac:dyDescent="0.2">
      <c r="B43" s="1076"/>
      <c r="C43" s="1138"/>
      <c r="D43" s="1139"/>
      <c r="E43" s="1076"/>
      <c r="F43" s="1076"/>
      <c r="G43" s="1076"/>
      <c r="H43" s="1076"/>
      <c r="I43" s="1076"/>
      <c r="J43" s="1076"/>
      <c r="K43" s="1140"/>
      <c r="L43" s="1140"/>
      <c r="M43" s="1076"/>
    </row>
    <row r="44" spans="2:13" ht="11.25" customHeight="1" x14ac:dyDescent="0.2">
      <c r="B44" s="1141" t="s">
        <v>1717</v>
      </c>
      <c r="C44" s="1138"/>
      <c r="D44" s="1139"/>
      <c r="E44" s="1076"/>
      <c r="F44" s="1076"/>
      <c r="G44" s="1076"/>
      <c r="H44" s="1076"/>
      <c r="I44" s="1076"/>
      <c r="J44" s="1076"/>
      <c r="K44" s="1140"/>
      <c r="L44" s="1140"/>
      <c r="M44" s="1076"/>
    </row>
    <row r="45" spans="2:13" ht="3.95" customHeight="1" x14ac:dyDescent="0.2">
      <c r="B45" s="1141"/>
      <c r="C45" s="1138"/>
      <c r="D45" s="1139"/>
      <c r="E45" s="1076"/>
      <c r="F45" s="1076"/>
      <c r="G45" s="1076"/>
      <c r="H45" s="1076"/>
      <c r="I45" s="1076"/>
      <c r="J45" s="1076"/>
      <c r="K45" s="1140"/>
      <c r="L45" s="1140"/>
      <c r="M45" s="1076"/>
    </row>
    <row r="46" spans="2:13" ht="11.25" customHeight="1" x14ac:dyDescent="0.2">
      <c r="B46" s="1142" t="s">
        <v>1718</v>
      </c>
      <c r="C46" s="1138"/>
      <c r="D46" s="1139"/>
      <c r="E46" s="1076"/>
      <c r="F46" s="1076"/>
      <c r="G46" s="1076"/>
      <c r="H46" s="1076"/>
      <c r="I46" s="1076"/>
      <c r="J46" s="1076"/>
      <c r="K46" s="1140"/>
      <c r="L46" s="1140"/>
      <c r="M46" s="1076"/>
    </row>
    <row r="47" spans="2:13" ht="11.25" customHeight="1" x14ac:dyDescent="0.2">
      <c r="B47" s="1076" t="s">
        <v>1572</v>
      </c>
      <c r="G47" s="295"/>
      <c r="H47" s="295"/>
      <c r="I47" s="295"/>
      <c r="J47" s="295"/>
    </row>
    <row r="48" spans="2:13" ht="11.1" customHeight="1" x14ac:dyDescent="0.2">
      <c r="B48" s="1076"/>
      <c r="G48" s="295"/>
      <c r="H48" s="295"/>
      <c r="I48" s="295"/>
      <c r="J48" s="295"/>
    </row>
    <row r="49" spans="2:13" ht="11.1" customHeight="1" x14ac:dyDescent="0.2">
      <c r="B49" s="1076"/>
      <c r="G49" s="295"/>
      <c r="H49" s="295"/>
      <c r="I49" s="295"/>
      <c r="J49" s="295"/>
    </row>
    <row r="50" spans="2:13" ht="13.5" customHeight="1" x14ac:dyDescent="0.2">
      <c r="M50" s="1143"/>
    </row>
    <row r="51" spans="2:13" ht="13.5" customHeight="1" x14ac:dyDescent="0.2">
      <c r="M51" s="1143"/>
    </row>
    <row r="52" spans="2:13" ht="13.5" customHeight="1" x14ac:dyDescent="0.2">
      <c r="M52" s="1143"/>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78" firstPageNumber="38" orientation="landscape" useFirstPageNumber="1" r:id="rId1"/>
  <headerFooter alignWithMargins="0">
    <oddHeader>&amp;R&amp;8Page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8" zoomScale="120" zoomScaleNormal="120" workbookViewId="0">
      <selection activeCell="A7" sqref="A7:F7"/>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4" t="str">
        <f>'Single Audit Cover'!A7</f>
        <v xml:space="preserve"> Urbana SD 116</v>
      </c>
      <c r="B1" s="2584"/>
      <c r="C1" s="2584"/>
      <c r="D1" s="2584"/>
      <c r="E1" s="2584"/>
      <c r="F1" s="2584"/>
    </row>
    <row r="2" spans="1:7" ht="13.5" customHeight="1" x14ac:dyDescent="0.2">
      <c r="A2" s="2572">
        <f>'Single Audit Cover'!E7</f>
        <v>9010116022</v>
      </c>
      <c r="B2" s="2572"/>
      <c r="C2" s="2572"/>
      <c r="D2" s="2572"/>
      <c r="E2" s="2572"/>
      <c r="F2" s="2572"/>
      <c r="G2" s="1051"/>
    </row>
    <row r="3" spans="1:7" ht="15.75" customHeight="1" x14ac:dyDescent="0.2">
      <c r="A3" s="2585" t="s">
        <v>1262</v>
      </c>
      <c r="B3" s="2585"/>
      <c r="C3" s="2585"/>
      <c r="D3" s="2585"/>
      <c r="E3" s="2585"/>
      <c r="F3" s="2585"/>
    </row>
    <row r="4" spans="1:7" ht="13.5" customHeight="1" x14ac:dyDescent="0.2">
      <c r="A4" s="2586" t="str">
        <f>'Single Audit Cover'!A4</f>
        <v>Year Ending June 30, 2020</v>
      </c>
      <c r="B4" s="2586"/>
      <c r="C4" s="2586"/>
      <c r="D4" s="2586"/>
      <c r="E4" s="2586"/>
      <c r="F4" s="2586"/>
    </row>
    <row r="5" spans="1:7" ht="8.25" customHeight="1" x14ac:dyDescent="0.2">
      <c r="C5" s="295"/>
      <c r="D5" s="295"/>
    </row>
    <row r="6" spans="1:7" ht="13.5" customHeight="1" x14ac:dyDescent="0.2">
      <c r="A6" s="1052" t="s">
        <v>1708</v>
      </c>
      <c r="C6" s="295"/>
      <c r="D6" s="295"/>
    </row>
    <row r="7" spans="1:7" ht="60.95" customHeight="1" x14ac:dyDescent="0.2">
      <c r="A7" s="2583" t="s">
        <v>2148</v>
      </c>
      <c r="B7" s="2583"/>
      <c r="C7" s="2583"/>
      <c r="D7" s="2583"/>
      <c r="E7" s="2583"/>
      <c r="F7" s="2583"/>
    </row>
    <row r="8" spans="1:7" ht="12" customHeight="1" x14ac:dyDescent="0.2">
      <c r="A8" s="1052"/>
      <c r="B8" s="1058"/>
      <c r="C8" s="1058"/>
      <c r="D8" s="1058"/>
    </row>
    <row r="9" spans="1:7" ht="15" customHeight="1" x14ac:dyDescent="0.2">
      <c r="A9" s="1053" t="s">
        <v>1709</v>
      </c>
      <c r="B9" s="1056"/>
      <c r="C9" s="1056"/>
      <c r="D9" s="1056"/>
      <c r="E9" s="1054"/>
      <c r="F9" s="1054"/>
      <c r="G9" s="1054"/>
    </row>
    <row r="10" spans="1:7" ht="15" customHeight="1" x14ac:dyDescent="0.2">
      <c r="A10" s="1055" t="s">
        <v>1533</v>
      </c>
      <c r="B10" s="1056"/>
      <c r="C10" s="1057"/>
      <c r="D10" s="1056" t="s">
        <v>1534</v>
      </c>
      <c r="E10" s="1057" t="s">
        <v>2048</v>
      </c>
      <c r="F10" s="1056" t="s">
        <v>99</v>
      </c>
      <c r="G10" s="1054"/>
    </row>
    <row r="11" spans="1:7" ht="12" customHeight="1" x14ac:dyDescent="0.2">
      <c r="A11" s="1055"/>
      <c r="B11" s="1056"/>
      <c r="C11" s="1525"/>
      <c r="D11" s="1056"/>
      <c r="E11" s="1525"/>
      <c r="F11" s="1056"/>
      <c r="G11" s="1054"/>
    </row>
    <row r="12" spans="1:7" x14ac:dyDescent="0.2">
      <c r="A12" s="1052" t="s">
        <v>1573</v>
      </c>
      <c r="C12" s="1036"/>
      <c r="D12" s="1036"/>
    </row>
    <row r="13" spans="1:7" ht="15" customHeight="1" x14ac:dyDescent="0.2">
      <c r="A13" s="2583" t="s">
        <v>2199</v>
      </c>
      <c r="B13" s="2583"/>
      <c r="C13" s="2583"/>
      <c r="D13" s="2583"/>
      <c r="E13" s="2583"/>
      <c r="F13" s="2583"/>
    </row>
    <row r="14" spans="1:7" ht="9.75" customHeight="1" x14ac:dyDescent="0.2">
      <c r="C14" s="1036"/>
      <c r="D14" s="1036"/>
    </row>
    <row r="15" spans="1:7" ht="13.5" customHeight="1" x14ac:dyDescent="0.2">
      <c r="C15" s="1476" t="s">
        <v>1261</v>
      </c>
      <c r="D15" s="2581" t="s">
        <v>1260</v>
      </c>
      <c r="E15" s="2581"/>
      <c r="F15" s="2581"/>
    </row>
    <row r="16" spans="1:7" ht="13.5" customHeight="1" x14ac:dyDescent="0.2">
      <c r="A16" s="1058"/>
      <c r="B16" s="1052" t="s">
        <v>1259</v>
      </c>
      <c r="C16" s="1476" t="s">
        <v>1258</v>
      </c>
      <c r="D16" s="2582" t="s">
        <v>1574</v>
      </c>
      <c r="E16" s="2582"/>
      <c r="F16" s="2582"/>
    </row>
    <row r="17" spans="1:6" ht="20.45" customHeight="1" x14ac:dyDescent="0.2">
      <c r="A17" s="1059"/>
      <c r="B17" s="1060" t="s">
        <v>2149</v>
      </c>
      <c r="C17" s="1061"/>
      <c r="D17" s="2576"/>
      <c r="E17" s="2576"/>
      <c r="F17" s="2576"/>
    </row>
    <row r="18" spans="1:6" ht="20.65" customHeight="1" x14ac:dyDescent="0.2">
      <c r="A18" s="1059"/>
      <c r="B18" s="1060"/>
      <c r="C18" s="1061"/>
      <c r="D18" s="2576"/>
      <c r="E18" s="2576"/>
      <c r="F18" s="2576"/>
    </row>
    <row r="19" spans="1:6" ht="20.65" customHeight="1" x14ac:dyDescent="0.2">
      <c r="A19" s="1059"/>
      <c r="B19" s="1060"/>
      <c r="C19" s="1061"/>
      <c r="D19" s="2576"/>
      <c r="E19" s="2576"/>
      <c r="F19" s="2576"/>
    </row>
    <row r="20" spans="1:6" ht="20.65" customHeight="1" x14ac:dyDescent="0.2">
      <c r="A20" s="1059"/>
      <c r="B20" s="1060"/>
      <c r="C20" s="1061"/>
      <c r="D20" s="2576"/>
      <c r="E20" s="2576"/>
      <c r="F20" s="2576"/>
    </row>
    <row r="21" spans="1:6" ht="20.65" customHeight="1" x14ac:dyDescent="0.2">
      <c r="A21" s="1059"/>
      <c r="B21" s="1060"/>
      <c r="C21" s="1061"/>
      <c r="D21" s="2576"/>
      <c r="E21" s="2576"/>
      <c r="F21" s="2576"/>
    </row>
    <row r="22" spans="1:6" ht="20.65" customHeight="1" x14ac:dyDescent="0.2">
      <c r="A22" s="1059"/>
      <c r="B22" s="1060"/>
      <c r="C22" s="1061"/>
      <c r="D22" s="2576"/>
      <c r="E22" s="2576"/>
      <c r="F22" s="2576"/>
    </row>
    <row r="23" spans="1:6" ht="20.65" customHeight="1" x14ac:dyDescent="0.2">
      <c r="A23" s="1059"/>
      <c r="B23" s="1060"/>
      <c r="C23" s="1061"/>
      <c r="D23" s="2576"/>
      <c r="E23" s="2576"/>
      <c r="F23" s="2576"/>
    </row>
    <row r="24" spans="1:6" ht="20.65" customHeight="1" x14ac:dyDescent="0.2">
      <c r="A24" s="1059"/>
      <c r="B24" s="1060"/>
      <c r="C24" s="1061"/>
      <c r="D24" s="2576"/>
      <c r="E24" s="2576"/>
      <c r="F24" s="2576"/>
    </row>
    <row r="25" spans="1:6" ht="20.65" customHeight="1" x14ac:dyDescent="0.2">
      <c r="A25" s="1059"/>
      <c r="B25" s="1060"/>
      <c r="C25" s="1061"/>
      <c r="D25" s="2576"/>
      <c r="E25" s="2576"/>
      <c r="F25" s="2576"/>
    </row>
    <row r="26" spans="1:6" ht="20.65" customHeight="1" x14ac:dyDescent="0.2">
      <c r="A26" s="1059"/>
      <c r="B26" s="1060"/>
      <c r="C26" s="1061"/>
      <c r="D26" s="2576"/>
      <c r="E26" s="2576"/>
      <c r="F26" s="2576"/>
    </row>
    <row r="27" spans="1:6" ht="20.65" customHeight="1" x14ac:dyDescent="0.2">
      <c r="A27" s="1059"/>
      <c r="B27" s="1060"/>
      <c r="C27" s="1061"/>
      <c r="D27" s="2576"/>
      <c r="E27" s="2576"/>
      <c r="F27" s="2576"/>
    </row>
    <row r="28" spans="1:6" ht="20.65" customHeight="1" x14ac:dyDescent="0.2">
      <c r="A28" s="1059"/>
      <c r="B28" s="1060"/>
      <c r="C28" s="1061"/>
      <c r="D28" s="2576"/>
      <c r="E28" s="2576"/>
      <c r="F28" s="2576"/>
    </row>
    <row r="29" spans="1:6" ht="20.65" customHeight="1" x14ac:dyDescent="0.2">
      <c r="A29" s="1059"/>
      <c r="B29" s="1060"/>
      <c r="C29" s="1061"/>
      <c r="D29" s="2576"/>
      <c r="E29" s="2576"/>
      <c r="F29" s="2576"/>
    </row>
    <row r="30" spans="1:6" ht="12" customHeight="1" x14ac:dyDescent="0.2">
      <c r="A30" s="306"/>
      <c r="B30" s="306"/>
      <c r="C30" s="1233"/>
      <c r="D30" s="1526"/>
      <c r="E30" s="1062"/>
    </row>
    <row r="31" spans="1:6" ht="12" customHeight="1" x14ac:dyDescent="0.2">
      <c r="A31" s="1063" t="s">
        <v>1535</v>
      </c>
      <c r="B31" s="306"/>
      <c r="C31" s="1233"/>
      <c r="D31" s="1526"/>
      <c r="E31" s="1062"/>
    </row>
    <row r="32" spans="1:6" ht="30" customHeight="1" x14ac:dyDescent="0.2">
      <c r="A32" s="2577" t="s">
        <v>2150</v>
      </c>
      <c r="B32" s="2577"/>
      <c r="C32" s="2577"/>
      <c r="D32" s="2577"/>
      <c r="E32" s="2577"/>
      <c r="F32" s="2577"/>
    </row>
    <row r="33" spans="1:6" ht="13.5" customHeight="1" x14ac:dyDescent="0.2">
      <c r="A33" s="306" t="s">
        <v>1420</v>
      </c>
      <c r="B33" s="306"/>
      <c r="C33" s="1064">
        <v>125439</v>
      </c>
      <c r="D33" s="1526"/>
      <c r="E33" s="1062"/>
    </row>
    <row r="34" spans="1:6" ht="13.5" customHeight="1" x14ac:dyDescent="0.2">
      <c r="A34" s="306" t="s">
        <v>1811</v>
      </c>
      <c r="B34" s="306"/>
      <c r="C34" s="1065">
        <v>0</v>
      </c>
      <c r="D34" s="1526" t="s">
        <v>1575</v>
      </c>
      <c r="E34" s="2578">
        <f>+C33+C34</f>
        <v>125439</v>
      </c>
      <c r="F34" s="2579"/>
    </row>
    <row r="35" spans="1:6" ht="12" customHeight="1" x14ac:dyDescent="0.2">
      <c r="A35" s="306"/>
      <c r="B35" s="306"/>
      <c r="C35" s="1527"/>
      <c r="D35" s="1526"/>
      <c r="E35" s="1066"/>
      <c r="F35" s="1067"/>
    </row>
    <row r="36" spans="1:6" ht="13.5" customHeight="1" x14ac:dyDescent="0.2">
      <c r="A36" s="1063" t="s">
        <v>1536</v>
      </c>
      <c r="B36" s="306"/>
      <c r="C36" s="1233"/>
      <c r="D36" s="1526"/>
      <c r="E36" s="1062"/>
    </row>
    <row r="37" spans="1:6" ht="14.25" customHeight="1" x14ac:dyDescent="0.2">
      <c r="A37" s="306" t="s">
        <v>1470</v>
      </c>
      <c r="B37" s="306"/>
      <c r="C37" s="1528"/>
      <c r="D37" s="1526"/>
      <c r="E37" s="1062"/>
    </row>
    <row r="38" spans="1:6" ht="14.25" customHeight="1" x14ac:dyDescent="0.2">
      <c r="A38" s="306"/>
      <c r="B38" s="306" t="s">
        <v>1421</v>
      </c>
      <c r="C38" s="1068" t="s">
        <v>380</v>
      </c>
      <c r="D38" s="1526"/>
      <c r="E38" s="1062"/>
    </row>
    <row r="39" spans="1:6" ht="14.25" customHeight="1" x14ac:dyDescent="0.2">
      <c r="A39" s="306"/>
      <c r="B39" s="306" t="s">
        <v>1422</v>
      </c>
      <c r="C39" s="1068" t="s">
        <v>380</v>
      </c>
      <c r="D39" s="1526"/>
      <c r="E39" s="1062"/>
    </row>
    <row r="40" spans="1:6" ht="14.25" customHeight="1" x14ac:dyDescent="0.2">
      <c r="A40" s="306"/>
      <c r="B40" s="306" t="s">
        <v>1423</v>
      </c>
      <c r="C40" s="1068" t="s">
        <v>380</v>
      </c>
      <c r="D40" s="1526"/>
      <c r="E40" s="1062"/>
    </row>
    <row r="41" spans="1:6" ht="14.25" customHeight="1" x14ac:dyDescent="0.2">
      <c r="A41" s="306"/>
      <c r="B41" s="306" t="s">
        <v>1424</v>
      </c>
      <c r="C41" s="1068" t="s">
        <v>380</v>
      </c>
      <c r="D41" s="1526"/>
      <c r="E41" s="1062"/>
    </row>
    <row r="42" spans="1:6" ht="14.25" customHeight="1" x14ac:dyDescent="0.2">
      <c r="A42" s="306" t="s">
        <v>1425</v>
      </c>
      <c r="B42" s="306"/>
      <c r="C42" s="1524" t="s">
        <v>380</v>
      </c>
      <c r="D42" s="1526"/>
      <c r="E42" s="1062"/>
    </row>
    <row r="43" spans="1:6" ht="14.25" customHeight="1" x14ac:dyDescent="0.2">
      <c r="A43" s="306" t="s">
        <v>1426</v>
      </c>
      <c r="B43" s="306"/>
      <c r="C43" s="1069" t="s">
        <v>380</v>
      </c>
      <c r="D43" s="1526"/>
      <c r="E43" s="1062"/>
    </row>
    <row r="44" spans="1:6" ht="14.25" customHeight="1" x14ac:dyDescent="0.2">
      <c r="A44" s="306"/>
      <c r="B44" s="306"/>
      <c r="C44" s="1528" t="s">
        <v>1427</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0" t="s">
        <v>1576</v>
      </c>
      <c r="C49" s="2580"/>
      <c r="D49" s="2580"/>
      <c r="E49" s="1168"/>
    </row>
    <row r="50" spans="1:5" s="1076" customFormat="1" ht="3.75" customHeight="1" x14ac:dyDescent="0.2">
      <c r="A50" s="1075"/>
      <c r="B50" s="1475"/>
      <c r="C50" s="1475"/>
      <c r="D50" s="1475"/>
      <c r="E50" s="1168"/>
    </row>
    <row r="51" spans="1:5" s="1076" customFormat="1" ht="20.25" customHeight="1" x14ac:dyDescent="0.2">
      <c r="A51" s="1077">
        <v>6</v>
      </c>
      <c r="B51" s="2575" t="s">
        <v>1537</v>
      </c>
      <c r="C51" s="2575"/>
      <c r="D51" s="2575"/>
    </row>
    <row r="52" spans="1:5" ht="14.25" customHeight="1" x14ac:dyDescent="0.2">
      <c r="A52" s="1077"/>
      <c r="B52" s="2575"/>
      <c r="C52" s="2575"/>
      <c r="D52" s="2575"/>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7" zoomScale="110" zoomScaleNormal="110" workbookViewId="0">
      <selection activeCell="D30" sqref="D30"/>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8" t="str">
        <f>'Single Audit Cover'!A7</f>
        <v xml:space="preserve"> Urbana SD 116</v>
      </c>
      <c r="C1" s="2599"/>
      <c r="D1" s="2599"/>
      <c r="E1" s="2599"/>
      <c r="F1" s="2599"/>
      <c r="G1" s="2599"/>
      <c r="H1" s="2599"/>
      <c r="I1" s="2599"/>
      <c r="J1" s="1178"/>
    </row>
    <row r="2" spans="2:10" s="295" customFormat="1" ht="12.75" customHeight="1" x14ac:dyDescent="0.2">
      <c r="B2" s="2600">
        <f>'Single Audit Cover'!E7</f>
        <v>9010116022</v>
      </c>
      <c r="C2" s="2601"/>
      <c r="D2" s="2601"/>
      <c r="E2" s="2601"/>
      <c r="F2" s="2601"/>
      <c r="G2" s="2601"/>
      <c r="H2" s="2601"/>
      <c r="I2" s="2601"/>
      <c r="J2" s="1178"/>
    </row>
    <row r="3" spans="2:10" s="295" customFormat="1" ht="12.75" customHeight="1" x14ac:dyDescent="0.2">
      <c r="B3" s="2602" t="s">
        <v>1276</v>
      </c>
      <c r="C3" s="2603"/>
      <c r="D3" s="2603"/>
      <c r="E3" s="2603"/>
      <c r="F3" s="2603"/>
      <c r="G3" s="2603"/>
      <c r="H3" s="2603"/>
      <c r="I3" s="2603"/>
      <c r="J3" s="1179"/>
    </row>
    <row r="4" spans="2:10" s="295" customFormat="1" ht="12.75" customHeight="1" x14ac:dyDescent="0.2">
      <c r="B4" s="2602" t="str">
        <f>'Single Audit Cover'!A4</f>
        <v>Year Ending June 30, 2020</v>
      </c>
      <c r="C4" s="2603"/>
      <c r="D4" s="2603"/>
      <c r="E4" s="2603"/>
      <c r="F4" s="2603"/>
      <c r="G4" s="2603"/>
      <c r="H4" s="2603"/>
      <c r="I4" s="2603"/>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2" t="s">
        <v>1275</v>
      </c>
      <c r="C7" s="2603"/>
      <c r="D7" s="2603"/>
      <c r="E7" s="2603"/>
      <c r="F7" s="2603"/>
      <c r="G7" s="2603"/>
      <c r="H7" s="2603"/>
      <c r="I7" s="2603"/>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604" t="s">
        <v>2151</v>
      </c>
      <c r="D11" s="2604"/>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t="s">
        <v>2048</v>
      </c>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t="s">
        <v>2048</v>
      </c>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t="s">
        <v>2048</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t="s">
        <v>2048</v>
      </c>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t="s">
        <v>2048</v>
      </c>
      <c r="H27" s="1076" t="s">
        <v>1267</v>
      </c>
      <c r="I27" s="1076"/>
    </row>
    <row r="28" spans="2:9" s="295" customFormat="1" ht="12.75" customHeight="1" x14ac:dyDescent="0.2">
      <c r="B28" s="1138"/>
      <c r="C28" s="1058"/>
      <c r="E28" s="1034"/>
    </row>
    <row r="29" spans="2:9" s="295" customFormat="1" ht="12.75" customHeight="1" x14ac:dyDescent="0.2">
      <c r="B29" s="1138" t="s">
        <v>1266</v>
      </c>
      <c r="C29" s="1058"/>
      <c r="D29" s="2605" t="s">
        <v>2200</v>
      </c>
      <c r="E29" s="2605"/>
      <c r="F29" s="2605"/>
      <c r="G29" s="2605"/>
      <c r="H29" s="2605"/>
      <c r="I29" s="2605"/>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t="s">
        <v>2048</v>
      </c>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6" t="s">
        <v>1728</v>
      </c>
      <c r="D37" s="2607"/>
      <c r="E37" s="2607"/>
      <c r="F37" s="2608"/>
      <c r="G37" s="2606" t="s">
        <v>1578</v>
      </c>
      <c r="H37" s="2607"/>
      <c r="I37" s="2608"/>
    </row>
    <row r="38" spans="2:9" ht="16.5" customHeight="1" x14ac:dyDescent="0.2">
      <c r="B38" s="1200" t="s">
        <v>2152</v>
      </c>
      <c r="C38" s="2594" t="s">
        <v>2153</v>
      </c>
      <c r="D38" s="2595"/>
      <c r="E38" s="2595"/>
      <c r="F38" s="2596"/>
      <c r="G38" s="2609">
        <v>1454167</v>
      </c>
      <c r="H38" s="2610"/>
      <c r="I38" s="2611"/>
    </row>
    <row r="39" spans="2:9" ht="16.5" customHeight="1" x14ac:dyDescent="0.2">
      <c r="B39" s="1200" t="s">
        <v>2086</v>
      </c>
      <c r="C39" s="2594" t="s">
        <v>2154</v>
      </c>
      <c r="D39" s="2595"/>
      <c r="E39" s="2595"/>
      <c r="F39" s="2596"/>
      <c r="G39" s="2597">
        <v>1762726</v>
      </c>
      <c r="H39" s="2597"/>
      <c r="I39" s="2597"/>
    </row>
    <row r="40" spans="2:9" ht="16.5" customHeight="1" x14ac:dyDescent="0.2">
      <c r="B40" s="1200"/>
      <c r="C40" s="2594"/>
      <c r="D40" s="2595"/>
      <c r="E40" s="2595"/>
      <c r="F40" s="2596"/>
      <c r="G40" s="2597"/>
      <c r="H40" s="2597"/>
      <c r="I40" s="2597"/>
    </row>
    <row r="41" spans="2:9" ht="16.5" customHeight="1" x14ac:dyDescent="0.2">
      <c r="B41" s="1200"/>
      <c r="C41" s="2594"/>
      <c r="D41" s="2595"/>
      <c r="E41" s="2595"/>
      <c r="F41" s="2596"/>
      <c r="G41" s="2597"/>
      <c r="H41" s="2597"/>
      <c r="I41" s="2597"/>
    </row>
    <row r="42" spans="2:9" ht="16.5" customHeight="1" x14ac:dyDescent="0.2">
      <c r="B42" s="1200"/>
      <c r="C42" s="2594"/>
      <c r="D42" s="2595"/>
      <c r="E42" s="2595"/>
      <c r="F42" s="2596"/>
      <c r="G42" s="2597"/>
      <c r="H42" s="2597"/>
      <c r="I42" s="2597"/>
    </row>
    <row r="43" spans="2:9" ht="16.5" customHeight="1" x14ac:dyDescent="0.2">
      <c r="B43" s="1200"/>
      <c r="C43" s="2587" t="s">
        <v>1579</v>
      </c>
      <c r="D43" s="2588"/>
      <c r="E43" s="2588"/>
      <c r="F43" s="2589"/>
      <c r="G43" s="2590">
        <f>SUM(G38:I42)</f>
        <v>3216893</v>
      </c>
      <c r="H43" s="2590"/>
      <c r="I43" s="2590"/>
    </row>
    <row r="44" spans="2:9" ht="12.75" customHeight="1" x14ac:dyDescent="0.2"/>
    <row r="45" spans="2:9" ht="12.75" customHeight="1" x14ac:dyDescent="0.2">
      <c r="B45" s="1919" t="str">
        <f>"Total Federal Expenditures for 7/1/"&amp;MID('AFR20'!E2,3,2)-1&amp;"-6/30/"&amp;MID('AFR20'!E2,3,2)</f>
        <v>Total Federal Expenditures for 7/1/19-6/30/20</v>
      </c>
      <c r="C45" s="1920"/>
      <c r="D45" s="2591">
        <v>7155631</v>
      </c>
      <c r="E45" s="2592"/>
    </row>
    <row r="46" spans="2:9" ht="5.25" customHeight="1" x14ac:dyDescent="0.2">
      <c r="B46" s="1201"/>
      <c r="D46" s="1202"/>
      <c r="E46" s="1203"/>
    </row>
    <row r="47" spans="2:9" ht="12.75" customHeight="1" x14ac:dyDescent="0.2">
      <c r="B47" s="1076" t="s">
        <v>1580</v>
      </c>
      <c r="C47" s="1076"/>
      <c r="D47" s="1204">
        <f>+G43/D45</f>
        <v>0.44956105198828727</v>
      </c>
      <c r="E47" s="1205"/>
      <c r="F47" s="1206"/>
      <c r="I47" s="1207"/>
    </row>
    <row r="48" spans="2:9" ht="9.9499999999999993" customHeight="1" x14ac:dyDescent="0.2"/>
    <row r="49" spans="1:9" x14ac:dyDescent="0.2">
      <c r="B49" s="1138" t="s">
        <v>1264</v>
      </c>
      <c r="C49" s="1058"/>
      <c r="D49" s="1058"/>
      <c r="E49" s="2593">
        <v>750000</v>
      </c>
      <c r="F49" s="2593"/>
      <c r="G49" s="2593"/>
      <c r="H49" s="300"/>
    </row>
    <row r="51" spans="1:9" ht="13.5" customHeight="1" x14ac:dyDescent="0.2">
      <c r="B51" s="1138" t="s">
        <v>1263</v>
      </c>
      <c r="C51" s="1058"/>
      <c r="E51" s="1194"/>
      <c r="F51" s="1076" t="s">
        <v>879</v>
      </c>
      <c r="G51" s="1194" t="s">
        <v>2048</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1583</v>
      </c>
      <c r="C63" s="1214"/>
      <c r="D63" s="121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O23" sqref="O2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8" t="str">
        <f>'Single Audit Cover'!A7</f>
        <v xml:space="preserve"> Urbana SD 116</v>
      </c>
      <c r="C1" s="2598"/>
      <c r="D1" s="2598"/>
      <c r="E1" s="2598"/>
      <c r="F1" s="2598"/>
      <c r="G1" s="2598"/>
      <c r="H1" s="2598"/>
      <c r="I1" s="2598"/>
      <c r="J1" s="2598"/>
      <c r="K1" s="2598"/>
      <c r="L1" s="1144"/>
      <c r="M1" s="1144"/>
    </row>
    <row r="2" spans="1:13" ht="12" customHeight="1" x14ac:dyDescent="0.2">
      <c r="B2" s="2600">
        <f>'Single Audit Cover'!E7</f>
        <v>9010116022</v>
      </c>
      <c r="C2" s="2600"/>
      <c r="D2" s="2600"/>
      <c r="E2" s="2600"/>
      <c r="F2" s="2600"/>
      <c r="G2" s="2600"/>
      <c r="H2" s="2600"/>
      <c r="I2" s="2600"/>
      <c r="J2" s="2600"/>
      <c r="K2" s="2600"/>
      <c r="L2" s="1145"/>
      <c r="M2" s="1146"/>
    </row>
    <row r="3" spans="1:13" ht="10.35" customHeight="1" x14ac:dyDescent="0.2">
      <c r="B3" s="2614" t="s">
        <v>1276</v>
      </c>
      <c r="C3" s="2614"/>
      <c r="D3" s="2614"/>
      <c r="E3" s="2614"/>
      <c r="F3" s="2614"/>
      <c r="G3" s="2614"/>
      <c r="H3" s="2614"/>
      <c r="I3" s="2614"/>
      <c r="J3" s="2614"/>
      <c r="K3" s="2614"/>
      <c r="L3" s="1147"/>
      <c r="M3" s="1147"/>
    </row>
    <row r="4" spans="1:13" ht="14.25" customHeight="1" x14ac:dyDescent="0.2">
      <c r="B4" s="2615" t="str">
        <f>'Single Audit Cover'!A4</f>
        <v>Year Ending June 30, 2020</v>
      </c>
      <c r="C4" s="2615"/>
      <c r="D4" s="2615"/>
      <c r="E4" s="2615"/>
      <c r="F4" s="2615"/>
      <c r="G4" s="2615"/>
      <c r="H4" s="2615"/>
      <c r="I4" s="2615"/>
      <c r="J4" s="2615"/>
      <c r="K4" s="2615"/>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5" t="s">
        <v>1287</v>
      </c>
      <c r="C7" s="2615"/>
      <c r="D7" s="2616"/>
      <c r="E7" s="2616"/>
      <c r="F7" s="2616"/>
      <c r="G7" s="2616"/>
      <c r="H7" s="2616"/>
      <c r="I7" s="2616"/>
      <c r="J7" s="2616"/>
      <c r="K7" s="2616"/>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1" t="str">
        <f>'AFR20'!$E$2&amp;"-"</f>
        <v>2020-</v>
      </c>
      <c r="D10" s="1155" t="s">
        <v>2149</v>
      </c>
      <c r="E10" s="300"/>
      <c r="F10" s="1156" t="s">
        <v>1286</v>
      </c>
      <c r="G10" s="1157"/>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13"/>
      <c r="C14" s="2613"/>
      <c r="D14" s="2613"/>
      <c r="E14" s="2613"/>
      <c r="F14" s="2613"/>
      <c r="G14" s="2613"/>
      <c r="H14" s="2613"/>
      <c r="I14" s="2613"/>
      <c r="J14" s="2613"/>
      <c r="K14" s="2613"/>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13"/>
      <c r="C17" s="2613"/>
      <c r="D17" s="2613"/>
      <c r="E17" s="2613"/>
      <c r="F17" s="2613"/>
      <c r="G17" s="2613"/>
      <c r="H17" s="2613"/>
      <c r="I17" s="2613"/>
      <c r="J17" s="2613"/>
      <c r="K17" s="2613"/>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7"/>
      <c r="C20" s="2617"/>
      <c r="D20" s="2613"/>
      <c r="E20" s="2613"/>
      <c r="F20" s="2613"/>
      <c r="G20" s="2613"/>
      <c r="H20" s="2613"/>
      <c r="I20" s="2613"/>
      <c r="J20" s="2613"/>
      <c r="K20" s="2613"/>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13"/>
      <c r="C23" s="2613"/>
      <c r="D23" s="2613"/>
      <c r="E23" s="2613"/>
      <c r="F23" s="2613"/>
      <c r="G23" s="2613"/>
      <c r="H23" s="2613"/>
      <c r="I23" s="2613"/>
      <c r="J23" s="2613"/>
      <c r="K23" s="2613"/>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13"/>
      <c r="C26" s="2613"/>
      <c r="D26" s="2613"/>
      <c r="E26" s="2613"/>
      <c r="F26" s="2613"/>
      <c r="G26" s="2613"/>
      <c r="H26" s="2613"/>
      <c r="I26" s="2613"/>
      <c r="J26" s="2613"/>
      <c r="K26" s="2613"/>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12"/>
      <c r="C29" s="2612"/>
      <c r="D29" s="2613"/>
      <c r="E29" s="2613"/>
      <c r="F29" s="2613"/>
      <c r="G29" s="2613"/>
      <c r="H29" s="2613"/>
      <c r="I29" s="2613"/>
      <c r="J29" s="2613"/>
      <c r="K29" s="2613"/>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2"/>
      <c r="C32" s="2612"/>
      <c r="D32" s="2613"/>
      <c r="E32" s="2613"/>
      <c r="F32" s="2613"/>
      <c r="G32" s="2613"/>
      <c r="H32" s="2613"/>
      <c r="I32" s="2613"/>
      <c r="J32" s="2613"/>
      <c r="K32" s="2613"/>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1277</v>
      </c>
      <c r="C39" s="1076"/>
      <c r="M39" s="1177"/>
    </row>
    <row r="40" spans="1:13" ht="12.6" customHeight="1" x14ac:dyDescent="0.2">
      <c r="B40" s="1176" t="s">
        <v>1724</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1" t="str">
        <f>'Single Audit Cover'!A7</f>
        <v xml:space="preserve"> Urbana SD 116</v>
      </c>
      <c r="C1" s="2621"/>
      <c r="D1" s="2621"/>
      <c r="E1" s="2621"/>
      <c r="F1" s="2621"/>
      <c r="G1" s="2621"/>
      <c r="H1" s="2621"/>
      <c r="I1" s="2621"/>
      <c r="J1" s="2621"/>
      <c r="K1" s="2621"/>
      <c r="L1" s="1221"/>
    </row>
    <row r="2" spans="1:12" ht="12.75" customHeight="1" x14ac:dyDescent="0.2">
      <c r="B2" s="2622">
        <f>'Single Audit Cover'!E7</f>
        <v>9010116022</v>
      </c>
      <c r="C2" s="2622"/>
      <c r="D2" s="2622"/>
      <c r="E2" s="2622"/>
      <c r="F2" s="2622"/>
      <c r="G2" s="2622"/>
      <c r="H2" s="2622"/>
      <c r="I2" s="2622"/>
      <c r="J2" s="2622"/>
      <c r="K2" s="2622"/>
      <c r="L2" s="1222"/>
    </row>
    <row r="3" spans="1:12" ht="12.75" customHeight="1" x14ac:dyDescent="0.2">
      <c r="B3" s="2614" t="s">
        <v>1276</v>
      </c>
      <c r="C3" s="2614"/>
      <c r="D3" s="2614"/>
      <c r="E3" s="2614"/>
      <c r="F3" s="2614"/>
      <c r="G3" s="2614"/>
      <c r="H3" s="2614"/>
      <c r="I3" s="2614"/>
      <c r="J3" s="2614"/>
      <c r="K3" s="2614"/>
      <c r="L3" s="1147"/>
    </row>
    <row r="4" spans="1:12" ht="12.75" customHeight="1" x14ac:dyDescent="0.2">
      <c r="B4" s="2614" t="str">
        <f>'Single Audit Cover'!A4</f>
        <v>Year Ending June 30, 2020</v>
      </c>
      <c r="C4" s="2614"/>
      <c r="D4" s="2614"/>
      <c r="E4" s="2614"/>
      <c r="F4" s="2614"/>
      <c r="G4" s="2614"/>
      <c r="H4" s="2614"/>
      <c r="I4" s="2614"/>
      <c r="J4" s="2614"/>
      <c r="K4" s="2614"/>
      <c r="L4" s="1147"/>
    </row>
    <row r="5" spans="1:12" ht="5.25" customHeight="1" x14ac:dyDescent="0.2">
      <c r="B5" s="1036" t="s">
        <v>1161</v>
      </c>
      <c r="C5" s="1036"/>
      <c r="L5" s="300"/>
    </row>
    <row r="6" spans="1:12" ht="30.75" customHeight="1" x14ac:dyDescent="0.2">
      <c r="A6" s="300"/>
      <c r="B6" s="2623" t="s">
        <v>1299</v>
      </c>
      <c r="C6" s="2623"/>
      <c r="D6" s="2623"/>
      <c r="E6" s="2623"/>
      <c r="F6" s="2623"/>
      <c r="G6" s="2623"/>
      <c r="H6" s="2623"/>
      <c r="I6" s="2623"/>
      <c r="J6" s="2623"/>
      <c r="K6" s="2623"/>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1" t="str">
        <f>'AFR20'!$E$2&amp;"-"</f>
        <v>2020-</v>
      </c>
      <c r="D8" s="1223" t="s">
        <v>2149</v>
      </c>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605"/>
      <c r="G12" s="2605"/>
      <c r="H12" s="2605"/>
      <c r="I12" s="2605"/>
      <c r="J12" s="2605"/>
      <c r="K12" s="260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18"/>
      <c r="E14" s="2618"/>
      <c r="F14" s="2618"/>
      <c r="H14" s="1230" t="s">
        <v>1294</v>
      </c>
      <c r="I14" s="2619"/>
      <c r="J14" s="2619"/>
      <c r="K14" s="261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19"/>
      <c r="E16" s="2619"/>
      <c r="F16" s="2619"/>
      <c r="G16" s="2619"/>
      <c r="H16" s="2619"/>
      <c r="I16" s="2619"/>
      <c r="J16" s="2619"/>
      <c r="K16" s="2619"/>
      <c r="L16" s="300"/>
    </row>
    <row r="17" spans="2:12" ht="13.5" customHeight="1" x14ac:dyDescent="0.2">
      <c r="B17" s="1156" t="s">
        <v>1292</v>
      </c>
      <c r="C17" s="1156"/>
      <c r="D17" s="2620"/>
      <c r="E17" s="2620"/>
      <c r="F17" s="2620"/>
      <c r="G17" s="2620"/>
      <c r="H17" s="2620"/>
      <c r="I17" s="2620"/>
      <c r="J17" s="2620"/>
      <c r="K17" s="262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13"/>
      <c r="C20" s="2613"/>
      <c r="D20" s="2613"/>
      <c r="E20" s="2613"/>
      <c r="F20" s="2613"/>
      <c r="G20" s="2613"/>
      <c r="H20" s="2613"/>
      <c r="I20" s="2613"/>
      <c r="J20" s="2613"/>
      <c r="K20" s="2613"/>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3"/>
      <c r="C23" s="2613"/>
      <c r="D23" s="2613"/>
      <c r="E23" s="2613"/>
      <c r="F23" s="2613"/>
      <c r="G23" s="2613"/>
      <c r="H23" s="2613"/>
      <c r="I23" s="2613"/>
      <c r="J23" s="2613"/>
      <c r="K23" s="2613"/>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3"/>
      <c r="C26" s="2613"/>
      <c r="D26" s="2613"/>
      <c r="E26" s="2613"/>
      <c r="F26" s="2613"/>
      <c r="G26" s="2613"/>
      <c r="H26" s="2613"/>
      <c r="I26" s="2613"/>
      <c r="J26" s="2613"/>
      <c r="K26" s="2613"/>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3"/>
      <c r="C29" s="2613"/>
      <c r="D29" s="2613"/>
      <c r="E29" s="2613"/>
      <c r="F29" s="2613"/>
      <c r="G29" s="2613"/>
      <c r="H29" s="2613"/>
      <c r="I29" s="2613"/>
      <c r="J29" s="2613"/>
      <c r="K29" s="2613"/>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13"/>
      <c r="C32" s="2613"/>
      <c r="D32" s="2613"/>
      <c r="E32" s="2613"/>
      <c r="F32" s="2613"/>
      <c r="G32" s="2613"/>
      <c r="H32" s="2613"/>
      <c r="I32" s="2613"/>
      <c r="J32" s="2613"/>
      <c r="K32" s="2613"/>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13"/>
      <c r="C35" s="2613"/>
      <c r="D35" s="2613"/>
      <c r="E35" s="2613"/>
      <c r="F35" s="2613"/>
      <c r="G35" s="2613"/>
      <c r="H35" s="2613"/>
      <c r="I35" s="2613"/>
      <c r="J35" s="2613"/>
      <c r="K35" s="2613"/>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13"/>
      <c r="C38" s="2613"/>
      <c r="D38" s="2613"/>
      <c r="E38" s="2613"/>
      <c r="F38" s="2613"/>
      <c r="G38" s="2613"/>
      <c r="H38" s="2613"/>
      <c r="I38" s="2613"/>
      <c r="J38" s="2613"/>
      <c r="K38" s="2613"/>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3"/>
      <c r="C41" s="2613"/>
      <c r="D41" s="2613"/>
      <c r="E41" s="2613"/>
      <c r="F41" s="2613"/>
      <c r="G41" s="2613"/>
      <c r="H41" s="2613"/>
      <c r="I41" s="2613"/>
      <c r="J41" s="2613"/>
      <c r="K41" s="2613"/>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8" t="str">
        <f>'Single Audit Cover'!A7</f>
        <v xml:space="preserve"> Urbana SD 116</v>
      </c>
      <c r="C1" s="2598"/>
      <c r="D1" s="2598"/>
      <c r="E1" s="1240"/>
    </row>
    <row r="2" spans="2:5" s="1058" customFormat="1" ht="12.75" customHeight="1" x14ac:dyDescent="0.2">
      <c r="B2" s="2600">
        <f>'Single Audit Cover'!E7</f>
        <v>9010116022</v>
      </c>
      <c r="C2" s="2600"/>
      <c r="D2" s="2600"/>
      <c r="E2" s="1241"/>
    </row>
    <row r="3" spans="2:5" ht="12.75" customHeight="1" x14ac:dyDescent="0.2">
      <c r="B3" s="2614" t="s">
        <v>1743</v>
      </c>
      <c r="C3" s="2614"/>
      <c r="D3" s="2614"/>
      <c r="E3" s="1050"/>
    </row>
    <row r="4" spans="2:5" s="1058" customFormat="1" ht="12.75" customHeight="1" x14ac:dyDescent="0.2">
      <c r="B4" s="2624" t="str">
        <f>'Single Audit Cover'!A4</f>
        <v>Year Ending June 30, 2020</v>
      </c>
      <c r="C4" s="2624"/>
      <c r="D4" s="2624"/>
      <c r="E4" s="1242"/>
    </row>
    <row r="5" spans="2:5" s="1058" customFormat="1" ht="40.15" customHeight="1" x14ac:dyDescent="0.2">
      <c r="B5" s="1243" t="s">
        <v>1744</v>
      </c>
      <c r="C5" s="306"/>
      <c r="D5" s="306"/>
      <c r="E5" s="306"/>
    </row>
    <row r="6" spans="2:5" s="1058" customFormat="1" ht="13.5" customHeight="1" x14ac:dyDescent="0.2">
      <c r="B6" s="1244" t="s">
        <v>1306</v>
      </c>
      <c r="C6" s="1244" t="s">
        <v>1305</v>
      </c>
      <c r="D6" s="1244" t="s">
        <v>1745</v>
      </c>
    </row>
    <row r="7" spans="2:5" ht="13.5" customHeight="1" x14ac:dyDescent="0.2">
      <c r="B7" s="1245" t="s">
        <v>2149</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1304</v>
      </c>
      <c r="C44" s="300"/>
    </row>
    <row r="45" spans="2:5" ht="12.2" customHeight="1" x14ac:dyDescent="0.2">
      <c r="B45" s="1254" t="s">
        <v>1746</v>
      </c>
    </row>
    <row r="46" spans="2:5" ht="12.2" customHeight="1" x14ac:dyDescent="0.2">
      <c r="B46" s="1254" t="s">
        <v>1747</v>
      </c>
    </row>
    <row r="47" spans="2:5" ht="12.2" customHeight="1" x14ac:dyDescent="0.2">
      <c r="B47" s="1255" t="s">
        <v>1303</v>
      </c>
    </row>
    <row r="48" spans="2:5" ht="12.2" customHeight="1" x14ac:dyDescent="0.2">
      <c r="B48" s="1255" t="s">
        <v>1302</v>
      </c>
    </row>
    <row r="49" spans="2:5" ht="12.2" customHeight="1" x14ac:dyDescent="0.2">
      <c r="B49" s="1255" t="s">
        <v>1301</v>
      </c>
    </row>
    <row r="50" spans="2:5" ht="12.2" customHeight="1" x14ac:dyDescent="0.2">
      <c r="B50" s="1255"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D11" sqref="D11:J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4" t="s">
        <v>383</v>
      </c>
      <c r="B1" s="2194"/>
      <c r="C1" s="2194"/>
      <c r="D1" s="2194"/>
      <c r="E1" s="2194"/>
      <c r="F1" s="2194"/>
      <c r="G1" s="2194"/>
      <c r="H1" s="2194"/>
      <c r="I1" s="2194"/>
      <c r="J1" s="2194"/>
      <c r="K1" s="2194"/>
      <c r="L1" s="2194"/>
      <c r="M1" s="2194"/>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692560069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3.9806000000000001E-2</v>
      </c>
      <c r="E10" s="333" t="s">
        <v>998</v>
      </c>
      <c r="F10" s="332">
        <v>6.4799999999999996E-3</v>
      </c>
      <c r="G10" s="333" t="s">
        <v>998</v>
      </c>
      <c r="H10" s="332">
        <v>1.944E-3</v>
      </c>
      <c r="I10" s="333" t="s">
        <v>999</v>
      </c>
      <c r="J10" s="1424">
        <f>ROUND(D10+F10+H10,5)</f>
        <v>4.8230000000000002E-2</v>
      </c>
      <c r="K10" s="217"/>
      <c r="L10" s="332">
        <v>9.9999999999999995E-7</v>
      </c>
      <c r="M10" s="217"/>
    </row>
    <row r="11" spans="1:14" ht="7.5" customHeight="1" x14ac:dyDescent="0.2">
      <c r="B11" s="217"/>
      <c r="C11" s="217"/>
      <c r="D11" s="2204" t="str">
        <f>IF(SUM(J10)&lt;=0.0999999,"","Enter the Tax Rates by moving the decimal two places to the left.")</f>
        <v/>
      </c>
      <c r="E11" s="2205"/>
      <c r="F11" s="2205"/>
      <c r="G11" s="2205"/>
      <c r="H11" s="2205"/>
      <c r="I11" s="2205"/>
      <c r="J11" s="220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58181245</v>
      </c>
      <c r="E16" s="1547"/>
      <c r="F16" s="1546">
        <f>SUM('Acct Summary 7-8'!C17,'Acct Summary 7-8'!D17,'Acct Summary 7-8'!F17)</f>
        <v>62087647</v>
      </c>
      <c r="G16" s="1547"/>
      <c r="H16" s="1546">
        <f>SUM(D16-F16)</f>
        <v>-3906402</v>
      </c>
      <c r="I16" s="1548"/>
      <c r="J16" s="1546">
        <f>SUM('Acct Summary 7-8'!C81,'Acct Summary 7-8'!D81,'Acct Summary 7-8'!F81,'Acct Summary 7-8'!I81)</f>
        <v>11094311</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25">
        <f>IF(B31="X",(J7*0.069),IF(B32="X",(J7*0.138),"Enter x in a.or b."))</f>
        <v>95573289.522000015</v>
      </c>
      <c r="I31" s="345"/>
      <c r="J31" s="217"/>
      <c r="K31" s="217"/>
      <c r="L31" s="217"/>
      <c r="M31" s="217"/>
    </row>
    <row r="32" spans="1:13" ht="13.35" customHeight="1" x14ac:dyDescent="0.2">
      <c r="B32" s="346" t="s">
        <v>2048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9">
        <f>'Assets-Liab 5-6'!N36</f>
        <v>32019000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5"/>
      <c r="C54" s="2196"/>
      <c r="D54" s="2196"/>
      <c r="E54" s="2196"/>
      <c r="F54" s="2196"/>
      <c r="G54" s="2196"/>
      <c r="H54" s="2196"/>
      <c r="I54" s="2196"/>
      <c r="J54" s="2196"/>
      <c r="K54" s="2196"/>
      <c r="L54" s="2197"/>
      <c r="M54" s="357"/>
    </row>
    <row r="55" spans="1:13" ht="12.75" customHeight="1" x14ac:dyDescent="0.2">
      <c r="B55" s="2198"/>
      <c r="C55" s="2199"/>
      <c r="D55" s="2199"/>
      <c r="E55" s="2199"/>
      <c r="F55" s="2199"/>
      <c r="G55" s="2199"/>
      <c r="H55" s="2199"/>
      <c r="I55" s="2199"/>
      <c r="J55" s="2199"/>
      <c r="K55" s="2199"/>
      <c r="L55" s="2200"/>
      <c r="M55" s="357"/>
    </row>
    <row r="56" spans="1:13" ht="12.75" customHeight="1" x14ac:dyDescent="0.2">
      <c r="B56" s="2198"/>
      <c r="C56" s="2199"/>
      <c r="D56" s="2199"/>
      <c r="E56" s="2199"/>
      <c r="F56" s="2199"/>
      <c r="G56" s="2199"/>
      <c r="H56" s="2199"/>
      <c r="I56" s="2199"/>
      <c r="J56" s="2199"/>
      <c r="K56" s="2199"/>
      <c r="L56" s="2200"/>
      <c r="M56" s="217"/>
    </row>
    <row r="57" spans="1:13" ht="12.75" customHeight="1" x14ac:dyDescent="0.2">
      <c r="B57" s="2198"/>
      <c r="C57" s="2199"/>
      <c r="D57" s="2199"/>
      <c r="E57" s="2199"/>
      <c r="F57" s="2199"/>
      <c r="G57" s="2199"/>
      <c r="H57" s="2199"/>
      <c r="I57" s="2199"/>
      <c r="J57" s="2199"/>
      <c r="K57" s="2199"/>
      <c r="L57" s="2200"/>
      <c r="M57" s="217"/>
    </row>
    <row r="58" spans="1:13" x14ac:dyDescent="0.2">
      <c r="B58" s="2201"/>
      <c r="C58" s="2202"/>
      <c r="D58" s="2202"/>
      <c r="E58" s="2202"/>
      <c r="F58" s="2202"/>
      <c r="G58" s="2202"/>
      <c r="H58" s="2202"/>
      <c r="I58" s="2202"/>
      <c r="J58" s="2202"/>
      <c r="K58" s="2202"/>
      <c r="L58" s="220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6"/>
      <c r="D61" s="220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E13" zoomScale="110" zoomScaleNormal="110" workbookViewId="0">
      <selection activeCell="P54" sqref="P5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9"/>
      <c r="B1" s="2210"/>
      <c r="C1" s="2210"/>
      <c r="D1" s="361"/>
      <c r="E1" s="361"/>
      <c r="F1" s="361"/>
      <c r="G1" s="361"/>
      <c r="H1" s="361"/>
      <c r="I1" s="361"/>
      <c r="J1" s="361"/>
      <c r="K1" s="361"/>
      <c r="L1" s="361"/>
      <c r="M1" s="361"/>
      <c r="N1" s="361"/>
      <c r="O1" s="2209"/>
      <c r="P1" s="2210"/>
      <c r="Q1" s="2210"/>
    </row>
    <row r="2" spans="1:18" ht="15" x14ac:dyDescent="0.2">
      <c r="A2" s="2213" t="s">
        <v>552</v>
      </c>
      <c r="B2" s="2213"/>
      <c r="C2" s="2213"/>
      <c r="D2" s="2213"/>
      <c r="E2" s="2213"/>
      <c r="F2" s="2213"/>
      <c r="G2" s="2213"/>
      <c r="H2" s="2213"/>
      <c r="I2" s="2213"/>
      <c r="J2" s="2213"/>
      <c r="K2" s="2213"/>
      <c r="L2" s="2213"/>
      <c r="M2" s="2213"/>
      <c r="N2" s="2213"/>
      <c r="O2" s="2213"/>
      <c r="P2" s="2213"/>
      <c r="Q2" s="2213"/>
      <c r="R2" s="2213"/>
    </row>
    <row r="3" spans="1:18" ht="12.75" x14ac:dyDescent="0.2">
      <c r="A3" s="2214" t="s">
        <v>1399</v>
      </c>
      <c r="B3" s="2214"/>
      <c r="C3" s="2214"/>
      <c r="D3" s="2214"/>
      <c r="E3" s="2214"/>
      <c r="F3" s="2214"/>
      <c r="G3" s="2214"/>
      <c r="H3" s="2214"/>
      <c r="I3" s="2214"/>
      <c r="J3" s="2214"/>
      <c r="K3" s="2214"/>
      <c r="L3" s="2214"/>
      <c r="M3" s="2214"/>
      <c r="N3" s="2214"/>
      <c r="O3" s="2214"/>
      <c r="P3" s="2214"/>
      <c r="Q3" s="2214"/>
      <c r="R3" s="2214"/>
    </row>
    <row r="4" spans="1:18" x14ac:dyDescent="0.2">
      <c r="A4" s="2215" t="s">
        <v>1540</v>
      </c>
      <c r="B4" s="2215"/>
      <c r="C4" s="2215"/>
      <c r="D4" s="2215"/>
      <c r="E4" s="2215"/>
      <c r="F4" s="2215"/>
      <c r="G4" s="2215"/>
      <c r="H4" s="2215"/>
      <c r="I4" s="2215"/>
      <c r="J4" s="2215"/>
      <c r="K4" s="2215"/>
      <c r="L4" s="2215"/>
      <c r="M4" s="2215"/>
      <c r="N4" s="2215"/>
      <c r="O4" s="2215"/>
      <c r="P4" s="2215"/>
      <c r="Q4" s="2215"/>
      <c r="R4" s="221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Urbana SD 116</v>
      </c>
      <c r="E7" s="368"/>
      <c r="G7" s="247"/>
      <c r="H7" s="364"/>
      <c r="I7" s="364"/>
      <c r="J7" s="364"/>
      <c r="K7" s="364"/>
      <c r="L7" s="307"/>
      <c r="M7" s="307"/>
      <c r="N7" s="307"/>
      <c r="O7" s="307"/>
      <c r="P7" s="307"/>
    </row>
    <row r="8" spans="1:18" ht="12.75" x14ac:dyDescent="0.2">
      <c r="A8" s="307"/>
      <c r="B8" s="307"/>
      <c r="C8" s="366" t="s">
        <v>1117</v>
      </c>
      <c r="D8" s="369">
        <f>COVER!A13</f>
        <v>9010116022</v>
      </c>
      <c r="E8" s="370"/>
      <c r="G8" s="307"/>
      <c r="H8" s="307"/>
      <c r="I8" s="307"/>
      <c r="J8" s="307"/>
      <c r="K8" s="307"/>
      <c r="L8" s="307"/>
      <c r="M8" s="307"/>
      <c r="N8" s="307"/>
      <c r="O8" s="307"/>
      <c r="P8" s="307"/>
    </row>
    <row r="9" spans="1:18" ht="12.75" x14ac:dyDescent="0.2">
      <c r="A9" s="307"/>
      <c r="B9" s="307"/>
      <c r="C9" s="366" t="s">
        <v>708</v>
      </c>
      <c r="D9" s="371" t="str">
        <f>COVER!A15</f>
        <v>Champaign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1" t="str">
        <f>IF(K12&gt;0.24999,"4",IF(K12&gt;0.09999,"3",IF(K12&gt;=0,"2",1)))</f>
        <v>3</v>
      </c>
      <c r="P11" s="211"/>
      <c r="Q11" s="211"/>
    </row>
    <row r="12" spans="1:18" s="382" customFormat="1" ht="11.25" x14ac:dyDescent="0.2">
      <c r="A12" s="213"/>
      <c r="B12" s="377"/>
      <c r="C12" s="213" t="s">
        <v>1351</v>
      </c>
      <c r="D12" s="213"/>
      <c r="E12" s="213"/>
      <c r="F12" s="213" t="s">
        <v>1084</v>
      </c>
      <c r="G12" s="378"/>
      <c r="H12" s="1551">
        <f>SUM('Acct Summary 7-8'!C81+'Acct Summary 7-8'!D81+'Acct Summary 7-8'!F81+'Acct Summary 7-8'!I81+IF('Acct Summary 7-8'!G81&lt;0,'Acct Summary 7-8'!G81,"0")+IF('Acct Summary 7-8'!J81&lt;0,'Acct Summary 7-8'!J81,"0"))</f>
        <v>10454928</v>
      </c>
      <c r="I12" s="380"/>
      <c r="J12" s="380"/>
      <c r="K12" s="1559">
        <f>TRUNC((H12/H13*100000),5)/100000</f>
        <v>0.17969584520000001</v>
      </c>
      <c r="L12" s="381"/>
      <c r="M12" s="337" t="s">
        <v>1136</v>
      </c>
      <c r="N12" s="337"/>
      <c r="O12" s="1562">
        <v>0.35</v>
      </c>
      <c r="P12" s="213"/>
      <c r="Q12" s="213"/>
    </row>
    <row r="13" spans="1:18" s="382" customFormat="1" ht="12.75" x14ac:dyDescent="0.2">
      <c r="A13" s="213"/>
      <c r="B13" s="377"/>
      <c r="C13" s="2211" t="s">
        <v>1315</v>
      </c>
      <c r="D13" s="2212"/>
      <c r="E13" s="213"/>
      <c r="F13" s="383" t="s">
        <v>788</v>
      </c>
      <c r="G13" s="378"/>
      <c r="H13" s="1551">
        <f>SUM('Acct Summary 7-8'!C8+'Acct Summary 7-8'!D8+'Acct Summary 7-8'!F8+'Acct Summary 7-8'!I8)+H14</f>
        <v>58181245</v>
      </c>
      <c r="I13" s="380"/>
      <c r="J13" s="380"/>
      <c r="K13" s="1558"/>
      <c r="L13" s="213"/>
      <c r="M13" s="337" t="s">
        <v>1137</v>
      </c>
      <c r="N13" s="337"/>
      <c r="O13" s="1563">
        <f>(O11*O12)</f>
        <v>1.0499999999999998</v>
      </c>
      <c r="P13" s="213"/>
      <c r="Q13" s="213"/>
      <c r="R13" s="385"/>
    </row>
    <row r="14" spans="1:18" s="382" customFormat="1" ht="12.75" x14ac:dyDescent="0.2">
      <c r="A14" s="213"/>
      <c r="B14" s="377"/>
      <c r="C14" s="235" t="s">
        <v>1383</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1397</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1138</v>
      </c>
      <c r="D16" s="211"/>
      <c r="E16" s="211"/>
      <c r="F16" s="211"/>
      <c r="G16" s="211"/>
      <c r="H16" s="1553" t="s">
        <v>155</v>
      </c>
      <c r="I16" s="314"/>
      <c r="J16" s="314"/>
      <c r="K16" s="1560" t="s">
        <v>1134</v>
      </c>
      <c r="L16" s="314"/>
      <c r="M16" s="314" t="s">
        <v>1135</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62087647</v>
      </c>
      <c r="I17" s="380"/>
      <c r="J17" s="389"/>
      <c r="K17" s="1559">
        <f>TRUNC((H17/H18*100000),5)/100000</f>
        <v>1.0671419458</v>
      </c>
      <c r="L17" s="381"/>
      <c r="M17" s="390" t="s">
        <v>1163</v>
      </c>
      <c r="O17" s="1565" t="str">
        <f>IF(AND(O16="2", J20 &gt; 2),"1",IF(AND(O16 = "1", J20 &gt; 2),"2",IF(AND(O16="1", J20 &gt;1),"1","0")))</f>
        <v>0</v>
      </c>
      <c r="P17" s="213"/>
    </row>
    <row r="18" spans="1:18" s="382" customFormat="1" ht="11.25" x14ac:dyDescent="0.2">
      <c r="A18" s="213"/>
      <c r="B18" s="377"/>
      <c r="C18" s="2211" t="s">
        <v>1308</v>
      </c>
      <c r="D18" s="2212"/>
      <c r="E18" s="213"/>
      <c r="F18" s="391" t="s">
        <v>789</v>
      </c>
      <c r="G18" s="378"/>
      <c r="H18" s="1551">
        <f>SUM('Acct Summary 7-8'!C8+'Acct Summary 7-8'!D8+'Acct Summary 7-8'!F8+'Acct Summary 7-8'!I8)+H19</f>
        <v>58181245</v>
      </c>
      <c r="I18" s="380"/>
      <c r="J18" s="380"/>
      <c r="K18" s="1558"/>
      <c r="L18" s="213"/>
      <c r="M18" s="337" t="s">
        <v>1136</v>
      </c>
      <c r="N18" s="337"/>
      <c r="O18" s="1558">
        <v>0.35</v>
      </c>
      <c r="P18" s="213"/>
    </row>
    <row r="19" spans="1:18" s="382" customFormat="1" ht="11.25" x14ac:dyDescent="0.2">
      <c r="A19" s="213"/>
      <c r="B19" s="377"/>
      <c r="C19" s="235" t="s">
        <v>1383</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1397</v>
      </c>
      <c r="D20" s="213"/>
      <c r="E20" s="213"/>
      <c r="F20" s="213"/>
      <c r="G20" s="378"/>
      <c r="H20" s="1554"/>
      <c r="I20" s="380"/>
      <c r="J20" s="393">
        <f>IF(K17&lt;=1,"0",TRUNC(((K12-0.1)/(K17-1)*100),5)/100)</f>
        <v>1.1869755</v>
      </c>
      <c r="K20" s="1559" t="str">
        <f>IF(K17&lt;=1,"0",IF(AND(O16="2", J20 &gt; 2),TRUNC(((K12-0.1)/(K17-1)*100),5)/100,IF(AND(O16 = "1", J20 &gt; 2),TRUNC(((K12-0.1)/(K17-1)*100),5)/100,IF(AND(O16="1", J20 &gt;1),TRUNC(((K12-0.1)/(K17-1)*100),5)/100,""))))</f>
        <v/>
      </c>
      <c r="L20" s="213"/>
      <c r="M20" s="337" t="s">
        <v>1137</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1139</v>
      </c>
      <c r="D23" s="211"/>
      <c r="E23" s="211"/>
      <c r="F23" s="211"/>
      <c r="G23" s="211"/>
      <c r="H23" s="1553" t="s">
        <v>155</v>
      </c>
      <c r="I23" s="314"/>
      <c r="J23" s="314"/>
      <c r="K23" s="1560" t="s">
        <v>1140</v>
      </c>
      <c r="L23" s="314"/>
      <c r="M23" s="314" t="s">
        <v>1135</v>
      </c>
      <c r="N23" s="314"/>
      <c r="O23" s="1561" t="str">
        <f>IF(K24&gt;=180,"4",IF(K24&gt;=90,"3",IF(K24&gt;=30,"2",1)))</f>
        <v>2</v>
      </c>
      <c r="P23" s="211"/>
      <c r="R23" s="361"/>
    </row>
    <row r="24" spans="1:18" s="382" customFormat="1" ht="11.25" x14ac:dyDescent="0.2">
      <c r="A24" s="213"/>
      <c r="B24" s="377"/>
      <c r="C24" s="2208" t="s">
        <v>1398</v>
      </c>
      <c r="D24" s="2208"/>
      <c r="E24" s="213"/>
      <c r="F24" s="213" t="s">
        <v>442</v>
      </c>
      <c r="G24" s="378"/>
      <c r="H24" s="1551">
        <f>SUM('Assets-Liab 5-6'!C4+'Assets-Liab 5-6'!D4+'Assets-Liab 5-6'!F4+'Assets-Liab 5-6'!I4+'Assets-Liab 5-6'!C5+'Assets-Liab 5-6'!D5+'Assets-Liab 5-6'!F5+'Assets-Liab 5-6'!I5)</f>
        <v>7832730</v>
      </c>
      <c r="I24" s="394"/>
      <c r="J24" s="394"/>
      <c r="K24" s="1555">
        <f>TRUNC(((H24/H25*100000)/100000),2)</f>
        <v>45.41</v>
      </c>
      <c r="L24" s="395"/>
      <c r="M24" s="337" t="s">
        <v>1136</v>
      </c>
      <c r="N24" s="337"/>
      <c r="O24" s="1563">
        <v>0.1</v>
      </c>
      <c r="P24" s="213"/>
    </row>
    <row r="25" spans="1:18" s="382" customFormat="1" ht="12.75" x14ac:dyDescent="0.2">
      <c r="A25" s="213"/>
      <c r="B25" s="377"/>
      <c r="C25" s="213" t="s">
        <v>793</v>
      </c>
      <c r="D25" s="213"/>
      <c r="E25" s="213"/>
      <c r="F25" s="213" t="s">
        <v>443</v>
      </c>
      <c r="G25" s="378"/>
      <c r="H25" s="1555">
        <f>ROUND((H17/360),5)</f>
        <v>172465.68611000001</v>
      </c>
      <c r="I25" s="396"/>
      <c r="J25" s="396"/>
      <c r="K25" s="1558"/>
      <c r="L25" s="213"/>
      <c r="M25" s="337" t="s">
        <v>1137</v>
      </c>
      <c r="N25" s="337"/>
      <c r="O25" s="1563">
        <f>O23*O24</f>
        <v>0.2</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1135</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1136</v>
      </c>
      <c r="N28" s="337"/>
      <c r="O28" s="1567">
        <v>0.1</v>
      </c>
      <c r="P28" s="213"/>
    </row>
    <row r="29" spans="1:18" s="382" customFormat="1" ht="11.25" x14ac:dyDescent="0.2">
      <c r="A29" s="213"/>
      <c r="B29" s="377"/>
      <c r="C29" s="213" t="s">
        <v>791</v>
      </c>
      <c r="D29" s="213"/>
      <c r="E29" s="213"/>
      <c r="F29" s="213" t="s">
        <v>795</v>
      </c>
      <c r="G29" s="378"/>
      <c r="H29" s="1557">
        <f>ROUND((0.85*'FP Info 3'!J7*'FP Info 3'!J10),5)</f>
        <v>28391846.30869</v>
      </c>
      <c r="I29" s="397"/>
      <c r="J29" s="397"/>
      <c r="K29" s="1558"/>
      <c r="L29" s="213"/>
      <c r="M29" s="337" t="s">
        <v>1137</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1135</v>
      </c>
      <c r="N31" s="314"/>
      <c r="O31" s="1561" t="str">
        <f>IF(K32&gt;=75,"4",IF(K32&gt;=50,"3",IF(K32&gt;=25,"2",1)))</f>
        <v>3</v>
      </c>
      <c r="P31" s="211"/>
    </row>
    <row r="32" spans="1:18" s="382" customFormat="1" ht="11.25" x14ac:dyDescent="0.2">
      <c r="A32" s="213"/>
      <c r="B32" s="377"/>
      <c r="C32" s="213" t="s">
        <v>842</v>
      </c>
      <c r="D32" s="213"/>
      <c r="E32" s="213"/>
      <c r="F32" s="213"/>
      <c r="G32" s="378"/>
      <c r="H32" s="1551">
        <f>'FP Info 3'!H37</f>
        <v>32019000</v>
      </c>
      <c r="I32" s="392"/>
      <c r="J32" s="392"/>
      <c r="K32" s="1555">
        <f>TRUNC(100-((((H32/H33*100))*100)/100),2)</f>
        <v>66.489999999999995</v>
      </c>
      <c r="L32" s="381"/>
      <c r="M32" s="337" t="s">
        <v>1136</v>
      </c>
      <c r="N32" s="337"/>
      <c r="O32" s="1568">
        <v>0.1</v>
      </c>
    </row>
    <row r="33" spans="1:17" s="382" customFormat="1" ht="11.25" x14ac:dyDescent="0.2">
      <c r="A33" s="213"/>
      <c r="B33" s="377"/>
      <c r="C33" s="213" t="s">
        <v>794</v>
      </c>
      <c r="D33" s="213"/>
      <c r="E33" s="213"/>
      <c r="F33" s="213"/>
      <c r="G33" s="378"/>
      <c r="H33" s="379">
        <f>IF('FP Info 3'!H31="Enter X in a or b"," ",'FP Info 3'!H31)</f>
        <v>95573289.522000015</v>
      </c>
      <c r="I33" s="392"/>
      <c r="J33" s="392"/>
      <c r="K33" s="379"/>
      <c r="L33" s="213"/>
      <c r="M33" s="401" t="s">
        <v>1137</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WARNING</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D43" sqref="D4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6"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7"/>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8" t="s">
        <v>967</v>
      </c>
      <c r="B3" s="2219"/>
      <c r="C3" s="1306"/>
      <c r="D3" s="1307"/>
      <c r="E3" s="1307"/>
      <c r="F3" s="1307"/>
      <c r="G3" s="1307"/>
      <c r="H3" s="1307"/>
      <c r="I3" s="1307"/>
      <c r="J3" s="1307"/>
      <c r="K3" s="1307"/>
      <c r="L3" s="1307"/>
      <c r="M3" s="1308"/>
      <c r="N3" s="1309"/>
    </row>
    <row r="4" spans="1:14" ht="13.5" customHeight="1" x14ac:dyDescent="0.2">
      <c r="A4" s="427" t="s">
        <v>1635</v>
      </c>
      <c r="B4" s="428"/>
      <c r="C4" s="1572">
        <f>963633+4127752</f>
        <v>5091385</v>
      </c>
      <c r="D4" s="1573">
        <v>812858</v>
      </c>
      <c r="E4" s="1573"/>
      <c r="F4" s="1573">
        <v>396144</v>
      </c>
      <c r="G4" s="1573">
        <v>323521</v>
      </c>
      <c r="H4" s="1573">
        <v>8364744</v>
      </c>
      <c r="I4" s="1573">
        <v>1532343</v>
      </c>
      <c r="J4" s="1574"/>
      <c r="K4" s="1573">
        <v>309559</v>
      </c>
      <c r="L4" s="1573">
        <v>1776343</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v>19300966</v>
      </c>
      <c r="D6" s="1573">
        <v>3046714</v>
      </c>
      <c r="E6" s="1573">
        <v>1812512</v>
      </c>
      <c r="F6" s="1573">
        <v>914014</v>
      </c>
      <c r="G6" s="1577">
        <v>1048483</v>
      </c>
      <c r="H6" s="1577"/>
      <c r="I6" s="1573">
        <v>476</v>
      </c>
      <c r="J6" s="1579">
        <v>529882</v>
      </c>
      <c r="K6" s="1577">
        <v>235087</v>
      </c>
      <c r="L6" s="1580"/>
      <c r="M6" s="1575"/>
      <c r="N6" s="1576"/>
    </row>
    <row r="7" spans="1:14" ht="13.5" customHeight="1" x14ac:dyDescent="0.2">
      <c r="A7" s="430" t="s">
        <v>415</v>
      </c>
      <c r="B7" s="429">
        <v>140</v>
      </c>
      <c r="C7" s="1581"/>
      <c r="D7" s="1574"/>
      <c r="E7" s="1574"/>
      <c r="F7" s="1574"/>
      <c r="G7" s="1574"/>
      <c r="H7" s="1574"/>
      <c r="I7" s="1574">
        <v>5515000</v>
      </c>
      <c r="J7" s="1574"/>
      <c r="K7" s="1574"/>
      <c r="L7" s="1582"/>
      <c r="M7" s="1575"/>
      <c r="N7" s="1576"/>
    </row>
    <row r="8" spans="1:14" ht="13.5" customHeight="1" x14ac:dyDescent="0.2">
      <c r="A8" s="430" t="s">
        <v>267</v>
      </c>
      <c r="B8" s="429">
        <v>150</v>
      </c>
      <c r="C8" s="1581">
        <f>265183+3056442</f>
        <v>3321625</v>
      </c>
      <c r="D8" s="1574"/>
      <c r="E8" s="1574"/>
      <c r="F8" s="1574">
        <v>242390</v>
      </c>
      <c r="G8" s="1583"/>
      <c r="H8" s="1574"/>
      <c r="I8" s="1579"/>
      <c r="J8" s="1579"/>
      <c r="K8" s="1584"/>
      <c r="L8" s="1585"/>
      <c r="M8" s="1575"/>
      <c r="N8" s="1576"/>
    </row>
    <row r="9" spans="1:14" ht="13.5" customHeight="1" x14ac:dyDescent="0.2">
      <c r="A9" s="430" t="s">
        <v>268</v>
      </c>
      <c r="B9" s="429">
        <v>160</v>
      </c>
      <c r="C9" s="1581">
        <f>79767+48012</f>
        <v>127779</v>
      </c>
      <c r="D9" s="1574"/>
      <c r="E9" s="1574">
        <v>275631</v>
      </c>
      <c r="F9" s="1574"/>
      <c r="G9" s="1574"/>
      <c r="H9" s="1583"/>
      <c r="I9" s="1574"/>
      <c r="J9" s="1574">
        <v>264</v>
      </c>
      <c r="K9" s="1574"/>
      <c r="L9" s="1574"/>
      <c r="M9" s="1575"/>
      <c r="N9" s="1576"/>
    </row>
    <row r="10" spans="1:14" ht="13.5" customHeight="1" x14ac:dyDescent="0.2">
      <c r="A10" s="430" t="s">
        <v>984</v>
      </c>
      <c r="B10" s="429">
        <v>170</v>
      </c>
      <c r="C10" s="1572">
        <f>86145</f>
        <v>86145</v>
      </c>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27927900</v>
      </c>
      <c r="D13" s="1587">
        <f t="shared" ref="D13:L13" si="0">SUM(D4:D12)</f>
        <v>3859572</v>
      </c>
      <c r="E13" s="1587">
        <f t="shared" si="0"/>
        <v>2088143</v>
      </c>
      <c r="F13" s="1587">
        <f t="shared" si="0"/>
        <v>1552548</v>
      </c>
      <c r="G13" s="1587">
        <f t="shared" si="0"/>
        <v>1372004</v>
      </c>
      <c r="H13" s="1587">
        <f t="shared" si="0"/>
        <v>8364744</v>
      </c>
      <c r="I13" s="1587">
        <f t="shared" si="0"/>
        <v>7047819</v>
      </c>
      <c r="J13" s="1587">
        <f t="shared" si="0"/>
        <v>530146</v>
      </c>
      <c r="K13" s="1587">
        <f t="shared" si="0"/>
        <v>544646</v>
      </c>
      <c r="L13" s="1587">
        <f t="shared" si="0"/>
        <v>1776343</v>
      </c>
      <c r="M13" s="1575"/>
      <c r="N13" s="1576"/>
    </row>
    <row r="14" spans="1:14" ht="18" customHeight="1" thickTop="1" x14ac:dyDescent="0.2">
      <c r="A14" s="2220" t="s">
        <v>146</v>
      </c>
      <c r="B14" s="2221"/>
      <c r="C14" s="1588"/>
      <c r="D14" s="1589"/>
      <c r="E14" s="1589"/>
      <c r="F14" s="1589"/>
      <c r="G14" s="1589"/>
      <c r="H14" s="1589"/>
      <c r="I14" s="1589"/>
      <c r="J14" s="1589"/>
      <c r="K14" s="1589"/>
      <c r="L14" s="1589"/>
      <c r="M14" s="1590"/>
      <c r="N14" s="1591"/>
    </row>
    <row r="15" spans="1:14" s="433" customFormat="1" ht="12.75" customHeight="1" x14ac:dyDescent="0.2">
      <c r="A15" s="431" t="s">
        <v>1387</v>
      </c>
      <c r="B15" s="432">
        <v>210</v>
      </c>
      <c r="C15" s="1582"/>
      <c r="D15" s="1582"/>
      <c r="E15" s="1582"/>
      <c r="F15" s="1582"/>
      <c r="G15" s="1582"/>
      <c r="H15" s="1582"/>
      <c r="I15" s="1582"/>
      <c r="J15" s="1582"/>
      <c r="K15" s="1582"/>
      <c r="L15" s="1582"/>
      <c r="M15" s="1583"/>
      <c r="N15" s="1592"/>
    </row>
    <row r="16" spans="1:14" s="433" customFormat="1" ht="12.75" customHeight="1" x14ac:dyDescent="0.2">
      <c r="A16" s="431" t="s">
        <v>1388</v>
      </c>
      <c r="B16" s="432">
        <v>220</v>
      </c>
      <c r="C16" s="1582"/>
      <c r="D16" s="1582"/>
      <c r="E16" s="1582"/>
      <c r="F16" s="1582"/>
      <c r="G16" s="1582"/>
      <c r="H16" s="1582"/>
      <c r="I16" s="1582"/>
      <c r="J16" s="1582"/>
      <c r="K16" s="1582"/>
      <c r="L16" s="1582"/>
      <c r="M16" s="1574">
        <v>1094121</v>
      </c>
      <c r="N16" s="1592"/>
    </row>
    <row r="17" spans="1:14" s="433" customFormat="1" ht="12.75" customHeight="1" x14ac:dyDescent="0.2">
      <c r="A17" s="431" t="s">
        <v>1389</v>
      </c>
      <c r="B17" s="432">
        <v>230</v>
      </c>
      <c r="C17" s="1582"/>
      <c r="D17" s="1582"/>
      <c r="E17" s="1582"/>
      <c r="F17" s="1582"/>
      <c r="G17" s="1582"/>
      <c r="H17" s="1582"/>
      <c r="I17" s="1582"/>
      <c r="J17" s="1582"/>
      <c r="K17" s="1582"/>
      <c r="L17" s="1582"/>
      <c r="M17" s="1574">
        <v>132692178</v>
      </c>
      <c r="N17" s="1592"/>
    </row>
    <row r="18" spans="1:14" s="433" customFormat="1" ht="12.75" customHeight="1" x14ac:dyDescent="0.2">
      <c r="A18" s="431" t="s">
        <v>1390</v>
      </c>
      <c r="B18" s="432">
        <v>240</v>
      </c>
      <c r="C18" s="1582"/>
      <c r="D18" s="1582"/>
      <c r="E18" s="1582"/>
      <c r="F18" s="1582"/>
      <c r="G18" s="1582"/>
      <c r="H18" s="1582"/>
      <c r="I18" s="1582"/>
      <c r="J18" s="1582"/>
      <c r="K18" s="1582"/>
      <c r="L18" s="1582"/>
      <c r="M18" s="1574"/>
      <c r="N18" s="1592"/>
    </row>
    <row r="19" spans="1:14" s="433" customFormat="1" ht="12.75" customHeight="1" x14ac:dyDescent="0.2">
      <c r="A19" s="431" t="s">
        <v>1391</v>
      </c>
      <c r="B19" s="432">
        <v>250</v>
      </c>
      <c r="C19" s="1582"/>
      <c r="D19" s="1582"/>
      <c r="E19" s="1582"/>
      <c r="F19" s="1582"/>
      <c r="G19" s="1582"/>
      <c r="H19" s="1582"/>
      <c r="I19" s="1582"/>
      <c r="J19" s="1582"/>
      <c r="K19" s="1582"/>
      <c r="L19" s="1582"/>
      <c r="M19" s="1574">
        <f>22913532+96446</f>
        <v>23009978</v>
      </c>
      <c r="N19" s="1592"/>
    </row>
    <row r="20" spans="1:14" s="433" customFormat="1" ht="12.75" customHeight="1" x14ac:dyDescent="0.2">
      <c r="A20" s="431" t="s">
        <v>1392</v>
      </c>
      <c r="B20" s="432">
        <v>260</v>
      </c>
      <c r="C20" s="1582"/>
      <c r="D20" s="1582"/>
      <c r="E20" s="1582"/>
      <c r="F20" s="1582"/>
      <c r="G20" s="1582"/>
      <c r="H20" s="1582"/>
      <c r="I20" s="1582"/>
      <c r="J20" s="1582"/>
      <c r="K20" s="1582"/>
      <c r="L20" s="1582"/>
      <c r="M20" s="1574"/>
      <c r="N20" s="1592"/>
    </row>
    <row r="21" spans="1:14" s="433" customFormat="1" ht="12.75" customHeight="1" x14ac:dyDescent="0.2">
      <c r="A21" s="431" t="s">
        <v>1393</v>
      </c>
      <c r="B21" s="432">
        <v>340</v>
      </c>
      <c r="C21" s="1582"/>
      <c r="D21" s="1582"/>
      <c r="E21" s="1582"/>
      <c r="F21" s="1582"/>
      <c r="G21" s="1582"/>
      <c r="H21" s="1582"/>
      <c r="I21" s="1582"/>
      <c r="J21" s="1582"/>
      <c r="K21" s="1582"/>
      <c r="L21" s="1582"/>
      <c r="M21" s="1593"/>
      <c r="N21" s="1574">
        <v>292433</v>
      </c>
    </row>
    <row r="22" spans="1:14" s="433" customFormat="1" ht="12.75" customHeight="1" x14ac:dyDescent="0.2">
      <c r="A22" s="431" t="s">
        <v>1394</v>
      </c>
      <c r="B22" s="432">
        <v>350</v>
      </c>
      <c r="C22" s="1582"/>
      <c r="D22" s="1582"/>
      <c r="E22" s="1582"/>
      <c r="F22" s="1582"/>
      <c r="G22" s="1582"/>
      <c r="H22" s="1582"/>
      <c r="I22" s="1582"/>
      <c r="J22" s="1582"/>
      <c r="K22" s="1582"/>
      <c r="L22" s="1582"/>
      <c r="M22" s="1593"/>
      <c r="N22" s="1607">
        <f>'Short-Term Long-Term Debt 24'!J49</f>
        <v>31726567</v>
      </c>
    </row>
    <row r="23" spans="1:14" ht="13.5" customHeight="1" thickBot="1" x14ac:dyDescent="0.25">
      <c r="A23" s="1426" t="s">
        <v>638</v>
      </c>
      <c r="B23" s="1429"/>
      <c r="C23" s="1575"/>
      <c r="D23" s="1575"/>
      <c r="E23" s="1575"/>
      <c r="F23" s="1575"/>
      <c r="G23" s="1575"/>
      <c r="H23" s="1575"/>
      <c r="I23" s="1575"/>
      <c r="J23" s="1575"/>
      <c r="K23" s="1575"/>
      <c r="L23" s="1575"/>
      <c r="M23" s="1594">
        <f>SUM(M15:M22)</f>
        <v>156796277</v>
      </c>
      <c r="N23" s="1594">
        <f>SUM(N21:N22)</f>
        <v>32019000</v>
      </c>
    </row>
    <row r="24" spans="1:14" ht="18" customHeight="1" thickTop="1" x14ac:dyDescent="0.2">
      <c r="A24" s="2222" t="s">
        <v>594</v>
      </c>
      <c r="B24" s="2223"/>
      <c r="C24" s="1595"/>
      <c r="D24" s="1590"/>
      <c r="E24" s="1590"/>
      <c r="F24" s="1590"/>
      <c r="G24" s="1590"/>
      <c r="H24" s="1590"/>
      <c r="I24" s="1590"/>
      <c r="J24" s="1590"/>
      <c r="K24" s="1590"/>
      <c r="L24" s="1590"/>
      <c r="M24" s="1589"/>
      <c r="N24" s="1596"/>
    </row>
    <row r="25" spans="1:14" x14ac:dyDescent="0.2">
      <c r="A25" s="430" t="s">
        <v>640</v>
      </c>
      <c r="B25" s="429">
        <v>410</v>
      </c>
      <c r="C25" s="1583">
        <f>240000</f>
        <v>240000</v>
      </c>
      <c r="D25" s="1583">
        <v>3600000</v>
      </c>
      <c r="E25" s="1583"/>
      <c r="F25" s="1583">
        <v>850000</v>
      </c>
      <c r="G25" s="1583">
        <v>725000</v>
      </c>
      <c r="H25" s="1584"/>
      <c r="I25" s="1575"/>
      <c r="J25" s="1583">
        <v>100000</v>
      </c>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f>194055+448350+20233+404110</f>
        <v>1066748</v>
      </c>
      <c r="D27" s="1574">
        <v>372</v>
      </c>
      <c r="E27" s="1574">
        <v>343778</v>
      </c>
      <c r="F27" s="1574"/>
      <c r="G27" s="1574">
        <v>198356</v>
      </c>
      <c r="H27" s="1574">
        <f>707436+30024</f>
        <v>737460</v>
      </c>
      <c r="I27" s="1574"/>
      <c r="J27" s="1574">
        <f>107923+145887</f>
        <v>253810</v>
      </c>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f>48834+4853184</f>
        <v>4902018</v>
      </c>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v>15461219</v>
      </c>
      <c r="D32" s="1599">
        <v>2440604</v>
      </c>
      <c r="E32" s="1579">
        <v>1451932</v>
      </c>
      <c r="F32" s="1579">
        <v>732182</v>
      </c>
      <c r="G32" s="1579">
        <v>839900</v>
      </c>
      <c r="H32" s="1579"/>
      <c r="I32" s="1579">
        <v>385</v>
      </c>
      <c r="J32" s="1579">
        <v>424467</v>
      </c>
      <c r="K32" s="1584">
        <v>188320</v>
      </c>
      <c r="L32" s="1575"/>
      <c r="M32" s="1575"/>
      <c r="N32" s="1575"/>
    </row>
    <row r="33" spans="1:14" ht="13.5" customHeight="1" x14ac:dyDescent="0.2">
      <c r="A33" s="436" t="s">
        <v>300</v>
      </c>
      <c r="B33" s="435">
        <v>493</v>
      </c>
      <c r="C33" s="1574"/>
      <c r="D33" s="1574"/>
      <c r="E33" s="1574"/>
      <c r="F33" s="1574"/>
      <c r="G33" s="1574"/>
      <c r="H33" s="1574"/>
      <c r="I33" s="1574"/>
      <c r="J33" s="1574"/>
      <c r="K33" s="1574"/>
      <c r="L33" s="1574">
        <v>1776343</v>
      </c>
      <c r="M33" s="1575"/>
      <c r="N33" s="1576"/>
    </row>
    <row r="34" spans="1:14" ht="13.5" customHeight="1" thickBot="1" x14ac:dyDescent="0.25">
      <c r="A34" s="1427" t="s">
        <v>649</v>
      </c>
      <c r="B34" s="1428"/>
      <c r="C34" s="1600">
        <f>SUM(C25:C33)</f>
        <v>21669985</v>
      </c>
      <c r="D34" s="1600">
        <f t="shared" ref="D34:K34" si="1">SUM(D25:D33)</f>
        <v>6040976</v>
      </c>
      <c r="E34" s="1600">
        <f t="shared" si="1"/>
        <v>1795710</v>
      </c>
      <c r="F34" s="1600">
        <f t="shared" si="1"/>
        <v>1582182</v>
      </c>
      <c r="G34" s="1600">
        <f t="shared" si="1"/>
        <v>1763256</v>
      </c>
      <c r="H34" s="1600">
        <f t="shared" si="1"/>
        <v>737460</v>
      </c>
      <c r="I34" s="1600">
        <f t="shared" si="1"/>
        <v>385</v>
      </c>
      <c r="J34" s="1600">
        <f t="shared" si="1"/>
        <v>778277</v>
      </c>
      <c r="K34" s="1600">
        <f t="shared" si="1"/>
        <v>188320</v>
      </c>
      <c r="L34" s="1601">
        <f>SUM(L33)</f>
        <v>1776343</v>
      </c>
      <c r="M34" s="1575"/>
      <c r="N34" s="1585"/>
    </row>
    <row r="35" spans="1:14" ht="18" customHeight="1" thickTop="1" x14ac:dyDescent="0.2">
      <c r="A35" s="2224" t="s">
        <v>526</v>
      </c>
      <c r="B35" s="2225"/>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32019000</v>
      </c>
    </row>
    <row r="37" spans="1:14" ht="13.5" thickBot="1" x14ac:dyDescent="0.25">
      <c r="A37" s="1426" t="s">
        <v>648</v>
      </c>
      <c r="B37" s="1429"/>
      <c r="C37" s="1582"/>
      <c r="D37" s="1582"/>
      <c r="E37" s="1582"/>
      <c r="F37" s="1582"/>
      <c r="G37" s="1582"/>
      <c r="H37" s="1582"/>
      <c r="I37" s="1582"/>
      <c r="J37" s="1582"/>
      <c r="K37" s="1582"/>
      <c r="L37" s="1585"/>
      <c r="M37" s="1575"/>
      <c r="N37" s="1594">
        <f>SUM(N36:N36)</f>
        <v>32019000</v>
      </c>
    </row>
    <row r="38" spans="1:14" s="307" customFormat="1" ht="13.5" customHeight="1" thickTop="1" x14ac:dyDescent="0.2">
      <c r="A38" s="438" t="s">
        <v>417</v>
      </c>
      <c r="B38" s="432">
        <v>714</v>
      </c>
      <c r="C38" s="1573">
        <f>86145</f>
        <v>86145</v>
      </c>
      <c r="D38" s="1573"/>
      <c r="E38" s="1573"/>
      <c r="F38" s="1573"/>
      <c r="G38" s="1573"/>
      <c r="H38" s="1573"/>
      <c r="I38" s="1573"/>
      <c r="J38" s="1574"/>
      <c r="K38" s="1573"/>
      <c r="L38" s="1586"/>
      <c r="M38" s="1604"/>
      <c r="N38" s="1604"/>
    </row>
    <row r="39" spans="1:14" s="307" customFormat="1" ht="13.5" customHeight="1" x14ac:dyDescent="0.2">
      <c r="A39" s="438" t="s">
        <v>339</v>
      </c>
      <c r="B39" s="432">
        <v>730</v>
      </c>
      <c r="C39" s="1573">
        <v>6171770</v>
      </c>
      <c r="D39" s="1573">
        <v>-2181404</v>
      </c>
      <c r="E39" s="1573">
        <v>292433</v>
      </c>
      <c r="F39" s="1573">
        <v>-29634</v>
      </c>
      <c r="G39" s="1573">
        <v>-391252</v>
      </c>
      <c r="H39" s="1573">
        <v>7627284</v>
      </c>
      <c r="I39" s="1573">
        <v>7047434</v>
      </c>
      <c r="J39" s="1574">
        <v>-248131</v>
      </c>
      <c r="K39" s="1573">
        <v>356326</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156796277</v>
      </c>
      <c r="N40" s="1604"/>
    </row>
    <row r="41" spans="1:14" ht="13.5" customHeight="1" thickBot="1" x14ac:dyDescent="0.25">
      <c r="A41" s="1426" t="s">
        <v>650</v>
      </c>
      <c r="B41" s="1405"/>
      <c r="C41" s="1594">
        <f>(SUM(C34,C37,C38,C39))</f>
        <v>27927900</v>
      </c>
      <c r="D41" s="1594">
        <f t="shared" ref="D41:L41" si="2">SUM(D34,D37,D38:D39)</f>
        <v>3859572</v>
      </c>
      <c r="E41" s="1594">
        <f t="shared" si="2"/>
        <v>2088143</v>
      </c>
      <c r="F41" s="1594">
        <f t="shared" si="2"/>
        <v>1552548</v>
      </c>
      <c r="G41" s="1594">
        <f t="shared" si="2"/>
        <v>1372004</v>
      </c>
      <c r="H41" s="1594">
        <f t="shared" si="2"/>
        <v>8364744</v>
      </c>
      <c r="I41" s="1594">
        <f t="shared" si="2"/>
        <v>7047819</v>
      </c>
      <c r="J41" s="1594">
        <f t="shared" si="2"/>
        <v>530146</v>
      </c>
      <c r="K41" s="1594">
        <f t="shared" si="2"/>
        <v>544646</v>
      </c>
      <c r="L41" s="1594">
        <f t="shared" si="2"/>
        <v>1776343</v>
      </c>
      <c r="M41" s="1594">
        <f>SUM(M40)</f>
        <v>156796277</v>
      </c>
      <c r="N41" s="1594">
        <f>SUM(N37)</f>
        <v>32019000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pane="bottomLeft" activeCell="C14" sqref="C1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4"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5"/>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6" t="s">
        <v>1167</v>
      </c>
      <c r="B3" s="2247"/>
      <c r="C3" s="1311"/>
      <c r="D3" s="1312"/>
      <c r="E3" s="1312"/>
      <c r="F3" s="1312"/>
      <c r="G3" s="1312"/>
      <c r="H3" s="1312"/>
      <c r="I3" s="1312"/>
      <c r="J3" s="1312"/>
      <c r="K3" s="1313"/>
      <c r="L3" s="446"/>
    </row>
    <row r="4" spans="1:13" ht="15.75" customHeight="1" x14ac:dyDescent="0.2">
      <c r="A4" s="1537" t="s">
        <v>1485</v>
      </c>
      <c r="B4" s="1538">
        <v>1000</v>
      </c>
      <c r="C4" s="1606">
        <f>'Revenues 9-14'!C109</f>
        <v>27568038</v>
      </c>
      <c r="D4" s="1606">
        <f>'Revenues 9-14'!D109</f>
        <v>3851688</v>
      </c>
      <c r="E4" s="1606">
        <f>'Revenues 9-14'!E109</f>
        <v>2370928</v>
      </c>
      <c r="F4" s="1606">
        <f>'Revenues 9-14'!F109</f>
        <v>1335966</v>
      </c>
      <c r="G4" s="1606">
        <f>'Revenues 9-14'!G109</f>
        <v>1442333</v>
      </c>
      <c r="H4" s="1606">
        <f>'Revenues 9-14'!H109</f>
        <v>3469775</v>
      </c>
      <c r="I4" s="1606">
        <f>'Revenues 9-14'!I109</f>
        <v>1484</v>
      </c>
      <c r="J4" s="1606">
        <f>'Revenues 9-14'!J109</f>
        <v>804779</v>
      </c>
      <c r="K4" s="1606">
        <f>'Revenues 9-14'!K109</f>
        <v>337293</v>
      </c>
      <c r="L4" s="325"/>
    </row>
    <row r="5" spans="1:13" ht="15.75" customHeight="1" x14ac:dyDescent="0.2">
      <c r="A5" s="1314" t="s">
        <v>1486</v>
      </c>
      <c r="B5" s="1315">
        <v>2000</v>
      </c>
      <c r="C5" s="1607">
        <f>'Revenues 9-14'!C114</f>
        <v>0</v>
      </c>
      <c r="D5" s="1607">
        <f>'Revenues 9-14'!D114</f>
        <v>0</v>
      </c>
      <c r="E5" s="1608"/>
      <c r="F5" s="1607">
        <f>'Revenues 9-14'!F114</f>
        <v>0</v>
      </c>
      <c r="G5" s="1607">
        <f>'Revenues 9-14'!G114</f>
        <v>0</v>
      </c>
      <c r="H5" s="1609" t="s">
        <v>1161</v>
      </c>
      <c r="I5" s="1610" t="s">
        <v>1161</v>
      </c>
      <c r="J5" s="1611" t="s">
        <v>1161</v>
      </c>
      <c r="K5" s="1612" t="s">
        <v>1161</v>
      </c>
      <c r="L5" s="325"/>
    </row>
    <row r="6" spans="1:13" ht="15.75" customHeight="1" x14ac:dyDescent="0.2">
      <c r="A6" s="1314" t="s">
        <v>1487</v>
      </c>
      <c r="B6" s="1316">
        <v>3000</v>
      </c>
      <c r="C6" s="1607">
        <f>'Revenues 9-14'!C170</f>
        <v>16998664</v>
      </c>
      <c r="D6" s="1607">
        <f>'Revenues 9-14'!D170</f>
        <v>0</v>
      </c>
      <c r="E6" s="1607">
        <f>'Revenues 9-14'!E170</f>
        <v>0</v>
      </c>
      <c r="F6" s="1607">
        <f>'Revenues 9-14'!F170</f>
        <v>1092368</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1488</v>
      </c>
      <c r="B7" s="1316">
        <v>4000</v>
      </c>
      <c r="C7" s="1607">
        <f>'Revenues 9-14'!C267</f>
        <v>7274886</v>
      </c>
      <c r="D7" s="1607">
        <f>'Revenues 9-14'!D267</f>
        <v>0</v>
      </c>
      <c r="E7" s="1607">
        <f>'Revenues 9-14'!E267</f>
        <v>0</v>
      </c>
      <c r="F7" s="1607">
        <f>'Revenues 9-14'!F267</f>
        <v>58151</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1164</v>
      </c>
      <c r="B8" s="1407"/>
      <c r="C8" s="1594">
        <f>SUM(C4:C7)</f>
        <v>51841588</v>
      </c>
      <c r="D8" s="1594">
        <f t="shared" ref="D8:K8" si="0">SUM(D4:D7)</f>
        <v>3851688</v>
      </c>
      <c r="E8" s="1594">
        <f t="shared" si="0"/>
        <v>2370928</v>
      </c>
      <c r="F8" s="1594">
        <f t="shared" si="0"/>
        <v>2486485</v>
      </c>
      <c r="G8" s="1594">
        <f t="shared" si="0"/>
        <v>1442333</v>
      </c>
      <c r="H8" s="1594">
        <f t="shared" si="0"/>
        <v>3519775</v>
      </c>
      <c r="I8" s="1594">
        <f t="shared" si="0"/>
        <v>1484</v>
      </c>
      <c r="J8" s="1594">
        <f t="shared" si="0"/>
        <v>804779</v>
      </c>
      <c r="K8" s="1594">
        <f t="shared" si="0"/>
        <v>337293</v>
      </c>
      <c r="L8" s="325"/>
    </row>
    <row r="9" spans="1:13" ht="15.75" thickTop="1" x14ac:dyDescent="0.2">
      <c r="A9" s="449" t="s">
        <v>1637</v>
      </c>
      <c r="B9" s="450">
        <v>3998</v>
      </c>
      <c r="C9" s="1586">
        <v>23468134</v>
      </c>
      <c r="D9" s="1613"/>
      <c r="E9" s="1586"/>
      <c r="F9" s="1586"/>
      <c r="G9" s="1614"/>
      <c r="H9" s="1586"/>
      <c r="I9" s="1609" t="s">
        <v>1161</v>
      </c>
      <c r="J9" s="1583"/>
      <c r="K9" s="1586"/>
      <c r="L9" s="325"/>
    </row>
    <row r="10" spans="1:13" s="452" customFormat="1" ht="13.5" thickBot="1" x14ac:dyDescent="0.25">
      <c r="A10" s="1426" t="s">
        <v>1165</v>
      </c>
      <c r="B10" s="1407"/>
      <c r="C10" s="1594">
        <f>SUM(C8:C9)</f>
        <v>75309722</v>
      </c>
      <c r="D10" s="1594">
        <f t="shared" ref="D10:K10" si="1">SUM(D8:D9)</f>
        <v>3851688</v>
      </c>
      <c r="E10" s="1594">
        <f t="shared" si="1"/>
        <v>2370928</v>
      </c>
      <c r="F10" s="1594">
        <f t="shared" si="1"/>
        <v>2486485</v>
      </c>
      <c r="G10" s="1594">
        <f t="shared" si="1"/>
        <v>1442333</v>
      </c>
      <c r="H10" s="1594">
        <f t="shared" si="1"/>
        <v>3519775</v>
      </c>
      <c r="I10" s="1594">
        <f t="shared" si="1"/>
        <v>1484</v>
      </c>
      <c r="J10" s="1594">
        <f t="shared" si="1"/>
        <v>804779</v>
      </c>
      <c r="K10" s="1594">
        <f t="shared" si="1"/>
        <v>337293</v>
      </c>
      <c r="L10" s="451"/>
    </row>
    <row r="11" spans="1:13" s="452" customFormat="1" ht="16.7" customHeight="1" thickTop="1" x14ac:dyDescent="0.2">
      <c r="A11" s="2220" t="s">
        <v>1168</v>
      </c>
      <c r="B11" s="2221"/>
      <c r="C11" s="1602"/>
      <c r="D11" s="1603"/>
      <c r="E11" s="1603"/>
      <c r="F11" s="1603"/>
      <c r="G11" s="1603"/>
      <c r="H11" s="1603"/>
      <c r="I11" s="1603"/>
      <c r="J11" s="1603"/>
      <c r="K11" s="1615"/>
      <c r="L11" s="451"/>
    </row>
    <row r="12" spans="1:13" ht="15.75" customHeight="1" x14ac:dyDescent="0.2">
      <c r="A12" s="1314" t="s">
        <v>453</v>
      </c>
      <c r="B12" s="1316">
        <v>1000</v>
      </c>
      <c r="C12" s="1606">
        <f>'Expenditures 15-22'!K33</f>
        <v>35118249</v>
      </c>
      <c r="D12" s="1616" t="s">
        <v>1161</v>
      </c>
      <c r="E12" s="1575" t="s">
        <v>1161</v>
      </c>
      <c r="F12" s="1575" t="s">
        <v>1161</v>
      </c>
      <c r="G12" s="1606">
        <f>'Expenditures 15-22'!K229</f>
        <v>610268</v>
      </c>
      <c r="H12" s="1617"/>
      <c r="I12" s="1575" t="s">
        <v>1161</v>
      </c>
      <c r="J12" s="1575" t="s">
        <v>1161</v>
      </c>
      <c r="K12" s="1617" t="s">
        <v>1161</v>
      </c>
      <c r="L12" s="325"/>
    </row>
    <row r="13" spans="1:13" ht="15.75" customHeight="1" x14ac:dyDescent="0.2">
      <c r="A13" s="1314" t="s">
        <v>454</v>
      </c>
      <c r="B13" s="1316">
        <v>2000</v>
      </c>
      <c r="C13" s="1607">
        <f>'Expenditures 15-22'!K74</f>
        <v>18594448</v>
      </c>
      <c r="D13" s="1607">
        <f>'Expenditures 15-22'!K129</f>
        <v>3611076</v>
      </c>
      <c r="E13" s="1576" t="s">
        <v>1161</v>
      </c>
      <c r="F13" s="1607">
        <f>'Expenditures 15-22'!K184</f>
        <v>2315393</v>
      </c>
      <c r="G13" s="1607">
        <f>'Expenditures 15-22'!K279</f>
        <v>936299</v>
      </c>
      <c r="H13" s="1607">
        <f>'Expenditures 15-22'!K303</f>
        <v>1077566</v>
      </c>
      <c r="I13" s="1575" t="s">
        <v>1161</v>
      </c>
      <c r="J13" s="1607">
        <f>'Expenditures 15-22'!K330</f>
        <v>656261</v>
      </c>
      <c r="K13" s="1618">
        <f>'Expenditures 15-22'!K352</f>
        <v>366222</v>
      </c>
      <c r="L13" s="325"/>
    </row>
    <row r="14" spans="1:13" ht="15.75" customHeight="1" x14ac:dyDescent="0.2">
      <c r="A14" s="1314" t="s">
        <v>446</v>
      </c>
      <c r="B14" s="1316">
        <v>3000</v>
      </c>
      <c r="C14" s="1607">
        <f>'Expenditures 15-22'!K75</f>
        <v>1590191</v>
      </c>
      <c r="D14" s="1607">
        <f>'Expenditures 15-22'!K130</f>
        <v>0</v>
      </c>
      <c r="E14" s="1616" t="s">
        <v>1161</v>
      </c>
      <c r="F14" s="1607">
        <f>'Expenditures 15-22'!K185</f>
        <v>0</v>
      </c>
      <c r="G14" s="1607">
        <f>'Expenditures 15-22'!K280</f>
        <v>11724</v>
      </c>
      <c r="H14" s="1612"/>
      <c r="I14" s="1575" t="s">
        <v>1161</v>
      </c>
      <c r="J14" s="1575" t="s">
        <v>1161</v>
      </c>
      <c r="K14" s="1612" t="s">
        <v>1161</v>
      </c>
      <c r="L14" s="325"/>
    </row>
    <row r="15" spans="1:13" ht="15.75" customHeight="1" x14ac:dyDescent="0.2">
      <c r="A15" s="1314" t="s">
        <v>107</v>
      </c>
      <c r="B15" s="1316">
        <v>4000</v>
      </c>
      <c r="C15" s="1607">
        <f>'Expenditures 15-22'!K102</f>
        <v>858290</v>
      </c>
      <c r="D15" s="1607">
        <f>'Expenditures 15-22'!K139</f>
        <v>0</v>
      </c>
      <c r="E15" s="1607">
        <f>'Expenditures 15-22'!K160</f>
        <v>0</v>
      </c>
      <c r="F15" s="1607">
        <f>'Expenditures 15-22'!K196</f>
        <v>0</v>
      </c>
      <c r="G15" s="1607">
        <f>'Expenditures 15-22'!K285</f>
        <v>0</v>
      </c>
      <c r="H15" s="1607">
        <f>'Expenditures 15-22'!K310</f>
        <v>0</v>
      </c>
      <c r="I15" s="1575" t="s">
        <v>1161</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4804667</v>
      </c>
      <c r="F16" s="1607">
        <f>'Expenditures 15-22'!K208</f>
        <v>0</v>
      </c>
      <c r="G16" s="1607">
        <f>'Expenditures 15-22'!K293</f>
        <v>0</v>
      </c>
      <c r="H16" s="1620"/>
      <c r="I16" s="1575" t="s">
        <v>1161</v>
      </c>
      <c r="J16" s="1621">
        <f>'Expenditures 15-22'!K340</f>
        <v>0</v>
      </c>
      <c r="K16" s="1607">
        <f>'Expenditures 15-22'!K365</f>
        <v>0</v>
      </c>
      <c r="L16" s="325"/>
    </row>
    <row r="17" spans="1:12" ht="13.5" thickBot="1" x14ac:dyDescent="0.25">
      <c r="A17" s="1406" t="s">
        <v>48</v>
      </c>
      <c r="B17" s="1407"/>
      <c r="C17" s="1594">
        <f t="shared" ref="C17:H17" si="2">SUM(C12:C16)</f>
        <v>56161178</v>
      </c>
      <c r="D17" s="1594">
        <f t="shared" si="2"/>
        <v>3611076</v>
      </c>
      <c r="E17" s="1594">
        <f t="shared" si="2"/>
        <v>4804667</v>
      </c>
      <c r="F17" s="1594">
        <f t="shared" si="2"/>
        <v>2315393</v>
      </c>
      <c r="G17" s="1594">
        <f t="shared" si="2"/>
        <v>1558291</v>
      </c>
      <c r="H17" s="1594">
        <f t="shared" si="2"/>
        <v>1077566</v>
      </c>
      <c r="I17" s="1575"/>
      <c r="J17" s="1594">
        <f>SUM(J12:J16)</f>
        <v>656261</v>
      </c>
      <c r="K17" s="1594">
        <f>SUM(K12:K16)</f>
        <v>366222</v>
      </c>
      <c r="L17" s="325"/>
    </row>
    <row r="18" spans="1:12" ht="15" customHeight="1" thickTop="1" x14ac:dyDescent="0.2">
      <c r="A18" s="1430" t="s">
        <v>1638</v>
      </c>
      <c r="B18" s="1431">
        <v>4180</v>
      </c>
      <c r="C18" s="1606">
        <f t="shared" ref="C18:H18" si="3">C9</f>
        <v>23468134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79629312</v>
      </c>
      <c r="D19" s="1594">
        <f t="shared" si="4"/>
        <v>3611076</v>
      </c>
      <c r="E19" s="1594">
        <f t="shared" si="4"/>
        <v>4804667</v>
      </c>
      <c r="F19" s="1594">
        <f t="shared" si="4"/>
        <v>2315393</v>
      </c>
      <c r="G19" s="1594">
        <f t="shared" si="4"/>
        <v>1558291</v>
      </c>
      <c r="H19" s="1594">
        <f t="shared" si="4"/>
        <v>1077566</v>
      </c>
      <c r="I19" s="1575"/>
      <c r="J19" s="1594">
        <f>SUM(J17:J18)</f>
        <v>656261</v>
      </c>
      <c r="K19" s="1594">
        <f>SUM(K17:K18)</f>
        <v>366222</v>
      </c>
      <c r="L19" s="325"/>
    </row>
    <row r="20" spans="1:12" ht="16.5" thickTop="1" thickBot="1" x14ac:dyDescent="0.25">
      <c r="A20" s="2236" t="s">
        <v>1639</v>
      </c>
      <c r="B20" s="2237"/>
      <c r="C20" s="1622">
        <f>C8-C17</f>
        <v>-4319590</v>
      </c>
      <c r="D20" s="1622">
        <f t="shared" ref="D20:K20" si="5">D8-D17</f>
        <v>240612</v>
      </c>
      <c r="E20" s="1622">
        <f t="shared" si="5"/>
        <v>-2433739</v>
      </c>
      <c r="F20" s="1622">
        <f t="shared" si="5"/>
        <v>171092</v>
      </c>
      <c r="G20" s="1622">
        <f t="shared" si="5"/>
        <v>-115958</v>
      </c>
      <c r="H20" s="1622">
        <f t="shared" si="5"/>
        <v>2442209</v>
      </c>
      <c r="I20" s="1622">
        <f t="shared" si="5"/>
        <v>1484</v>
      </c>
      <c r="J20" s="1622">
        <f t="shared" si="5"/>
        <v>148518</v>
      </c>
      <c r="K20" s="1622">
        <f t="shared" si="5"/>
        <v>-28929</v>
      </c>
      <c r="L20" s="325"/>
    </row>
    <row r="21" spans="1:12" ht="16.7" customHeight="1" thickTop="1" x14ac:dyDescent="0.2">
      <c r="A21" s="2248" t="s">
        <v>591</v>
      </c>
      <c r="B21" s="2249"/>
      <c r="C21" s="1602"/>
      <c r="D21" s="1603"/>
      <c r="E21" s="1603"/>
      <c r="F21" s="1603"/>
      <c r="G21" s="1603"/>
      <c r="H21" s="1603"/>
      <c r="I21" s="1603"/>
      <c r="J21" s="1603"/>
      <c r="K21" s="1615"/>
      <c r="L21" s="453"/>
    </row>
    <row r="22" spans="1:12" ht="15.75" customHeight="1" collapsed="1" x14ac:dyDescent="0.2">
      <c r="A22" s="2244" t="s">
        <v>592</v>
      </c>
      <c r="B22" s="2245"/>
      <c r="C22" s="1582"/>
      <c r="D22" s="1582"/>
      <c r="E22" s="1582"/>
      <c r="F22" s="1582"/>
      <c r="G22" s="1582"/>
      <c r="H22" s="1582"/>
      <c r="I22" s="1582"/>
      <c r="J22" s="1582"/>
      <c r="K22" s="1582"/>
      <c r="L22" s="325"/>
    </row>
    <row r="23" spans="1:12" s="433" customFormat="1" ht="15.75" customHeight="1" x14ac:dyDescent="0.2">
      <c r="A23" s="2240" t="s">
        <v>290</v>
      </c>
      <c r="B23" s="2241"/>
      <c r="C23" s="1585"/>
      <c r="D23" s="1582"/>
      <c r="E23" s="1582"/>
      <c r="F23" s="1582"/>
      <c r="G23" s="1582"/>
      <c r="H23" s="1582"/>
      <c r="I23" s="1582"/>
      <c r="J23" s="1582"/>
      <c r="K23" s="1582"/>
      <c r="L23" s="453"/>
    </row>
    <row r="24" spans="1:12" s="433" customFormat="1" ht="13.5" customHeight="1" x14ac:dyDescent="0.2">
      <c r="A24" s="1260" t="s">
        <v>1640</v>
      </c>
      <c r="B24" s="454">
        <v>7110</v>
      </c>
      <c r="C24" s="1574"/>
      <c r="D24" s="1582"/>
      <c r="E24" s="1582"/>
      <c r="F24" s="1582"/>
      <c r="G24" s="1582"/>
      <c r="H24" s="1582"/>
      <c r="I24" s="1582"/>
      <c r="J24" s="1582"/>
      <c r="K24" s="1582"/>
      <c r="L24" s="453"/>
    </row>
    <row r="25" spans="1:12" s="433" customFormat="1" ht="13.5" customHeight="1" x14ac:dyDescent="0.2">
      <c r="A25" s="1260" t="s">
        <v>1641</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v>588</v>
      </c>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1384</v>
      </c>
      <c r="B28" s="432">
        <v>7140</v>
      </c>
      <c r="C28" s="1574">
        <v>10449</v>
      </c>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v>41286</v>
      </c>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42" t="s">
        <v>974</v>
      </c>
      <c r="B32" s="2243"/>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1642</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v>230119</v>
      </c>
      <c r="D43" s="1574">
        <v>267345</v>
      </c>
      <c r="E43" s="1574">
        <f>201000+11096+1904117</f>
        <v>2116213</v>
      </c>
      <c r="F43" s="1574"/>
      <c r="G43" s="1574"/>
      <c r="H43" s="1574"/>
      <c r="I43" s="1574"/>
      <c r="J43" s="1574"/>
      <c r="K43" s="1574"/>
      <c r="L43" s="453"/>
    </row>
    <row r="44" spans="1:12" s="433" customFormat="1" ht="13.5" customHeight="1" thickBot="1" x14ac:dyDescent="0.25">
      <c r="A44" s="2250" t="s">
        <v>371</v>
      </c>
      <c r="B44" s="2251"/>
      <c r="C44" s="1624">
        <f>SUM(C24:C43)</f>
        <v>241156</v>
      </c>
      <c r="D44" s="1624">
        <f t="shared" ref="D44:K44" si="6">SUM(D24:D43)</f>
        <v>308631</v>
      </c>
      <c r="E44" s="1624">
        <f t="shared" si="6"/>
        <v>2116213</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4" t="s">
        <v>108</v>
      </c>
      <c r="B45" s="2245"/>
      <c r="C45" s="1625"/>
      <c r="D45" s="1625"/>
      <c r="E45" s="1625"/>
      <c r="F45" s="1625"/>
      <c r="G45" s="1625"/>
      <c r="H45" s="1625"/>
      <c r="I45" s="1625"/>
      <c r="J45" s="1625"/>
      <c r="K45" s="1625"/>
      <c r="L45" s="325"/>
    </row>
    <row r="46" spans="1:12" s="433" customFormat="1" ht="15.75" customHeight="1" x14ac:dyDescent="0.2">
      <c r="A46" s="2252" t="s">
        <v>109</v>
      </c>
      <c r="B46" s="2253"/>
      <c r="C46" s="1582"/>
      <c r="D46" s="1582"/>
      <c r="E46" s="1582"/>
      <c r="F46" s="1582"/>
      <c r="G46" s="1582"/>
      <c r="H46" s="1582"/>
      <c r="I46" s="1585"/>
      <c r="J46" s="1582"/>
      <c r="K46" s="1582"/>
      <c r="L46" s="456"/>
    </row>
    <row r="47" spans="1:12" s="433" customFormat="1" ht="15" x14ac:dyDescent="0.2">
      <c r="A47" s="1261" t="s">
        <v>1643</v>
      </c>
      <c r="B47" s="432">
        <v>8110</v>
      </c>
      <c r="C47" s="1582"/>
      <c r="D47" s="1582"/>
      <c r="E47" s="1582"/>
      <c r="F47" s="1582"/>
      <c r="G47" s="1582"/>
      <c r="H47" s="1582"/>
      <c r="I47" s="1607">
        <f>SUM(C24,C25:H25,J25:K25)</f>
        <v>0</v>
      </c>
      <c r="J47" s="1582"/>
      <c r="K47" s="1582"/>
      <c r="L47" s="456"/>
    </row>
    <row r="48" spans="1:12" s="433" customFormat="1" ht="15" x14ac:dyDescent="0.2">
      <c r="A48" s="1261" t="s">
        <v>1644</v>
      </c>
      <c r="B48" s="432">
        <v>8120</v>
      </c>
      <c r="C48" s="1585"/>
      <c r="D48" s="1585"/>
      <c r="E48" s="1582"/>
      <c r="F48" s="1585"/>
      <c r="G48" s="1582"/>
      <c r="H48" s="1582"/>
      <c r="I48" s="1607">
        <f>SUM(C26:H26,J26,K26)</f>
        <v>588</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1384</v>
      </c>
      <c r="B50" s="432">
        <v>8140</v>
      </c>
      <c r="C50" s="1574"/>
      <c r="D50" s="1574"/>
      <c r="E50" s="1574">
        <v>10449</v>
      </c>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41286</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f>201000+11096</f>
        <v>212096</v>
      </c>
      <c r="D75" s="1627"/>
      <c r="E75" s="1626"/>
      <c r="F75" s="1628">
        <v>230119</v>
      </c>
      <c r="G75" s="1628"/>
      <c r="H75" s="1628">
        <v>1904117</v>
      </c>
      <c r="I75" s="1626"/>
      <c r="J75" s="1626">
        <v>267345</v>
      </c>
      <c r="K75" s="1628"/>
      <c r="L75" s="453"/>
    </row>
    <row r="76" spans="1:12" s="433" customFormat="1" ht="14.25" thickTop="1" thickBot="1" x14ac:dyDescent="0.25">
      <c r="A76" s="2226" t="s">
        <v>437</v>
      </c>
      <c r="B76" s="2227"/>
      <c r="C76" s="1624">
        <f t="shared" ref="C76:K76" si="7">SUM(C47:C75)</f>
        <v>212096</v>
      </c>
      <c r="D76" s="1624">
        <f t="shared" si="7"/>
        <v>0</v>
      </c>
      <c r="E76" s="1624">
        <f t="shared" si="7"/>
        <v>10449</v>
      </c>
      <c r="F76" s="1624">
        <f t="shared" si="7"/>
        <v>230119</v>
      </c>
      <c r="G76" s="1624">
        <f t="shared" si="7"/>
        <v>0</v>
      </c>
      <c r="H76" s="1624">
        <f t="shared" si="7"/>
        <v>1904117</v>
      </c>
      <c r="I76" s="1624">
        <f t="shared" si="7"/>
        <v>588</v>
      </c>
      <c r="J76" s="1624">
        <f t="shared" si="7"/>
        <v>267345</v>
      </c>
      <c r="K76" s="1624">
        <f t="shared" si="7"/>
        <v>41286</v>
      </c>
      <c r="L76" s="453"/>
    </row>
    <row r="77" spans="1:12" ht="14.25" thickTop="1" thickBot="1" x14ac:dyDescent="0.25">
      <c r="A77" s="2228" t="s">
        <v>1169</v>
      </c>
      <c r="B77" s="2229"/>
      <c r="C77" s="1624">
        <f t="shared" ref="C77:K77" si="8">C44-C76</f>
        <v>29060</v>
      </c>
      <c r="D77" s="1624">
        <f t="shared" si="8"/>
        <v>308631</v>
      </c>
      <c r="E77" s="1624">
        <f t="shared" si="8"/>
        <v>2105764</v>
      </c>
      <c r="F77" s="1624">
        <f t="shared" si="8"/>
        <v>-230119</v>
      </c>
      <c r="G77" s="1624">
        <f t="shared" si="8"/>
        <v>0</v>
      </c>
      <c r="H77" s="1624">
        <f t="shared" si="8"/>
        <v>-1904117</v>
      </c>
      <c r="I77" s="1624">
        <f t="shared" si="8"/>
        <v>-588</v>
      </c>
      <c r="J77" s="1624">
        <f t="shared" si="8"/>
        <v>-267345</v>
      </c>
      <c r="K77" s="1624">
        <f t="shared" si="8"/>
        <v>-41286</v>
      </c>
      <c r="L77" s="325"/>
    </row>
    <row r="78" spans="1:12" ht="21.75" customHeight="1" thickTop="1" thickBot="1" x14ac:dyDescent="0.25">
      <c r="A78" s="2232" t="s">
        <v>593</v>
      </c>
      <c r="B78" s="2233"/>
      <c r="C78" s="1629">
        <f t="shared" ref="C78:K78" si="9">C20+C77</f>
        <v>-4290530</v>
      </c>
      <c r="D78" s="1629">
        <f t="shared" si="9"/>
        <v>549243</v>
      </c>
      <c r="E78" s="1629">
        <f t="shared" si="9"/>
        <v>-327975</v>
      </c>
      <c r="F78" s="1629">
        <f t="shared" si="9"/>
        <v>-59027</v>
      </c>
      <c r="G78" s="1629">
        <f t="shared" si="9"/>
        <v>-115958</v>
      </c>
      <c r="H78" s="1629">
        <f t="shared" si="9"/>
        <v>538092</v>
      </c>
      <c r="I78" s="1629">
        <f t="shared" si="9"/>
        <v>896</v>
      </c>
      <c r="J78" s="1629">
        <f t="shared" si="9"/>
        <v>-118827</v>
      </c>
      <c r="K78" s="1629">
        <f t="shared" si="9"/>
        <v>-70215</v>
      </c>
      <c r="L78" s="457"/>
    </row>
    <row r="79" spans="1:12" ht="13.5" thickTop="1" x14ac:dyDescent="0.2">
      <c r="A79" s="1844" t="str">
        <f>"Fund Balances - July 1, "&amp;'AFR20'!E2-1</f>
        <v>Fund Balances - July 1, 2019</v>
      </c>
      <c r="B79" s="458"/>
      <c r="C79" s="1583">
        <v>10548445</v>
      </c>
      <c r="D79" s="1630">
        <v>-2730647</v>
      </c>
      <c r="E79" s="1630">
        <v>620408</v>
      </c>
      <c r="F79" s="1630">
        <v>29393</v>
      </c>
      <c r="G79" s="1630">
        <v>-275294</v>
      </c>
      <c r="H79" s="1630">
        <v>7089192</v>
      </c>
      <c r="I79" s="1630">
        <v>7046538</v>
      </c>
      <c r="J79" s="1630">
        <v>-129304</v>
      </c>
      <c r="K79" s="1630">
        <v>426541</v>
      </c>
      <c r="L79" s="325"/>
    </row>
    <row r="80" spans="1:12" x14ac:dyDescent="0.2">
      <c r="A80" s="2238" t="s">
        <v>1772</v>
      </c>
      <c r="B80" s="2239"/>
      <c r="C80" s="1574"/>
      <c r="D80" s="1574"/>
      <c r="E80" s="1574"/>
      <c r="F80" s="1574"/>
      <c r="G80" s="1574"/>
      <c r="H80" s="1574"/>
      <c r="I80" s="1574"/>
      <c r="J80" s="1574"/>
      <c r="K80" s="1574"/>
      <c r="L80" s="325"/>
    </row>
    <row r="81" spans="1:12" ht="13.5" thickBot="1" x14ac:dyDescent="0.25">
      <c r="A81" s="2230" t="str">
        <f>"Fund Balances - June 30, "&amp;'AFR20'!E2</f>
        <v>Fund Balances - June 30, 2020</v>
      </c>
      <c r="B81" s="2231"/>
      <c r="C81" s="1594">
        <f>(SUM(C78:C80))</f>
        <v>6257915</v>
      </c>
      <c r="D81" s="1594">
        <f>SUM(D78:D80)</f>
        <v>-2181404</v>
      </c>
      <c r="E81" s="1594">
        <f t="shared" ref="E81:K81" si="10">SUM(E78:E80)</f>
        <v>292433</v>
      </c>
      <c r="F81" s="1594">
        <f t="shared" si="10"/>
        <v>-29634</v>
      </c>
      <c r="G81" s="1594">
        <f t="shared" si="10"/>
        <v>-391252</v>
      </c>
      <c r="H81" s="1594">
        <f t="shared" si="10"/>
        <v>7627284</v>
      </c>
      <c r="I81" s="1594">
        <f t="shared" si="10"/>
        <v>7047434</v>
      </c>
      <c r="J81" s="1594">
        <f t="shared" si="10"/>
        <v>-248131</v>
      </c>
      <c r="K81" s="1594">
        <f t="shared" si="10"/>
        <v>356326</v>
      </c>
      <c r="L81" s="325"/>
    </row>
    <row r="82" spans="1:12" ht="0.75" customHeight="1" thickTop="1" thickBot="1" x14ac:dyDescent="0.25">
      <c r="A82" s="459" t="s">
        <v>340</v>
      </c>
      <c r="B82" s="460"/>
      <c r="C82" s="461">
        <f>(C81-C79)</f>
        <v>-4290530</v>
      </c>
      <c r="D82" s="461">
        <f t="shared" ref="D82:K82" si="11">(D81-D79)</f>
        <v>549243</v>
      </c>
      <c r="E82" s="461">
        <f t="shared" si="11"/>
        <v>-327975</v>
      </c>
      <c r="F82" s="461">
        <f t="shared" si="11"/>
        <v>-59027</v>
      </c>
      <c r="G82" s="461">
        <f t="shared" si="11"/>
        <v>-115958</v>
      </c>
      <c r="H82" s="461">
        <f t="shared" si="11"/>
        <v>538092</v>
      </c>
      <c r="I82" s="461">
        <f t="shared" si="11"/>
        <v>896</v>
      </c>
      <c r="J82" s="461">
        <f t="shared" si="11"/>
        <v>-118827</v>
      </c>
      <c r="K82" s="461">
        <f t="shared" si="11"/>
        <v>-70215</v>
      </c>
    </row>
    <row r="83" spans="1:12" ht="14.25" hidden="1" thickTop="1" thickBot="1" x14ac:dyDescent="0.25">
      <c r="A83" s="462" t="s">
        <v>341</v>
      </c>
      <c r="B83" s="428"/>
      <c r="C83" s="463">
        <f>C82/C81</f>
        <v>-0.6856165352197976</v>
      </c>
      <c r="D83" s="463">
        <f t="shared" ref="D83:K83" si="12">D82/D81</f>
        <v>-0.25178417202865677</v>
      </c>
      <c r="E83" s="463">
        <f t="shared" si="12"/>
        <v>-1.1215389508024061</v>
      </c>
      <c r="F83" s="463">
        <f t="shared" si="12"/>
        <v>1.9918674495511912</v>
      </c>
      <c r="G83" s="463">
        <f t="shared" si="12"/>
        <v>0.2963767597354135</v>
      </c>
      <c r="H83" s="463">
        <f t="shared" si="12"/>
        <v>7.0548310512628082E-2</v>
      </c>
      <c r="I83" s="463">
        <f t="shared" si="12"/>
        <v>1.2713847337910507E-4</v>
      </c>
      <c r="J83" s="463">
        <f t="shared" si="12"/>
        <v>0.47888816794354594</v>
      </c>
      <c r="K83" s="463">
        <f t="shared" si="12"/>
        <v>-0.19705269893299956</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5" sqref="C1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4" t="s">
        <v>1779</v>
      </c>
      <c r="B1" s="416"/>
      <c r="C1" s="417" t="s">
        <v>422</v>
      </c>
      <c r="D1" s="417" t="s">
        <v>423</v>
      </c>
      <c r="E1" s="417" t="s">
        <v>424</v>
      </c>
      <c r="F1" s="417" t="s">
        <v>425</v>
      </c>
      <c r="G1" s="417" t="s">
        <v>426</v>
      </c>
      <c r="H1" s="417" t="s">
        <v>427</v>
      </c>
      <c r="I1" s="417" t="s">
        <v>428</v>
      </c>
      <c r="J1" s="417" t="s">
        <v>429</v>
      </c>
      <c r="K1" s="417" t="s">
        <v>751</v>
      </c>
    </row>
    <row r="2" spans="1:12" ht="36" x14ac:dyDescent="0.2">
      <c r="A2" s="2235"/>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586">
        <v>23733562</v>
      </c>
      <c r="D5" s="1586">
        <f>3787585</f>
        <v>3787585</v>
      </c>
      <c r="E5" s="1573">
        <v>2349440</v>
      </c>
      <c r="F5" s="1631">
        <v>1309165</v>
      </c>
      <c r="G5" s="1573">
        <v>1431554</v>
      </c>
      <c r="H5" s="1573"/>
      <c r="I5" s="1573">
        <v>895</v>
      </c>
      <c r="J5" s="1574">
        <v>701342</v>
      </c>
      <c r="K5" s="1573">
        <v>332381</v>
      </c>
    </row>
    <row r="6" spans="1:12" ht="15" x14ac:dyDescent="0.2">
      <c r="A6" s="427" t="s">
        <v>1646</v>
      </c>
      <c r="B6" s="429">
        <v>1130</v>
      </c>
      <c r="C6" s="1573"/>
      <c r="D6" s="1573"/>
      <c r="E6" s="1580"/>
      <c r="F6" s="1580"/>
      <c r="G6" s="1575"/>
      <c r="H6" s="1575"/>
      <c r="I6" s="1575"/>
      <c r="J6" s="1575"/>
      <c r="K6" s="1575"/>
    </row>
    <row r="7" spans="1:12" x14ac:dyDescent="0.2">
      <c r="A7" s="427" t="s">
        <v>110</v>
      </c>
      <c r="B7" s="471">
        <v>1140</v>
      </c>
      <c r="C7" s="1573">
        <v>736794</v>
      </c>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24470356</v>
      </c>
      <c r="D12" s="1633">
        <f t="shared" si="0"/>
        <v>3787585</v>
      </c>
      <c r="E12" s="1633">
        <f t="shared" si="0"/>
        <v>2349440</v>
      </c>
      <c r="F12" s="1633">
        <f t="shared" si="0"/>
        <v>1309165</v>
      </c>
      <c r="G12" s="1633">
        <f t="shared" si="0"/>
        <v>1431554</v>
      </c>
      <c r="H12" s="1633">
        <f t="shared" si="0"/>
        <v>0</v>
      </c>
      <c r="I12" s="1633">
        <f t="shared" si="0"/>
        <v>895</v>
      </c>
      <c r="J12" s="1633">
        <f t="shared" si="0"/>
        <v>701342</v>
      </c>
      <c r="K12" s="1594">
        <f t="shared" si="0"/>
        <v>332381</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64736</v>
      </c>
      <c r="D14" s="1573">
        <v>9021</v>
      </c>
      <c r="E14" s="1573"/>
      <c r="F14" s="1573">
        <v>2810</v>
      </c>
      <c r="G14" s="1573">
        <v>3503</v>
      </c>
      <c r="H14" s="1573"/>
      <c r="I14" s="1573"/>
      <c r="J14" s="1574">
        <v>1770</v>
      </c>
      <c r="K14" s="1573"/>
    </row>
    <row r="15" spans="1:12" ht="12.75" customHeight="1" x14ac:dyDescent="0.2">
      <c r="A15" s="427" t="s">
        <v>95</v>
      </c>
      <c r="B15" s="429">
        <v>1220</v>
      </c>
      <c r="C15" s="1632">
        <v>100000</v>
      </c>
      <c r="D15" s="1573"/>
      <c r="E15" s="1573">
        <v>11044</v>
      </c>
      <c r="F15" s="1573"/>
      <c r="G15" s="1573"/>
      <c r="H15" s="1573"/>
      <c r="I15" s="1573"/>
      <c r="J15" s="1574"/>
      <c r="K15" s="1573"/>
    </row>
    <row r="16" spans="1:12" ht="15" customHeight="1" x14ac:dyDescent="0.2">
      <c r="A16" s="427" t="s">
        <v>1647</v>
      </c>
      <c r="B16" s="471">
        <v>1230</v>
      </c>
      <c r="C16" s="1632">
        <v>1214769</v>
      </c>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1379505</v>
      </c>
      <c r="D18" s="1635">
        <f t="shared" ref="D18:K18" si="1">SUM(D14:D17)</f>
        <v>9021</v>
      </c>
      <c r="E18" s="1635">
        <f t="shared" si="1"/>
        <v>11044</v>
      </c>
      <c r="F18" s="1635">
        <f t="shared" si="1"/>
        <v>2810</v>
      </c>
      <c r="G18" s="1635">
        <f t="shared" si="1"/>
        <v>3503</v>
      </c>
      <c r="H18" s="1635">
        <f t="shared" si="1"/>
        <v>0</v>
      </c>
      <c r="I18" s="1635">
        <f t="shared" si="1"/>
        <v>0</v>
      </c>
      <c r="J18" s="1635">
        <f t="shared" si="1"/>
        <v>1770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1066</v>
      </c>
      <c r="B20" s="429">
        <v>1311</v>
      </c>
      <c r="C20" s="1573"/>
      <c r="D20" s="1575"/>
      <c r="E20" s="1575"/>
      <c r="F20" s="1575"/>
      <c r="G20" s="1575"/>
      <c r="H20" s="1575"/>
      <c r="I20" s="1575"/>
      <c r="J20" s="1575"/>
      <c r="K20" s="1575"/>
    </row>
    <row r="21" spans="1:11" ht="12.75" customHeight="1" x14ac:dyDescent="0.2">
      <c r="A21" s="427" t="s">
        <v>827</v>
      </c>
      <c r="B21" s="429">
        <v>1312</v>
      </c>
      <c r="C21" s="1632">
        <v>3667</v>
      </c>
      <c r="D21" s="1575"/>
      <c r="E21" s="1575"/>
      <c r="F21" s="1575"/>
      <c r="G21" s="1575"/>
      <c r="H21" s="1575"/>
      <c r="I21" s="1575"/>
      <c r="J21" s="1575"/>
      <c r="K21" s="1575"/>
    </row>
    <row r="22" spans="1:11" ht="12.75" customHeight="1" x14ac:dyDescent="0.2">
      <c r="A22" s="427" t="s">
        <v>1067</v>
      </c>
      <c r="B22" s="429">
        <v>1313</v>
      </c>
      <c r="C22" s="1632"/>
      <c r="D22" s="1575"/>
      <c r="E22" s="1575"/>
      <c r="F22" s="1575"/>
      <c r="G22" s="1575"/>
      <c r="H22" s="1575"/>
      <c r="I22" s="1575"/>
      <c r="J22" s="1575"/>
      <c r="K22" s="1575"/>
    </row>
    <row r="23" spans="1:11" ht="12.75" customHeight="1" x14ac:dyDescent="0.2">
      <c r="A23" s="427" t="s">
        <v>1068</v>
      </c>
      <c r="B23" s="429">
        <v>1314</v>
      </c>
      <c r="C23" s="1598"/>
      <c r="D23" s="1575"/>
      <c r="E23" s="1575"/>
      <c r="F23" s="1575"/>
      <c r="G23" s="1575"/>
      <c r="H23" s="1575"/>
      <c r="I23" s="1575"/>
      <c r="J23" s="1575"/>
      <c r="K23" s="1575"/>
    </row>
    <row r="24" spans="1:11" ht="12.75" customHeight="1" x14ac:dyDescent="0.2">
      <c r="A24" s="427" t="s">
        <v>1020</v>
      </c>
      <c r="B24" s="429">
        <v>1321</v>
      </c>
      <c r="C24" s="1632">
        <v>10820</v>
      </c>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1094</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374208</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f>6960</f>
        <v>6960</v>
      </c>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395655</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1069</v>
      </c>
      <c r="B42" s="429">
        <v>1411</v>
      </c>
      <c r="C42" s="1575"/>
      <c r="D42" s="1575"/>
      <c r="E42" s="1575"/>
      <c r="F42" s="1586">
        <v>15782</v>
      </c>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1166</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1099</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1100</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1101</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15782</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f>136+107233</f>
        <v>107369</v>
      </c>
      <c r="D65" s="1573">
        <v>19350</v>
      </c>
      <c r="E65" s="1573">
        <v>10444</v>
      </c>
      <c r="F65" s="1574">
        <v>8209</v>
      </c>
      <c r="G65" s="1573">
        <v>7276</v>
      </c>
      <c r="H65" s="1573">
        <f>44909+391</f>
        <v>45300</v>
      </c>
      <c r="I65" s="1573">
        <v>589</v>
      </c>
      <c r="J65" s="1574">
        <v>2047</v>
      </c>
      <c r="K65" s="1573">
        <v>4912</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107369</v>
      </c>
      <c r="D67" s="1594">
        <f t="shared" ref="D67:K67" si="2">SUM(D65:D66)</f>
        <v>19350</v>
      </c>
      <c r="E67" s="1594">
        <f t="shared" si="2"/>
        <v>10444</v>
      </c>
      <c r="F67" s="1594">
        <f t="shared" si="2"/>
        <v>8209</v>
      </c>
      <c r="G67" s="1594">
        <f t="shared" si="2"/>
        <v>7276</v>
      </c>
      <c r="H67" s="1594">
        <f t="shared" si="2"/>
        <v>45300</v>
      </c>
      <c r="I67" s="1594">
        <f t="shared" si="2"/>
        <v>589</v>
      </c>
      <c r="J67" s="1594">
        <f t="shared" si="2"/>
        <v>2047</v>
      </c>
      <c r="K67" s="1594">
        <f t="shared" si="2"/>
        <v>4912</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30426</v>
      </c>
      <c r="D71" s="1575"/>
      <c r="E71" s="1575"/>
      <c r="F71" s="1575"/>
      <c r="G71" s="1575"/>
      <c r="H71" s="1575"/>
      <c r="I71" s="1575"/>
      <c r="J71" s="1575"/>
      <c r="K71" s="1575"/>
    </row>
    <row r="72" spans="1:11" ht="12.75" customHeight="1" x14ac:dyDescent="0.2">
      <c r="A72" s="427" t="s">
        <v>24</v>
      </c>
      <c r="B72" s="429">
        <v>1614</v>
      </c>
      <c r="C72" s="1632">
        <v>2780</v>
      </c>
      <c r="D72" s="1575"/>
      <c r="E72" s="1575"/>
      <c r="F72" s="1575"/>
      <c r="G72" s="1575"/>
      <c r="H72" s="1575"/>
      <c r="I72" s="1575"/>
      <c r="J72" s="1575"/>
      <c r="K72" s="1575"/>
    </row>
    <row r="73" spans="1:11" ht="12.75" customHeight="1" x14ac:dyDescent="0.2">
      <c r="A73" s="427" t="s">
        <v>991</v>
      </c>
      <c r="B73" s="429">
        <v>1620</v>
      </c>
      <c r="C73" s="1632">
        <v>8724</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41930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36213</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393530</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429743</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122167</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122167</v>
      </c>
      <c r="D93" s="1575"/>
      <c r="E93" s="1575"/>
      <c r="F93" s="1575"/>
      <c r="G93" s="1575"/>
      <c r="H93" s="1575"/>
      <c r="I93" s="1575"/>
      <c r="J93" s="1575"/>
      <c r="K93" s="1575"/>
    </row>
    <row r="94" spans="1:11" ht="15.75" customHeight="1" thickTop="1" x14ac:dyDescent="0.2">
      <c r="A94" s="1330" t="s">
        <v>1129</v>
      </c>
      <c r="B94" s="1332">
        <v>1900</v>
      </c>
      <c r="C94" s="1634"/>
      <c r="D94" s="1617"/>
      <c r="E94" s="1575"/>
      <c r="F94" s="1575"/>
      <c r="G94" s="1575"/>
      <c r="H94" s="1575"/>
      <c r="I94" s="1575"/>
      <c r="J94" s="1575"/>
      <c r="K94" s="1575"/>
    </row>
    <row r="95" spans="1:11" ht="12.75" customHeight="1" x14ac:dyDescent="0.2">
      <c r="A95" s="427" t="s">
        <v>1057</v>
      </c>
      <c r="B95" s="429">
        <v>1910</v>
      </c>
      <c r="C95" s="1573"/>
      <c r="D95" s="1632">
        <v>30370</v>
      </c>
      <c r="E95" s="1617"/>
      <c r="F95" s="1617"/>
      <c r="G95" s="1617"/>
      <c r="H95" s="1617"/>
      <c r="I95" s="1617"/>
      <c r="J95" s="1617"/>
      <c r="K95" s="1617"/>
    </row>
    <row r="96" spans="1:11" ht="12.75" customHeight="1" x14ac:dyDescent="0.2">
      <c r="A96" s="427" t="s">
        <v>388</v>
      </c>
      <c r="B96" s="429">
        <v>1920</v>
      </c>
      <c r="C96" s="1632">
        <f>2162+2+3030</f>
        <v>5194</v>
      </c>
      <c r="D96" s="1632"/>
      <c r="E96" s="1584"/>
      <c r="F96" s="1583"/>
      <c r="G96" s="1583"/>
      <c r="H96" s="1583"/>
      <c r="I96" s="1583"/>
      <c r="J96" s="1583"/>
      <c r="K96" s="1583"/>
    </row>
    <row r="97" spans="1:12" ht="12.75" customHeight="1" x14ac:dyDescent="0.2">
      <c r="A97" s="1265" t="s">
        <v>242</v>
      </c>
      <c r="B97" s="477">
        <v>1930</v>
      </c>
      <c r="C97" s="1598">
        <v>650</v>
      </c>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3796</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8725</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3419734</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1416</v>
      </c>
      <c r="B106" s="429">
        <v>1993</v>
      </c>
      <c r="C106" s="1573"/>
      <c r="D106" s="1598"/>
      <c r="E106" s="1574"/>
      <c r="F106" s="1574"/>
      <c r="G106" s="1574"/>
      <c r="H106" s="1574"/>
      <c r="I106" s="1617"/>
      <c r="J106" s="1574"/>
      <c r="K106" s="1574"/>
    </row>
    <row r="107" spans="1:12" ht="12.75" customHeight="1" x14ac:dyDescent="0.2">
      <c r="A107" s="427" t="s">
        <v>78</v>
      </c>
      <c r="B107" s="429">
        <v>1999</v>
      </c>
      <c r="C107" s="1632">
        <f>88135+515066-253</f>
        <v>602948</v>
      </c>
      <c r="D107" s="1573">
        <v>5362</v>
      </c>
      <c r="E107" s="1573"/>
      <c r="F107" s="1573"/>
      <c r="G107" s="1573"/>
      <c r="H107" s="1573">
        <f>4741</f>
        <v>4741</v>
      </c>
      <c r="I107" s="1573"/>
      <c r="J107" s="1574">
        <v>99620</v>
      </c>
      <c r="K107" s="1573"/>
    </row>
    <row r="108" spans="1:12" ht="12.75" customHeight="1" thickBot="1" x14ac:dyDescent="0.25">
      <c r="A108" s="1406" t="s">
        <v>484</v>
      </c>
      <c r="B108" s="1408"/>
      <c r="C108" s="1633">
        <f>SUM(C95:C107)</f>
        <v>621313</v>
      </c>
      <c r="D108" s="1633">
        <f t="shared" ref="D108:K108" si="3">SUM(D95:D107)</f>
        <v>35732</v>
      </c>
      <c r="E108" s="1633">
        <f t="shared" si="3"/>
        <v>0</v>
      </c>
      <c r="F108" s="1633">
        <f t="shared" si="3"/>
        <v>0</v>
      </c>
      <c r="G108" s="1633">
        <f t="shared" si="3"/>
        <v>0</v>
      </c>
      <c r="H108" s="1633">
        <f t="shared" si="3"/>
        <v>3424475</v>
      </c>
      <c r="I108" s="1633">
        <f t="shared" si="3"/>
        <v>0</v>
      </c>
      <c r="J108" s="1633">
        <f t="shared" si="3"/>
        <v>99620</v>
      </c>
      <c r="K108" s="1594">
        <f t="shared" si="3"/>
        <v>0</v>
      </c>
    </row>
    <row r="109" spans="1:12" ht="14.25" thickTop="1" thickBot="1" x14ac:dyDescent="0.25">
      <c r="A109" s="1409" t="s">
        <v>246</v>
      </c>
      <c r="B109" s="1410" t="s">
        <v>566</v>
      </c>
      <c r="C109" s="1641">
        <f t="shared" ref="C109:K109" si="4">SUM(C12,C18,C40,C63,C67,C75,C82,C93,C108,)</f>
        <v>27568038</v>
      </c>
      <c r="D109" s="1641">
        <f t="shared" si="4"/>
        <v>3851688</v>
      </c>
      <c r="E109" s="1641">
        <f t="shared" si="4"/>
        <v>2370928</v>
      </c>
      <c r="F109" s="1641">
        <f t="shared" si="4"/>
        <v>1335966</v>
      </c>
      <c r="G109" s="1641">
        <f t="shared" si="4"/>
        <v>1442333</v>
      </c>
      <c r="H109" s="1641">
        <f t="shared" si="4"/>
        <v>3469775</v>
      </c>
      <c r="I109" s="1641">
        <f t="shared" si="4"/>
        <v>1484</v>
      </c>
      <c r="J109" s="1641">
        <f t="shared" si="4"/>
        <v>804779</v>
      </c>
      <c r="K109" s="1629">
        <f t="shared" si="4"/>
        <v>337293</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1161</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1477</v>
      </c>
      <c r="B116" s="1334"/>
      <c r="C116" s="1643"/>
      <c r="D116" s="1617"/>
      <c r="E116" s="1640"/>
      <c r="F116" s="1617"/>
      <c r="G116" s="1617"/>
      <c r="H116" s="1640"/>
      <c r="I116" s="1575"/>
      <c r="J116" s="1617"/>
      <c r="K116" s="1617"/>
    </row>
    <row r="117" spans="1:11" ht="12.75" customHeight="1" x14ac:dyDescent="0.2">
      <c r="A117" s="427" t="s">
        <v>1651</v>
      </c>
      <c r="B117" s="478">
        <v>3001</v>
      </c>
      <c r="C117" s="1613">
        <v>11130776</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11130776</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1476</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450574</v>
      </c>
      <c r="D125" s="1640"/>
      <c r="E125" s="1575"/>
      <c r="F125" s="1631"/>
      <c r="G125" s="1575"/>
      <c r="H125" s="1575"/>
      <c r="I125" s="1575"/>
      <c r="J125" s="1575"/>
      <c r="K125" s="1575"/>
    </row>
    <row r="126" spans="1:11" ht="12.75" customHeight="1" x14ac:dyDescent="0.2">
      <c r="A126" s="427" t="s">
        <v>1432</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v>74547</v>
      </c>
      <c r="G127" s="1575"/>
      <c r="H127" s="1575"/>
      <c r="I127" s="1575"/>
      <c r="J127" s="1575"/>
      <c r="K127" s="1575"/>
    </row>
    <row r="128" spans="1:11" ht="12.75" customHeight="1" x14ac:dyDescent="0.2">
      <c r="A128" s="427" t="s">
        <v>105</v>
      </c>
      <c r="B128" s="478">
        <v>3120</v>
      </c>
      <c r="C128" s="1573">
        <v>2361602</v>
      </c>
      <c r="D128" s="1640"/>
      <c r="E128" s="1575"/>
      <c r="F128" s="1573"/>
      <c r="G128" s="1575"/>
      <c r="H128" s="1575"/>
      <c r="I128" s="1575"/>
      <c r="J128" s="1575"/>
      <c r="K128" s="1575"/>
    </row>
    <row r="129" spans="1:11" ht="12.75" customHeight="1" x14ac:dyDescent="0.2">
      <c r="A129" s="427" t="s">
        <v>1433</v>
      </c>
      <c r="B129" s="478">
        <v>3130</v>
      </c>
      <c r="C129" s="1573">
        <v>117956</v>
      </c>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2930132</v>
      </c>
      <c r="D132" s="1633">
        <f>SUM(D125:D131)</f>
        <v>0</v>
      </c>
      <c r="E132" s="1576" t="s">
        <v>1161</v>
      </c>
      <c r="F132" s="1633">
        <f>SUM(F125:F131)</f>
        <v>74547</v>
      </c>
      <c r="G132" s="1575" t="s">
        <v>1161</v>
      </c>
      <c r="H132" s="1575" t="s">
        <v>1161</v>
      </c>
      <c r="I132" s="1575" t="s">
        <v>1161</v>
      </c>
      <c r="J132" s="1575" t="s">
        <v>1161</v>
      </c>
      <c r="K132" s="1575" t="s">
        <v>1161</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31066</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31066</v>
      </c>
      <c r="D141" s="1633">
        <f>SUM(D134:D140)</f>
        <v>0</v>
      </c>
      <c r="E141" s="1640" t="s">
        <v>1161</v>
      </c>
      <c r="F141" s="1582"/>
      <c r="G141" s="1633">
        <f>SUM(G134:G140)</f>
        <v>0</v>
      </c>
      <c r="H141" s="1575" t="s">
        <v>1161</v>
      </c>
      <c r="I141" s="1575" t="s">
        <v>1161</v>
      </c>
      <c r="J141" s="1575" t="s">
        <v>1161</v>
      </c>
      <c r="K141" s="1575" t="s">
        <v>1161</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1049</v>
      </c>
      <c r="B146" s="482">
        <v>3360</v>
      </c>
      <c r="C146" s="1646">
        <v>39165</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40480</v>
      </c>
      <c r="D148" s="1649"/>
      <c r="E148" s="1609"/>
      <c r="F148" s="1575"/>
      <c r="G148" s="1575"/>
      <c r="H148" s="1575"/>
      <c r="I148" s="1575"/>
      <c r="J148" s="1575"/>
      <c r="K148" s="1575"/>
    </row>
    <row r="149" spans="1:11" ht="12.75" customHeight="1" thickTop="1" thickBot="1" x14ac:dyDescent="0.25">
      <c r="A149" s="1270" t="s">
        <v>762</v>
      </c>
      <c r="B149" s="484">
        <v>3410</v>
      </c>
      <c r="C149" s="1650">
        <f>203786+151376-1</f>
        <v>355161</v>
      </c>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1434</v>
      </c>
      <c r="B152" s="478">
        <v>3500</v>
      </c>
      <c r="C152" s="1632"/>
      <c r="D152" s="1573"/>
      <c r="E152" s="1640"/>
      <c r="F152" s="1573">
        <v>538482</v>
      </c>
      <c r="G152" s="1574"/>
      <c r="H152" s="1575"/>
      <c r="I152" s="1575"/>
      <c r="J152" s="1575"/>
      <c r="K152" s="1575"/>
    </row>
    <row r="153" spans="1:11" ht="12.75" customHeight="1" x14ac:dyDescent="0.2">
      <c r="A153" s="427" t="s">
        <v>1050</v>
      </c>
      <c r="B153" s="478">
        <v>3510</v>
      </c>
      <c r="C153" s="1632"/>
      <c r="D153" s="1573"/>
      <c r="E153" s="1640"/>
      <c r="F153" s="1573">
        <v>432014</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970496</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f>159488+1</f>
        <v>159489</v>
      </c>
      <c r="D158" s="1575"/>
      <c r="E158" s="1640"/>
      <c r="F158" s="1651"/>
      <c r="G158" s="1651"/>
      <c r="H158" s="1575"/>
      <c r="I158" s="1575"/>
      <c r="J158" s="1575"/>
      <c r="K158" s="1575"/>
    </row>
    <row r="159" spans="1:11" ht="12.75" customHeight="1" thickTop="1" thickBot="1" x14ac:dyDescent="0.25">
      <c r="A159" s="1270" t="s">
        <v>1044</v>
      </c>
      <c r="B159" s="484">
        <v>3705</v>
      </c>
      <c r="C159" s="1651">
        <v>1986396</v>
      </c>
      <c r="D159" s="1653"/>
      <c r="E159" s="1640"/>
      <c r="F159" s="1651">
        <v>44065</v>
      </c>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1435</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v>50000</v>
      </c>
      <c r="I167" s="1575"/>
      <c r="J167" s="1575"/>
      <c r="K167" s="1626"/>
    </row>
    <row r="168" spans="1:11" ht="14.25" thickTop="1" thickBot="1" x14ac:dyDescent="0.25">
      <c r="A168" s="1270" t="s">
        <v>70</v>
      </c>
      <c r="B168" s="484">
        <v>3999</v>
      </c>
      <c r="C168" s="1654">
        <v>325999</v>
      </c>
      <c r="D168" s="1655"/>
      <c r="E168" s="1655"/>
      <c r="F168" s="1655">
        <f>3258+2</f>
        <v>3260</v>
      </c>
      <c r="G168" s="1656"/>
      <c r="H168" s="1657"/>
      <c r="I168" s="1656"/>
      <c r="J168" s="1656"/>
      <c r="K168" s="1657"/>
    </row>
    <row r="169" spans="1:11" ht="12.75" customHeight="1" thickTop="1" thickBot="1" x14ac:dyDescent="0.25">
      <c r="A169" s="2254" t="s">
        <v>395</v>
      </c>
      <c r="B169" s="2255"/>
      <c r="C169" s="1658">
        <f t="shared" ref="C169:K169" si="6">SUM(C132,C141,C145,C146:C150,C155,C156:C167,C168)</f>
        <v>5867888</v>
      </c>
      <c r="D169" s="1658">
        <f t="shared" si="6"/>
        <v>0</v>
      </c>
      <c r="E169" s="1658">
        <f t="shared" si="6"/>
        <v>0</v>
      </c>
      <c r="F169" s="1658">
        <f t="shared" si="6"/>
        <v>1092368</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16998664</v>
      </c>
      <c r="D170" s="1641">
        <f t="shared" si="7"/>
        <v>0</v>
      </c>
      <c r="E170" s="1641">
        <f t="shared" si="7"/>
        <v>0</v>
      </c>
      <c r="F170" s="1641">
        <f t="shared" si="7"/>
        <v>1092368</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6" t="s">
        <v>1478</v>
      </c>
      <c r="B172" s="2257"/>
      <c r="C172" s="1616"/>
      <c r="D172" s="1616"/>
      <c r="E172" s="1609"/>
      <c r="F172" s="1575"/>
      <c r="G172" s="1575"/>
      <c r="H172" s="1575"/>
      <c r="I172" s="1575"/>
      <c r="J172" s="1575"/>
      <c r="K172" s="1575"/>
    </row>
    <row r="173" spans="1:11" ht="12.6" customHeight="1" x14ac:dyDescent="0.2">
      <c r="A173" s="436" t="s">
        <v>1037</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0" t="s">
        <v>1649</v>
      </c>
      <c r="B175" s="2261"/>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4" t="s">
        <v>1648</v>
      </c>
      <c r="B176" s="2265"/>
      <c r="C176" s="1659"/>
      <c r="D176" s="1660"/>
      <c r="E176" s="1661"/>
      <c r="F176" s="1662"/>
      <c r="G176" s="1662"/>
      <c r="H176" s="1662"/>
      <c r="I176" s="1662"/>
      <c r="J176" s="1662"/>
      <c r="K176" s="1662"/>
    </row>
    <row r="177" spans="1:11" ht="12.75" customHeight="1" x14ac:dyDescent="0.2">
      <c r="A177" s="427" t="s">
        <v>1038</v>
      </c>
      <c r="B177" s="429">
        <v>4045</v>
      </c>
      <c r="C177" s="1632"/>
      <c r="D177" s="1575"/>
      <c r="E177" s="1640"/>
      <c r="F177" s="1575"/>
      <c r="G177" s="1575"/>
      <c r="H177" s="1575"/>
      <c r="I177" s="1575"/>
      <c r="J177" s="1575"/>
      <c r="K177" s="1575"/>
    </row>
    <row r="178" spans="1:11" ht="12.75" customHeight="1" x14ac:dyDescent="0.2">
      <c r="A178" s="427" t="s">
        <v>1039</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2" t="s">
        <v>780</v>
      </c>
      <c r="B181" s="2263"/>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8" t="s">
        <v>1780</v>
      </c>
      <c r="B182" s="2259"/>
      <c r="C182" s="1663"/>
      <c r="D182" s="1645"/>
      <c r="E182" s="1609"/>
      <c r="F182" s="1645"/>
      <c r="G182" s="1645"/>
      <c r="H182" s="1575"/>
      <c r="I182" s="1575"/>
      <c r="J182" s="1575"/>
      <c r="K182" s="1575"/>
    </row>
    <row r="183" spans="1:11" ht="15.75" customHeight="1" x14ac:dyDescent="0.2">
      <c r="A183" s="1341" t="s">
        <v>1588</v>
      </c>
      <c r="B183" s="1342"/>
      <c r="C183" s="1643"/>
      <c r="D183" s="1617"/>
      <c r="E183" s="1609"/>
      <c r="F183" s="1617"/>
      <c r="G183" s="1617"/>
      <c r="H183" s="1575"/>
      <c r="I183" s="1575"/>
      <c r="J183" s="1575"/>
      <c r="K183" s="1575"/>
    </row>
    <row r="184" spans="1:11" ht="12.75" customHeight="1" x14ac:dyDescent="0.2">
      <c r="A184" s="427" t="s">
        <v>1589</v>
      </c>
      <c r="B184" s="429">
        <v>4100</v>
      </c>
      <c r="C184" s="1613"/>
      <c r="D184" s="1586"/>
      <c r="E184" s="1640"/>
      <c r="F184" s="1586"/>
      <c r="G184" s="1586"/>
      <c r="H184" s="1575"/>
      <c r="I184" s="1575"/>
      <c r="J184" s="1575"/>
      <c r="K184" s="1575"/>
    </row>
    <row r="185" spans="1:11" ht="12.75" customHeight="1" x14ac:dyDescent="0.2">
      <c r="A185" s="427" t="s">
        <v>1590</v>
      </c>
      <c r="B185" s="429">
        <v>4105</v>
      </c>
      <c r="C185" s="1632"/>
      <c r="D185" s="1573"/>
      <c r="E185" s="1640"/>
      <c r="F185" s="1573"/>
      <c r="G185" s="1573"/>
      <c r="H185" s="1575"/>
      <c r="I185" s="1575"/>
      <c r="J185" s="1575"/>
      <c r="K185" s="1575"/>
    </row>
    <row r="186" spans="1:11" ht="12.75" customHeight="1" x14ac:dyDescent="0.2">
      <c r="A186" s="427" t="s">
        <v>1592</v>
      </c>
      <c r="B186" s="429">
        <v>4107</v>
      </c>
      <c r="C186" s="1632"/>
      <c r="D186" s="1573"/>
      <c r="E186" s="1640"/>
      <c r="F186" s="1573"/>
      <c r="G186" s="1573"/>
      <c r="H186" s="1575"/>
      <c r="I186" s="1575"/>
      <c r="J186" s="1575"/>
      <c r="K186" s="1575"/>
    </row>
    <row r="187" spans="1:11" ht="12.75" customHeight="1" x14ac:dyDescent="0.2">
      <c r="A187" s="427" t="s">
        <v>1591</v>
      </c>
      <c r="B187" s="429">
        <v>4199</v>
      </c>
      <c r="C187" s="1632"/>
      <c r="D187" s="1573"/>
      <c r="E187" s="1640"/>
      <c r="F187" s="1573"/>
      <c r="G187" s="1573"/>
      <c r="H187" s="1575"/>
      <c r="I187" s="1575"/>
      <c r="J187" s="1575"/>
      <c r="K187" s="1575"/>
    </row>
    <row r="188" spans="1:11" ht="12.75" customHeight="1" thickBot="1" x14ac:dyDescent="0.25">
      <c r="A188" s="1406" t="s">
        <v>1593</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1436</v>
      </c>
      <c r="B190" s="429">
        <v>4200</v>
      </c>
      <c r="C190" s="1574"/>
      <c r="D190" s="1575"/>
      <c r="E190" s="1640"/>
      <c r="F190" s="1634"/>
      <c r="G190" s="1664"/>
      <c r="H190" s="1575"/>
      <c r="I190" s="1575"/>
      <c r="J190" s="1575"/>
      <c r="K190" s="1575"/>
    </row>
    <row r="191" spans="1:11" ht="12.75" customHeight="1" x14ac:dyDescent="0.2">
      <c r="A191" s="427" t="s">
        <v>1051</v>
      </c>
      <c r="B191" s="429">
        <v>4210</v>
      </c>
      <c r="C191" s="1573">
        <v>1274625</v>
      </c>
      <c r="D191" s="1575"/>
      <c r="E191" s="1640"/>
      <c r="F191" s="1575"/>
      <c r="G191" s="1664"/>
      <c r="H191" s="1575"/>
      <c r="I191" s="1575"/>
      <c r="J191" s="1575"/>
      <c r="K191" s="1575"/>
    </row>
    <row r="192" spans="1:11" ht="12.75" customHeight="1" x14ac:dyDescent="0.2">
      <c r="A192" s="427" t="s">
        <v>1040</v>
      </c>
      <c r="B192" s="429">
        <v>4215</v>
      </c>
      <c r="C192" s="1632"/>
      <c r="D192" s="1575"/>
      <c r="E192" s="1640"/>
      <c r="F192" s="1575"/>
      <c r="G192" s="1664"/>
      <c r="H192" s="1575"/>
      <c r="I192" s="1575"/>
      <c r="J192" s="1575"/>
      <c r="K192" s="1575"/>
    </row>
    <row r="193" spans="1:11" ht="12.75" customHeight="1" x14ac:dyDescent="0.2">
      <c r="A193" s="427" t="s">
        <v>1052</v>
      </c>
      <c r="B193" s="429">
        <v>4220</v>
      </c>
      <c r="C193" s="1632">
        <v>565368</v>
      </c>
      <c r="D193" s="1575"/>
      <c r="E193" s="1640"/>
      <c r="F193" s="1575"/>
      <c r="G193" s="1664"/>
      <c r="H193" s="1575"/>
      <c r="I193" s="1575"/>
      <c r="J193" s="1575"/>
      <c r="K193" s="1575"/>
    </row>
    <row r="194" spans="1:11" ht="12.75" customHeight="1" x14ac:dyDescent="0.2">
      <c r="A194" s="427" t="s">
        <v>1437</v>
      </c>
      <c r="B194" s="429">
        <v>4225</v>
      </c>
      <c r="C194" s="1632">
        <v>422194</v>
      </c>
      <c r="D194" s="1575"/>
      <c r="E194" s="1640"/>
      <c r="F194" s="1575"/>
      <c r="G194" s="1664"/>
      <c r="H194" s="1575"/>
      <c r="I194" s="1575"/>
      <c r="J194" s="1575"/>
      <c r="K194" s="1575"/>
    </row>
    <row r="195" spans="1:11" ht="12.75" customHeight="1" x14ac:dyDescent="0.2">
      <c r="A195" s="427" t="s">
        <v>1438</v>
      </c>
      <c r="B195" s="429">
        <v>4226</v>
      </c>
      <c r="C195" s="1632">
        <v>97543</v>
      </c>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2359730</v>
      </c>
      <c r="D198" s="1575"/>
      <c r="E198" s="1575"/>
      <c r="F198" s="1575"/>
      <c r="G198" s="1594">
        <f>SUM(G190:G197)</f>
        <v>0</v>
      </c>
      <c r="H198" s="1575"/>
      <c r="I198" s="1575"/>
      <c r="J198" s="1575"/>
      <c r="K198" s="1575"/>
    </row>
    <row r="199" spans="1:11" ht="15.75" customHeight="1" thickTop="1" x14ac:dyDescent="0.2">
      <c r="A199" s="1338" t="s">
        <v>1130</v>
      </c>
      <c r="B199" s="1343"/>
      <c r="C199" s="1634"/>
      <c r="D199" s="1575"/>
      <c r="E199" s="1575"/>
      <c r="F199" s="1575"/>
      <c r="G199" s="1575"/>
      <c r="H199" s="1575"/>
      <c r="I199" s="1575"/>
      <c r="J199" s="1575"/>
      <c r="K199" s="1575"/>
    </row>
    <row r="200" spans="1:11" ht="12.75" customHeight="1" x14ac:dyDescent="0.2">
      <c r="A200" s="427" t="s">
        <v>912</v>
      </c>
      <c r="B200" s="429">
        <v>4300</v>
      </c>
      <c r="C200" s="1573">
        <v>1688332</v>
      </c>
      <c r="D200" s="1573"/>
      <c r="E200" s="1575"/>
      <c r="F200" s="1573"/>
      <c r="G200" s="1573"/>
      <c r="H200" s="1575"/>
      <c r="I200" s="1575"/>
      <c r="J200" s="1575"/>
      <c r="K200" s="1575"/>
    </row>
    <row r="201" spans="1:11" ht="12.75" customHeight="1" x14ac:dyDescent="0.2">
      <c r="A201" s="427" t="s">
        <v>913</v>
      </c>
      <c r="B201" s="429">
        <v>4305</v>
      </c>
      <c r="C201" s="1632">
        <v>66099</v>
      </c>
      <c r="D201" s="1573"/>
      <c r="E201" s="1575"/>
      <c r="F201" s="1573"/>
      <c r="G201" s="1573"/>
      <c r="H201" s="1575"/>
      <c r="I201" s="1575"/>
      <c r="J201" s="1575"/>
      <c r="K201" s="1575"/>
    </row>
    <row r="202" spans="1:11" ht="12.75" customHeight="1" x14ac:dyDescent="0.2">
      <c r="A202" s="427" t="s">
        <v>1024</v>
      </c>
      <c r="B202" s="429">
        <v>4340</v>
      </c>
      <c r="C202" s="1632">
        <v>48944</v>
      </c>
      <c r="D202" s="1573"/>
      <c r="E202" s="1575"/>
      <c r="F202" s="1573"/>
      <c r="G202" s="1573"/>
      <c r="H202" s="1575"/>
      <c r="I202" s="1575"/>
      <c r="J202" s="1575"/>
      <c r="K202" s="1575"/>
    </row>
    <row r="203" spans="1:11" ht="12.75" customHeight="1" x14ac:dyDescent="0.2">
      <c r="A203" s="427" t="s">
        <v>72</v>
      </c>
      <c r="B203" s="429">
        <v>4399</v>
      </c>
      <c r="C203" s="1632"/>
      <c r="D203" s="1573"/>
      <c r="E203" s="1575"/>
      <c r="F203" s="1573">
        <v>3283</v>
      </c>
      <c r="G203" s="1573"/>
      <c r="H203" s="1575"/>
      <c r="I203" s="1575"/>
      <c r="J203" s="1575"/>
      <c r="K203" s="1575"/>
    </row>
    <row r="204" spans="1:11" ht="12.75" customHeight="1" thickBot="1" x14ac:dyDescent="0.25">
      <c r="A204" s="1406" t="s">
        <v>397</v>
      </c>
      <c r="B204" s="1407"/>
      <c r="C204" s="1633">
        <f>SUM(C200:C203)</f>
        <v>1803375</v>
      </c>
      <c r="D204" s="1633">
        <f>SUM(D200:D203)</f>
        <v>0</v>
      </c>
      <c r="E204" s="1575"/>
      <c r="F204" s="1633">
        <f>SUM(F200:F203)</f>
        <v>3283</v>
      </c>
      <c r="G204" s="1633">
        <f>SUM(G200:G203)</f>
        <v>0</v>
      </c>
      <c r="H204" s="1575"/>
      <c r="I204" s="1575"/>
      <c r="J204" s="1575"/>
      <c r="K204" s="1575"/>
    </row>
    <row r="205" spans="1:11" ht="15.75" customHeight="1" thickTop="1" x14ac:dyDescent="0.2">
      <c r="A205" s="1338" t="s">
        <v>1131</v>
      </c>
      <c r="B205" s="1343"/>
      <c r="C205" s="1634"/>
      <c r="D205" s="1634"/>
      <c r="E205" s="1575"/>
      <c r="F205" s="1634"/>
      <c r="G205" s="1634"/>
      <c r="H205" s="1575"/>
      <c r="I205" s="1575"/>
      <c r="J205" s="1575"/>
      <c r="K205" s="1575"/>
    </row>
    <row r="206" spans="1:11" ht="12.75" customHeight="1" x14ac:dyDescent="0.2">
      <c r="A206" s="427" t="s">
        <v>754</v>
      </c>
      <c r="B206" s="429">
        <v>4400</v>
      </c>
      <c r="C206" s="1632">
        <v>20128</v>
      </c>
      <c r="D206" s="1573"/>
      <c r="E206" s="1575"/>
      <c r="F206" s="1573"/>
      <c r="G206" s="1573"/>
      <c r="H206" s="1575"/>
      <c r="I206" s="1575"/>
      <c r="J206" s="1575"/>
      <c r="K206" s="1575"/>
    </row>
    <row r="207" spans="1:11" ht="12.75" customHeight="1" x14ac:dyDescent="0.2">
      <c r="A207" s="427" t="s">
        <v>1439</v>
      </c>
      <c r="B207" s="429">
        <v>4421</v>
      </c>
      <c r="C207" s="1632">
        <v>460176</v>
      </c>
      <c r="D207" s="1573"/>
      <c r="E207" s="1575"/>
      <c r="F207" s="1573">
        <v>36848</v>
      </c>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480304</v>
      </c>
      <c r="D209" s="1633">
        <f>SUM(D206:D208)</f>
        <v>0</v>
      </c>
      <c r="E209" s="1575" t="s">
        <v>1161</v>
      </c>
      <c r="F209" s="1633">
        <f>SUM(F206:F208)</f>
        <v>36848</v>
      </c>
      <c r="G209" s="1633">
        <f>SUM(G206:G208)</f>
        <v>0</v>
      </c>
      <c r="H209" s="1575"/>
      <c r="I209" s="1575"/>
      <c r="J209" s="1575"/>
      <c r="K209" s="1575"/>
    </row>
    <row r="210" spans="1:11" ht="15.75" customHeight="1" thickTop="1" x14ac:dyDescent="0.2">
      <c r="A210" s="1338" t="s">
        <v>1085</v>
      </c>
      <c r="B210" s="1343"/>
      <c r="C210" s="1634"/>
      <c r="D210" s="1634"/>
      <c r="E210" s="1575"/>
      <c r="F210" s="1634"/>
      <c r="G210" s="1634"/>
      <c r="H210" s="1575"/>
      <c r="I210" s="1575"/>
      <c r="J210" s="1575"/>
      <c r="K210" s="1575"/>
    </row>
    <row r="211" spans="1:11" ht="12.75" customHeight="1" x14ac:dyDescent="0.2">
      <c r="A211" s="427" t="s">
        <v>1045</v>
      </c>
      <c r="B211" s="429">
        <v>4600</v>
      </c>
      <c r="C211" s="1632">
        <v>70863</v>
      </c>
      <c r="D211" s="1573"/>
      <c r="E211" s="1575"/>
      <c r="F211" s="1573"/>
      <c r="G211" s="1573"/>
      <c r="H211" s="1575"/>
      <c r="I211" s="1575"/>
      <c r="J211" s="1575"/>
      <c r="K211" s="1575"/>
    </row>
    <row r="212" spans="1:11" ht="12.75" customHeight="1" x14ac:dyDescent="0.2">
      <c r="A212" s="427" t="s">
        <v>1046</v>
      </c>
      <c r="B212" s="429">
        <v>4605</v>
      </c>
      <c r="C212" s="1632"/>
      <c r="D212" s="1573"/>
      <c r="E212" s="1575"/>
      <c r="F212" s="1573"/>
      <c r="G212" s="1573"/>
      <c r="H212" s="1575"/>
      <c r="I212" s="1575"/>
      <c r="J212" s="1575"/>
      <c r="K212" s="1575"/>
    </row>
    <row r="213" spans="1:11" ht="12.75" customHeight="1" x14ac:dyDescent="0.2">
      <c r="A213" s="427" t="s">
        <v>1440</v>
      </c>
      <c r="B213" s="475">
        <v>4620</v>
      </c>
      <c r="C213" s="1632">
        <v>1202390</v>
      </c>
      <c r="D213" s="1573"/>
      <c r="E213" s="1575"/>
      <c r="F213" s="1573"/>
      <c r="G213" s="1573"/>
      <c r="H213" s="1575"/>
      <c r="I213" s="1575"/>
      <c r="J213" s="1575"/>
      <c r="K213" s="1575"/>
    </row>
    <row r="214" spans="1:11" ht="12.75" customHeight="1" x14ac:dyDescent="0.2">
      <c r="A214" s="427" t="s">
        <v>1047</v>
      </c>
      <c r="B214" s="429">
        <v>4625</v>
      </c>
      <c r="C214" s="1632">
        <v>285664</v>
      </c>
      <c r="D214" s="1573"/>
      <c r="E214" s="1575"/>
      <c r="F214" s="1573"/>
      <c r="G214" s="1573"/>
      <c r="H214" s="1575"/>
      <c r="I214" s="1575"/>
      <c r="J214" s="1575"/>
      <c r="K214" s="1575"/>
    </row>
    <row r="215" spans="1:11" ht="12.75" customHeight="1" x14ac:dyDescent="0.2">
      <c r="A215" s="427" t="s">
        <v>1048</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1558917</v>
      </c>
      <c r="D217" s="1633">
        <f>SUM(D211:D216)</f>
        <v>0</v>
      </c>
      <c r="E217" s="1575"/>
      <c r="F217" s="1633">
        <f>SUM(F211:F216)</f>
        <v>0</v>
      </c>
      <c r="G217" s="1633">
        <f>SUM(G211:G216)</f>
        <v>0</v>
      </c>
      <c r="H217" s="1575"/>
      <c r="I217" s="1575"/>
      <c r="J217" s="1575"/>
      <c r="K217" s="1575"/>
    </row>
    <row r="218" spans="1:11" ht="15.75" customHeight="1" thickTop="1" x14ac:dyDescent="0.2">
      <c r="A218" s="1338" t="s">
        <v>1086</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1078</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f>145660</f>
        <v>145660</v>
      </c>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1120</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1441</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1407</v>
      </c>
      <c r="B253" s="487">
        <v>4901</v>
      </c>
      <c r="C253" s="1666"/>
      <c r="D253" s="1576"/>
      <c r="E253" s="1575"/>
      <c r="F253" s="1575"/>
      <c r="G253" s="1575"/>
      <c r="H253" s="1575"/>
      <c r="I253" s="1575"/>
      <c r="J253" s="1575"/>
      <c r="K253" s="1575"/>
    </row>
    <row r="254" spans="1:11" ht="12.75" customHeight="1" thickTop="1" thickBot="1" x14ac:dyDescent="0.25">
      <c r="A254" s="1273" t="s">
        <v>1449</v>
      </c>
      <c r="B254" s="488">
        <v>4902</v>
      </c>
      <c r="C254" s="1667"/>
      <c r="D254" s="1668"/>
      <c r="E254" s="1576"/>
      <c r="F254" s="1668"/>
      <c r="G254" s="1668"/>
      <c r="H254" s="1576"/>
      <c r="I254" s="1575"/>
      <c r="J254" s="1576"/>
      <c r="K254" s="1576"/>
    </row>
    <row r="255" spans="1:11" ht="12.75" customHeight="1" thickTop="1" thickBot="1" x14ac:dyDescent="0.25">
      <c r="A255" s="427" t="s">
        <v>1442</v>
      </c>
      <c r="B255" s="429">
        <v>4905</v>
      </c>
      <c r="C255" s="1649">
        <v>6727</v>
      </c>
      <c r="D255" s="1575"/>
      <c r="E255" s="1575"/>
      <c r="F255" s="1653"/>
      <c r="G255" s="1649"/>
      <c r="H255" s="1575"/>
      <c r="I255" s="1575"/>
      <c r="J255" s="1575"/>
      <c r="K255" s="1575"/>
    </row>
    <row r="256" spans="1:11" ht="12.75" customHeight="1" thickTop="1" thickBot="1" x14ac:dyDescent="0.25">
      <c r="A256" s="427" t="s">
        <v>1443</v>
      </c>
      <c r="B256" s="429">
        <v>4909</v>
      </c>
      <c r="C256" s="1651">
        <v>95222</v>
      </c>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166226</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124945</v>
      </c>
      <c r="D263" s="1651"/>
      <c r="E263" s="1575"/>
      <c r="F263" s="1651">
        <v>18020</v>
      </c>
      <c r="G263" s="1651"/>
      <c r="H263" s="1575"/>
      <c r="I263" s="1575"/>
      <c r="J263" s="1575"/>
      <c r="K263" s="1575"/>
    </row>
    <row r="264" spans="1:11" ht="12.75" customHeight="1" thickTop="1" thickBot="1" x14ac:dyDescent="0.25">
      <c r="A264" s="427" t="s">
        <v>374</v>
      </c>
      <c r="B264" s="429">
        <v>4992</v>
      </c>
      <c r="C264" s="1650">
        <v>114850</v>
      </c>
      <c r="D264" s="1651"/>
      <c r="E264" s="1575"/>
      <c r="F264" s="1651"/>
      <c r="G264" s="1651"/>
      <c r="H264" s="1575"/>
      <c r="I264" s="1575"/>
      <c r="J264" s="1575"/>
      <c r="K264" s="1575"/>
    </row>
    <row r="265" spans="1:11" s="489" customFormat="1" ht="12.75" customHeight="1" thickTop="1" thickBot="1" x14ac:dyDescent="0.25">
      <c r="A265" s="479" t="s">
        <v>75</v>
      </c>
      <c r="B265" s="475">
        <v>4998</v>
      </c>
      <c r="C265" s="1650">
        <f>264465+154465</f>
        <v>418930</v>
      </c>
      <c r="D265" s="1651"/>
      <c r="E265" s="1575"/>
      <c r="F265" s="1651"/>
      <c r="G265" s="1651"/>
      <c r="H265" s="1626"/>
      <c r="I265" s="1575"/>
      <c r="J265" s="1575"/>
      <c r="K265" s="1626"/>
    </row>
    <row r="266" spans="1:11" ht="14.25" thickTop="1" thickBot="1" x14ac:dyDescent="0.25">
      <c r="A266" s="1406" t="s">
        <v>1650</v>
      </c>
      <c r="B266" s="1419"/>
      <c r="C266" s="1641">
        <f t="shared" ref="C266:H266" si="10">SUM(C188,C198,C204,C209,C217,C221,C222,C252:C265)</f>
        <v>7274886</v>
      </c>
      <c r="D266" s="1641">
        <f t="shared" si="10"/>
        <v>0</v>
      </c>
      <c r="E266" s="1641">
        <f t="shared" si="10"/>
        <v>0</v>
      </c>
      <c r="F266" s="1641">
        <f t="shared" si="10"/>
        <v>58151</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1079</v>
      </c>
      <c r="B267" s="1421" t="s">
        <v>855</v>
      </c>
      <c r="C267" s="1641">
        <f>SUM(C175,C181,C266)</f>
        <v>7274886</v>
      </c>
      <c r="D267" s="1641">
        <f>SUM(D175,D181,D266)</f>
        <v>0</v>
      </c>
      <c r="E267" s="1641">
        <f>SUM(E175,E266)</f>
        <v>0</v>
      </c>
      <c r="F267" s="1641">
        <f t="shared" ref="F267:K267" si="11">SUM(F175,F181,F266)</f>
        <v>58151</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51841588</v>
      </c>
      <c r="D268" s="1641">
        <f t="shared" si="12"/>
        <v>3851688</v>
      </c>
      <c r="E268" s="1641">
        <f t="shared" si="12"/>
        <v>2370928</v>
      </c>
      <c r="F268" s="1641">
        <f t="shared" si="12"/>
        <v>2486485</v>
      </c>
      <c r="G268" s="1641">
        <f t="shared" si="12"/>
        <v>1442333</v>
      </c>
      <c r="H268" s="1641">
        <f t="shared" si="12"/>
        <v>3519775</v>
      </c>
      <c r="I268" s="1641">
        <f t="shared" si="12"/>
        <v>1484</v>
      </c>
      <c r="J268" s="1641">
        <f t="shared" si="12"/>
        <v>804779</v>
      </c>
      <c r="K268" s="1629">
        <f t="shared" si="12"/>
        <v>337293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xSplit="2" ySplit="1" topLeftCell="H28" activePane="bottomRight" state="frozen"/>
      <selection pane="topRight" activeCell="C1" sqref="C1"/>
      <selection pane="bottomLeft" activeCell="A2" sqref="A2"/>
      <selection pane="bottomRight" activeCell="H41" sqref="H4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4"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6"/>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2" t="s">
        <v>294</v>
      </c>
      <c r="B3" s="2273"/>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f>14804613-23</f>
        <v>14804590</v>
      </c>
      <c r="D5" s="1573">
        <v>1939632</v>
      </c>
      <c r="E5" s="1573">
        <f>307352-32260</f>
        <v>275092</v>
      </c>
      <c r="F5" s="1573">
        <f>503972+340+423</f>
        <v>504735</v>
      </c>
      <c r="G5" s="1573">
        <v>48209</v>
      </c>
      <c r="H5" s="1573"/>
      <c r="I5" s="1574"/>
      <c r="J5" s="1574"/>
      <c r="K5" s="1672">
        <f>SUM(C5:J5)</f>
        <v>17572258</v>
      </c>
      <c r="L5" s="1573">
        <f>17822169+57950+2091</f>
        <v>17882210</v>
      </c>
    </row>
    <row r="6" spans="1:14" x14ac:dyDescent="0.2">
      <c r="A6" s="1274" t="s">
        <v>1419</v>
      </c>
      <c r="B6" s="503" t="s">
        <v>1417</v>
      </c>
      <c r="C6" s="1582"/>
      <c r="D6" s="1582"/>
      <c r="E6" s="1573"/>
      <c r="F6" s="1582"/>
      <c r="G6" s="1582"/>
      <c r="H6" s="1582"/>
      <c r="I6" s="1582"/>
      <c r="J6" s="1582"/>
      <c r="K6" s="1672">
        <f>SUM(C6,E6)</f>
        <v>0</v>
      </c>
      <c r="L6" s="1573"/>
    </row>
    <row r="7" spans="1:14" x14ac:dyDescent="0.2">
      <c r="A7" s="1274" t="s">
        <v>162</v>
      </c>
      <c r="B7" s="503" t="s">
        <v>961</v>
      </c>
      <c r="C7" s="1574">
        <v>844095</v>
      </c>
      <c r="D7" s="1574">
        <v>210611</v>
      </c>
      <c r="E7" s="1574">
        <v>14000</v>
      </c>
      <c r="F7" s="1574">
        <v>6050</v>
      </c>
      <c r="G7" s="1574">
        <v>4533</v>
      </c>
      <c r="H7" s="1574"/>
      <c r="I7" s="1574"/>
      <c r="J7" s="1574"/>
      <c r="K7" s="1672">
        <f t="shared" ref="K7:K32" si="0">SUM(C7:J7)</f>
        <v>1079289</v>
      </c>
      <c r="L7" s="1573">
        <f>1058239+5200</f>
        <v>1063439</v>
      </c>
    </row>
    <row r="8" spans="1:14" x14ac:dyDescent="0.2">
      <c r="A8" s="1274" t="s">
        <v>163</v>
      </c>
      <c r="B8" s="503">
        <v>1200</v>
      </c>
      <c r="C8" s="1573">
        <v>6782659</v>
      </c>
      <c r="D8" s="1573">
        <v>1320606</v>
      </c>
      <c r="E8" s="1573">
        <f>1007983-527</f>
        <v>1007456</v>
      </c>
      <c r="F8" s="1573">
        <f>60063-5178</f>
        <v>54885</v>
      </c>
      <c r="G8" s="1573">
        <v>3343</v>
      </c>
      <c r="H8" s="1573">
        <f>1374198+24114-1</f>
        <v>1398311</v>
      </c>
      <c r="I8" s="1574"/>
      <c r="J8" s="1574"/>
      <c r="K8" s="1672">
        <f t="shared" si="0"/>
        <v>10567260</v>
      </c>
      <c r="L8" s="1573">
        <f>10464568+39000</f>
        <v>10503568</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1558885</v>
      </c>
      <c r="D10" s="1573">
        <v>172990</v>
      </c>
      <c r="E10" s="1573">
        <v>11095</v>
      </c>
      <c r="F10" s="1573">
        <v>126094</v>
      </c>
      <c r="G10" s="1573"/>
      <c r="H10" s="1573"/>
      <c r="I10" s="1574"/>
      <c r="J10" s="1574"/>
      <c r="K10" s="1672">
        <f t="shared" si="0"/>
        <v>1869064</v>
      </c>
      <c r="L10" s="1573">
        <v>2255866</v>
      </c>
    </row>
    <row r="11" spans="1:14" x14ac:dyDescent="0.2">
      <c r="A11" s="1274" t="s">
        <v>1122</v>
      </c>
      <c r="B11" s="503" t="s">
        <v>160</v>
      </c>
      <c r="C11" s="1574"/>
      <c r="D11" s="1574"/>
      <c r="E11" s="1574"/>
      <c r="F11" s="1574"/>
      <c r="G11" s="1574"/>
      <c r="H11" s="1574"/>
      <c r="I11" s="1574"/>
      <c r="J11" s="1574"/>
      <c r="K11" s="1672">
        <f t="shared" si="0"/>
        <v>0</v>
      </c>
      <c r="L11" s="1573"/>
    </row>
    <row r="12" spans="1:14" x14ac:dyDescent="0.2">
      <c r="A12" s="1274" t="s">
        <v>956</v>
      </c>
      <c r="B12" s="503">
        <v>1300</v>
      </c>
      <c r="C12" s="1573">
        <f>260331+194908</f>
        <v>455239</v>
      </c>
      <c r="D12" s="1573">
        <f>78144+23861</f>
        <v>102005</v>
      </c>
      <c r="E12" s="1573">
        <v>5238</v>
      </c>
      <c r="F12" s="1573">
        <v>25844</v>
      </c>
      <c r="G12" s="1573"/>
      <c r="H12" s="1573"/>
      <c r="I12" s="1574"/>
      <c r="J12" s="1574"/>
      <c r="K12" s="1672">
        <f t="shared" si="0"/>
        <v>588326</v>
      </c>
      <c r="L12" s="1573">
        <f>218544+373271</f>
        <v>591815</v>
      </c>
    </row>
    <row r="13" spans="1:14" x14ac:dyDescent="0.2">
      <c r="A13" s="1274" t="s">
        <v>718</v>
      </c>
      <c r="B13" s="503">
        <v>1400</v>
      </c>
      <c r="C13" s="1573">
        <v>94684</v>
      </c>
      <c r="D13" s="1573">
        <v>21356</v>
      </c>
      <c r="E13" s="1573">
        <f>262+5267-744</f>
        <v>4785</v>
      </c>
      <c r="F13" s="1573">
        <f>7892+73-168</f>
        <v>7797</v>
      </c>
      <c r="G13" s="1573">
        <v>6148</v>
      </c>
      <c r="H13" s="1573"/>
      <c r="I13" s="1574"/>
      <c r="J13" s="1574"/>
      <c r="K13" s="1672">
        <f t="shared" si="0"/>
        <v>134770</v>
      </c>
      <c r="L13" s="1573">
        <f>46805+6000+147665</f>
        <v>200470</v>
      </c>
    </row>
    <row r="14" spans="1:14" x14ac:dyDescent="0.2">
      <c r="A14" s="1274" t="s">
        <v>957</v>
      </c>
      <c r="B14" s="503">
        <v>1500</v>
      </c>
      <c r="C14" s="1573">
        <f>790342-1</f>
        <v>790341</v>
      </c>
      <c r="D14" s="1573">
        <v>70585</v>
      </c>
      <c r="E14" s="1573">
        <v>50358</v>
      </c>
      <c r="F14" s="1573">
        <v>36370</v>
      </c>
      <c r="G14" s="1573">
        <f>21064-375</f>
        <v>20689</v>
      </c>
      <c r="H14" s="1573">
        <v>3890</v>
      </c>
      <c r="I14" s="1574"/>
      <c r="J14" s="1574"/>
      <c r="K14" s="1672">
        <f t="shared" si="0"/>
        <v>972233</v>
      </c>
      <c r="L14" s="1573">
        <f>961597+26600</f>
        <v>988197</v>
      </c>
    </row>
    <row r="15" spans="1:14" x14ac:dyDescent="0.2">
      <c r="A15" s="1274" t="s">
        <v>958</v>
      </c>
      <c r="B15" s="503">
        <v>1600</v>
      </c>
      <c r="C15" s="1573">
        <f>18966-1</f>
        <v>18965</v>
      </c>
      <c r="D15" s="1573">
        <v>488</v>
      </c>
      <c r="E15" s="1573"/>
      <c r="F15" s="1573"/>
      <c r="G15" s="1573"/>
      <c r="H15" s="1573"/>
      <c r="I15" s="1574"/>
      <c r="J15" s="1574"/>
      <c r="K15" s="1672">
        <f t="shared" si="0"/>
        <v>19453</v>
      </c>
      <c r="L15" s="1573">
        <v>40068</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47042</v>
      </c>
      <c r="D17" s="1574">
        <v>3247</v>
      </c>
      <c r="E17" s="1574"/>
      <c r="F17" s="1574">
        <v>2923</v>
      </c>
      <c r="G17" s="1574"/>
      <c r="H17" s="1574"/>
      <c r="I17" s="1574"/>
      <c r="J17" s="1574"/>
      <c r="K17" s="1672">
        <f t="shared" si="0"/>
        <v>53212</v>
      </c>
      <c r="L17" s="1573">
        <v>132360</v>
      </c>
    </row>
    <row r="18" spans="1:12" x14ac:dyDescent="0.2">
      <c r="A18" s="1274" t="s">
        <v>1080</v>
      </c>
      <c r="B18" s="503">
        <v>1800</v>
      </c>
      <c r="C18" s="1573">
        <f>1904492-1</f>
        <v>1904491</v>
      </c>
      <c r="D18" s="1573">
        <v>316338</v>
      </c>
      <c r="E18" s="1573">
        <v>11468</v>
      </c>
      <c r="F18" s="1573">
        <v>30087</v>
      </c>
      <c r="G18" s="1573"/>
      <c r="H18" s="1573"/>
      <c r="I18" s="1574"/>
      <c r="J18" s="1574"/>
      <c r="K18" s="1672">
        <f t="shared" si="0"/>
        <v>2262384</v>
      </c>
      <c r="L18" s="1573">
        <v>2186745</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1121</v>
      </c>
      <c r="B32" s="503" t="s">
        <v>732</v>
      </c>
      <c r="C32" s="1582"/>
      <c r="D32" s="1582"/>
      <c r="E32" s="1582"/>
      <c r="F32" s="1582"/>
      <c r="G32" s="1582"/>
      <c r="H32" s="1579"/>
      <c r="I32" s="1673"/>
      <c r="J32" s="1585"/>
      <c r="K32" s="1672">
        <f t="shared" si="0"/>
        <v>0</v>
      </c>
      <c r="L32" s="1577"/>
    </row>
    <row r="33" spans="1:14" ht="12.75" customHeight="1" thickBot="1" x14ac:dyDescent="0.25">
      <c r="A33" s="1380" t="s">
        <v>1652</v>
      </c>
      <c r="B33" s="1381" t="s">
        <v>566</v>
      </c>
      <c r="C33" s="1674">
        <f>SUM(C5:C32)</f>
        <v>27300991</v>
      </c>
      <c r="D33" s="1674">
        <f t="shared" ref="D33:L33" si="1">SUM(D5:D32)</f>
        <v>4157858</v>
      </c>
      <c r="E33" s="1674">
        <f t="shared" si="1"/>
        <v>1379492</v>
      </c>
      <c r="F33" s="1674">
        <f t="shared" si="1"/>
        <v>794785</v>
      </c>
      <c r="G33" s="1674">
        <f t="shared" si="1"/>
        <v>82922</v>
      </c>
      <c r="H33" s="1674">
        <f t="shared" si="1"/>
        <v>1402201</v>
      </c>
      <c r="I33" s="1674">
        <f t="shared" si="1"/>
        <v>0</v>
      </c>
      <c r="J33" s="1674">
        <f t="shared" si="1"/>
        <v>0</v>
      </c>
      <c r="K33" s="1674">
        <f t="shared" si="1"/>
        <v>35118249</v>
      </c>
      <c r="L33" s="1674">
        <f t="shared" si="1"/>
        <v>35844738</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1082</v>
      </c>
      <c r="B36" s="503">
        <v>2110</v>
      </c>
      <c r="C36" s="1586">
        <f>97885+1506822+1</f>
        <v>1604708</v>
      </c>
      <c r="D36" s="1586">
        <f>43103+186468</f>
        <v>229571</v>
      </c>
      <c r="E36" s="1586">
        <v>22998</v>
      </c>
      <c r="F36" s="1586">
        <v>1531</v>
      </c>
      <c r="G36" s="1586"/>
      <c r="H36" s="1586"/>
      <c r="I36" s="1574"/>
      <c r="J36" s="1574"/>
      <c r="K36" s="1672">
        <f t="shared" ref="K36:K41" si="2">SUM(C36:J36)</f>
        <v>1858808</v>
      </c>
      <c r="L36" s="1573">
        <f>1808215+139664</f>
        <v>1947879</v>
      </c>
    </row>
    <row r="37" spans="1:14" x14ac:dyDescent="0.2">
      <c r="A37" s="1274" t="s">
        <v>1083</v>
      </c>
      <c r="B37" s="503">
        <v>2120</v>
      </c>
      <c r="C37" s="1573">
        <f>61977+563052</f>
        <v>625029</v>
      </c>
      <c r="D37" s="1573">
        <f>21289+97249</f>
        <v>118538</v>
      </c>
      <c r="E37" s="1573">
        <f>14472+906</f>
        <v>15378</v>
      </c>
      <c r="F37" s="1573">
        <v>3814</v>
      </c>
      <c r="G37" s="1573"/>
      <c r="H37" s="1573"/>
      <c r="I37" s="1574"/>
      <c r="J37" s="1574"/>
      <c r="K37" s="1672">
        <f t="shared" si="2"/>
        <v>762759</v>
      </c>
      <c r="L37" s="1573">
        <f>537256+109228</f>
        <v>646484</v>
      </c>
    </row>
    <row r="38" spans="1:14" x14ac:dyDescent="0.2">
      <c r="A38" s="1274" t="s">
        <v>196</v>
      </c>
      <c r="B38" s="503">
        <v>2130</v>
      </c>
      <c r="C38" s="1573">
        <v>833163</v>
      </c>
      <c r="D38" s="1573">
        <v>131439</v>
      </c>
      <c r="E38" s="1573">
        <v>27234</v>
      </c>
      <c r="F38" s="1573">
        <v>5098</v>
      </c>
      <c r="G38" s="1573"/>
      <c r="H38" s="1573"/>
      <c r="I38" s="1574"/>
      <c r="J38" s="1574"/>
      <c r="K38" s="1672">
        <f t="shared" si="2"/>
        <v>996934</v>
      </c>
      <c r="L38" s="1573">
        <v>962330</v>
      </c>
    </row>
    <row r="39" spans="1:14" x14ac:dyDescent="0.2">
      <c r="A39" s="1274" t="s">
        <v>197</v>
      </c>
      <c r="B39" s="503">
        <v>2140</v>
      </c>
      <c r="C39" s="1573">
        <v>490737</v>
      </c>
      <c r="D39" s="1573">
        <v>61150</v>
      </c>
      <c r="E39" s="1573">
        <v>3240</v>
      </c>
      <c r="F39" s="1573">
        <v>9298</v>
      </c>
      <c r="G39" s="1573"/>
      <c r="H39" s="1573"/>
      <c r="I39" s="1574"/>
      <c r="J39" s="1574"/>
      <c r="K39" s="1672">
        <f t="shared" si="2"/>
        <v>564425</v>
      </c>
      <c r="L39" s="1573">
        <v>548584</v>
      </c>
    </row>
    <row r="40" spans="1:14" x14ac:dyDescent="0.2">
      <c r="A40" s="1274" t="s">
        <v>198</v>
      </c>
      <c r="B40" s="503">
        <v>2150</v>
      </c>
      <c r="C40" s="1573">
        <f>870622-1</f>
        <v>870621</v>
      </c>
      <c r="D40" s="1573">
        <v>108582</v>
      </c>
      <c r="E40" s="1573">
        <f>74679-450</f>
        <v>74229</v>
      </c>
      <c r="F40" s="1573">
        <v>2689</v>
      </c>
      <c r="G40" s="1573"/>
      <c r="H40" s="1573"/>
      <c r="I40" s="1574"/>
      <c r="J40" s="1574"/>
      <c r="K40" s="1672">
        <f t="shared" si="2"/>
        <v>1056121</v>
      </c>
      <c r="L40" s="1573">
        <v>1075133</v>
      </c>
    </row>
    <row r="41" spans="1:14" x14ac:dyDescent="0.2">
      <c r="A41" s="1274" t="s">
        <v>1653</v>
      </c>
      <c r="B41" s="503">
        <v>2190</v>
      </c>
      <c r="C41" s="1573"/>
      <c r="D41" s="1573"/>
      <c r="E41" s="1573">
        <v>211370</v>
      </c>
      <c r="F41" s="1573">
        <v>10393</v>
      </c>
      <c r="G41" s="1573"/>
      <c r="H41" s="1573"/>
      <c r="I41" s="1574"/>
      <c r="J41" s="1574"/>
      <c r="K41" s="1672">
        <f t="shared" si="2"/>
        <v>221763</v>
      </c>
      <c r="L41" s="1573">
        <v>289700</v>
      </c>
    </row>
    <row r="42" spans="1:14" ht="12.75" customHeight="1" thickBot="1" x14ac:dyDescent="0.25">
      <c r="A42" s="1380" t="s">
        <v>556</v>
      </c>
      <c r="B42" s="1381" t="s">
        <v>711</v>
      </c>
      <c r="C42" s="1674">
        <f>SUM(C36:C41)</f>
        <v>4424258</v>
      </c>
      <c r="D42" s="1674">
        <f t="shared" ref="D42:L42" si="3">SUM(D36:D41)</f>
        <v>649280</v>
      </c>
      <c r="E42" s="1674">
        <f t="shared" si="3"/>
        <v>354449</v>
      </c>
      <c r="F42" s="1674">
        <f t="shared" si="3"/>
        <v>32823</v>
      </c>
      <c r="G42" s="1674">
        <f t="shared" si="3"/>
        <v>0</v>
      </c>
      <c r="H42" s="1674">
        <f t="shared" si="3"/>
        <v>0</v>
      </c>
      <c r="I42" s="1674">
        <f t="shared" si="3"/>
        <v>0</v>
      </c>
      <c r="J42" s="1674">
        <f t="shared" si="3"/>
        <v>0</v>
      </c>
      <c r="K42" s="1674">
        <f t="shared" si="3"/>
        <v>5460810</v>
      </c>
      <c r="L42" s="1674">
        <f t="shared" si="3"/>
        <v>5470110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f>3800+858612</f>
        <v>862412</v>
      </c>
      <c r="D44" s="1586">
        <f>607+79249</f>
        <v>79856</v>
      </c>
      <c r="E44" s="1586">
        <f>4878+274416+1410</f>
        <v>280704</v>
      </c>
      <c r="F44" s="1586">
        <v>23509</v>
      </c>
      <c r="G44" s="1586">
        <f>22625-2017</f>
        <v>20608</v>
      </c>
      <c r="H44" s="1586"/>
      <c r="I44" s="1574"/>
      <c r="J44" s="1574"/>
      <c r="K44" s="1678">
        <f>SUM(C44:J44)</f>
        <v>1267089</v>
      </c>
      <c r="L44" s="1586">
        <f>1578502+24500+3937</f>
        <v>1606939</v>
      </c>
    </row>
    <row r="45" spans="1:14" x14ac:dyDescent="0.2">
      <c r="A45" s="1274" t="s">
        <v>810</v>
      </c>
      <c r="B45" s="503">
        <v>2220</v>
      </c>
      <c r="C45" s="1573">
        <v>945663</v>
      </c>
      <c r="D45" s="1573">
        <v>111514</v>
      </c>
      <c r="E45" s="1573">
        <v>25766</v>
      </c>
      <c r="F45" s="1573">
        <v>36259</v>
      </c>
      <c r="G45" s="1573"/>
      <c r="H45" s="1573"/>
      <c r="I45" s="1574"/>
      <c r="J45" s="1574"/>
      <c r="K45" s="1678">
        <f>SUM(C45:J45)</f>
        <v>1119202</v>
      </c>
      <c r="L45" s="1573">
        <v>1220322</v>
      </c>
    </row>
    <row r="46" spans="1:14" x14ac:dyDescent="0.2">
      <c r="A46" s="1274" t="s">
        <v>811</v>
      </c>
      <c r="B46" s="503">
        <v>2230</v>
      </c>
      <c r="C46" s="1573">
        <v>51983</v>
      </c>
      <c r="D46" s="1573">
        <v>12039</v>
      </c>
      <c r="E46" s="1573">
        <f>1699+83943</f>
        <v>85642</v>
      </c>
      <c r="F46" s="1573">
        <v>153</v>
      </c>
      <c r="G46" s="1573"/>
      <c r="H46" s="1573"/>
      <c r="I46" s="1574"/>
      <c r="J46" s="1574"/>
      <c r="K46" s="1678">
        <f>SUM(C46:J46)</f>
        <v>149817</v>
      </c>
      <c r="L46" s="1573">
        <f>104750+53260</f>
        <v>158010</v>
      </c>
    </row>
    <row r="47" spans="1:14" ht="12.75" customHeight="1" thickBot="1" x14ac:dyDescent="0.25">
      <c r="A47" s="1380" t="s">
        <v>557</v>
      </c>
      <c r="B47" s="1381" t="s">
        <v>32</v>
      </c>
      <c r="C47" s="1674">
        <f>SUM(C44:C46)</f>
        <v>1860058</v>
      </c>
      <c r="D47" s="1674">
        <f t="shared" ref="D47:K47" si="4">SUM(D44:D46)</f>
        <v>203409</v>
      </c>
      <c r="E47" s="1674">
        <f t="shared" si="4"/>
        <v>392112</v>
      </c>
      <c r="F47" s="1674">
        <f t="shared" si="4"/>
        <v>59921</v>
      </c>
      <c r="G47" s="1674">
        <f t="shared" si="4"/>
        <v>20608</v>
      </c>
      <c r="H47" s="1674">
        <f t="shared" si="4"/>
        <v>0</v>
      </c>
      <c r="I47" s="1674">
        <f t="shared" si="4"/>
        <v>0</v>
      </c>
      <c r="J47" s="1674">
        <f t="shared" si="4"/>
        <v>0</v>
      </c>
      <c r="K47" s="1674">
        <f t="shared" si="4"/>
        <v>2536108</v>
      </c>
      <c r="L47" s="1674">
        <f>SUM(L44:L46)</f>
        <v>2985271</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f>5232+51774</f>
        <v>57006</v>
      </c>
      <c r="D49" s="1586">
        <v>17547</v>
      </c>
      <c r="E49" s="1586">
        <f>72090+585</f>
        <v>72675</v>
      </c>
      <c r="F49" s="1586">
        <f>5332+4657</f>
        <v>9989</v>
      </c>
      <c r="G49" s="1586"/>
      <c r="H49" s="1586">
        <f>76261+1482</f>
        <v>77743</v>
      </c>
      <c r="I49" s="1574"/>
      <c r="J49" s="1574"/>
      <c r="K49" s="1678">
        <f>SUM(C49:J49)</f>
        <v>234960</v>
      </c>
      <c r="L49" s="1586">
        <v>296943</v>
      </c>
    </row>
    <row r="50" spans="1:14" x14ac:dyDescent="0.2">
      <c r="A50" s="1274" t="s">
        <v>813</v>
      </c>
      <c r="B50" s="503">
        <v>2320</v>
      </c>
      <c r="C50" s="1573">
        <f>58344-1+337369+20233</f>
        <v>415945</v>
      </c>
      <c r="D50" s="1573">
        <f>25737+16880</f>
        <v>42617</v>
      </c>
      <c r="E50" s="1573">
        <f>6976+3666</f>
        <v>10642</v>
      </c>
      <c r="F50" s="1573">
        <f>1379+4311-2671</f>
        <v>3019</v>
      </c>
      <c r="G50" s="1573">
        <v>585</v>
      </c>
      <c r="H50" s="1573">
        <v>1230</v>
      </c>
      <c r="I50" s="1574"/>
      <c r="J50" s="1574"/>
      <c r="K50" s="1678">
        <f>SUM(C50:J50)</f>
        <v>474038</v>
      </c>
      <c r="L50" s="1573">
        <f>321203+500+106598</f>
        <v>428301</v>
      </c>
    </row>
    <row r="51" spans="1:14" x14ac:dyDescent="0.2">
      <c r="A51" s="1274" t="s">
        <v>42</v>
      </c>
      <c r="B51" s="503">
        <v>2330</v>
      </c>
      <c r="C51" s="1573">
        <v>740051</v>
      </c>
      <c r="D51" s="1573">
        <v>70469</v>
      </c>
      <c r="E51" s="1573">
        <f>1356+7097</f>
        <v>8453</v>
      </c>
      <c r="F51" s="1573">
        <v>7325</v>
      </c>
      <c r="G51" s="1573"/>
      <c r="H51" s="1573"/>
      <c r="I51" s="1574"/>
      <c r="J51" s="1574"/>
      <c r="K51" s="1678">
        <f>SUM(C51:J51)</f>
        <v>826298</v>
      </c>
      <c r="L51" s="1573">
        <f>843959+2000</f>
        <v>845959</v>
      </c>
    </row>
    <row r="52" spans="1:14" ht="22.5" x14ac:dyDescent="0.2">
      <c r="A52" s="1275" t="s">
        <v>295</v>
      </c>
      <c r="B52" s="511" t="s">
        <v>363</v>
      </c>
      <c r="C52" s="1579"/>
      <c r="D52" s="1579"/>
      <c r="E52" s="1579">
        <v>7136</v>
      </c>
      <c r="F52" s="1579"/>
      <c r="G52" s="1579"/>
      <c r="H52" s="1579"/>
      <c r="I52" s="1579"/>
      <c r="J52" s="1579"/>
      <c r="K52" s="1678">
        <f>SUM(C52:J52)</f>
        <v>7136</v>
      </c>
      <c r="L52" s="1579">
        <v>1300</v>
      </c>
    </row>
    <row r="53" spans="1:14" ht="12.75" customHeight="1" thickBot="1" x14ac:dyDescent="0.25">
      <c r="A53" s="1380" t="s">
        <v>712</v>
      </c>
      <c r="B53" s="1381" t="s">
        <v>33</v>
      </c>
      <c r="C53" s="1674">
        <f>SUM(C49:C52)</f>
        <v>1213002</v>
      </c>
      <c r="D53" s="1674">
        <f t="shared" ref="D53:L53" si="5">SUM(D49:D52)</f>
        <v>130633</v>
      </c>
      <c r="E53" s="1674">
        <f t="shared" si="5"/>
        <v>98906</v>
      </c>
      <c r="F53" s="1674">
        <f t="shared" si="5"/>
        <v>20333</v>
      </c>
      <c r="G53" s="1674">
        <f t="shared" si="5"/>
        <v>585</v>
      </c>
      <c r="H53" s="1674">
        <f t="shared" si="5"/>
        <v>78973</v>
      </c>
      <c r="I53" s="1674">
        <f t="shared" si="5"/>
        <v>0</v>
      </c>
      <c r="J53" s="1674">
        <f t="shared" si="5"/>
        <v>0</v>
      </c>
      <c r="K53" s="1674">
        <f t="shared" si="5"/>
        <v>1542432</v>
      </c>
      <c r="L53" s="1674">
        <f t="shared" si="5"/>
        <v>1572503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1060</v>
      </c>
      <c r="B55" s="503">
        <v>2410</v>
      </c>
      <c r="C55" s="1586">
        <f>2487268-260381+404110</f>
        <v>2630997</v>
      </c>
      <c r="D55" s="1586">
        <v>285448</v>
      </c>
      <c r="E55" s="1586">
        <v>49014</v>
      </c>
      <c r="F55" s="1586">
        <v>30789</v>
      </c>
      <c r="G55" s="1586"/>
      <c r="H55" s="1586"/>
      <c r="I55" s="1574"/>
      <c r="J55" s="1574"/>
      <c r="K55" s="1678">
        <f>SUM(C55:J55)</f>
        <v>2996248</v>
      </c>
      <c r="L55" s="1586">
        <v>2882732</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2630997</v>
      </c>
      <c r="D57" s="1679">
        <f t="shared" ref="D57:K57" si="6">SUM(D55:D56)</f>
        <v>285448</v>
      </c>
      <c r="E57" s="1679">
        <f t="shared" si="6"/>
        <v>49014</v>
      </c>
      <c r="F57" s="1679">
        <f t="shared" si="6"/>
        <v>30789</v>
      </c>
      <c r="G57" s="1679">
        <f t="shared" si="6"/>
        <v>0</v>
      </c>
      <c r="H57" s="1679">
        <f t="shared" si="6"/>
        <v>0</v>
      </c>
      <c r="I57" s="1679">
        <f t="shared" si="6"/>
        <v>0</v>
      </c>
      <c r="J57" s="1679">
        <f t="shared" si="6"/>
        <v>0</v>
      </c>
      <c r="K57" s="1679">
        <f t="shared" si="6"/>
        <v>2996248</v>
      </c>
      <c r="L57" s="1674">
        <f>SUM(L55:L56)</f>
        <v>2882732</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1061</v>
      </c>
      <c r="B59" s="503">
        <v>2510</v>
      </c>
      <c r="C59" s="1586">
        <v>183693</v>
      </c>
      <c r="D59" s="1586">
        <v>14617</v>
      </c>
      <c r="E59" s="1586">
        <v>726</v>
      </c>
      <c r="F59" s="1586">
        <v>1909</v>
      </c>
      <c r="G59" s="1586"/>
      <c r="H59" s="1586"/>
      <c r="I59" s="1574"/>
      <c r="J59" s="1574"/>
      <c r="K59" s="1678">
        <f t="shared" ref="K59:K64" si="7">SUM(C59:J59)</f>
        <v>200945</v>
      </c>
      <c r="L59" s="1586">
        <v>196150</v>
      </c>
      <c r="M59" s="501"/>
      <c r="N59" s="501"/>
    </row>
    <row r="60" spans="1:14" s="321" customFormat="1" x14ac:dyDescent="0.2">
      <c r="A60" s="1274" t="s">
        <v>460</v>
      </c>
      <c r="B60" s="503">
        <v>2520</v>
      </c>
      <c r="C60" s="1573">
        <f>286166+2</f>
        <v>286168</v>
      </c>
      <c r="D60" s="1573">
        <v>35890</v>
      </c>
      <c r="E60" s="1573">
        <f>4385-1831</f>
        <v>2554</v>
      </c>
      <c r="F60" s="1573">
        <v>61606</v>
      </c>
      <c r="G60" s="1573"/>
      <c r="H60" s="1573"/>
      <c r="I60" s="1574"/>
      <c r="J60" s="1574"/>
      <c r="K60" s="1678">
        <f t="shared" si="7"/>
        <v>386218</v>
      </c>
      <c r="L60" s="1573">
        <v>394780</v>
      </c>
      <c r="M60" s="501"/>
      <c r="N60" s="501"/>
    </row>
    <row r="61" spans="1:14" s="321" customFormat="1" x14ac:dyDescent="0.2">
      <c r="A61" s="1274" t="s">
        <v>195</v>
      </c>
      <c r="B61" s="503">
        <v>2540</v>
      </c>
      <c r="C61" s="1573">
        <f>6440+37992</f>
        <v>44432</v>
      </c>
      <c r="D61" s="1573">
        <f>493+5</f>
        <v>498</v>
      </c>
      <c r="E61" s="1573">
        <f>50309+185580+2757</f>
        <v>238646</v>
      </c>
      <c r="F61" s="1573">
        <f>423+1025628+48073</f>
        <v>1074124</v>
      </c>
      <c r="G61" s="1573"/>
      <c r="H61" s="1573"/>
      <c r="I61" s="1574"/>
      <c r="J61" s="1574"/>
      <c r="K61" s="1678">
        <f t="shared" si="7"/>
        <v>1357700</v>
      </c>
      <c r="L61" s="1573">
        <f>1499300+67525</f>
        <v>1566825</v>
      </c>
      <c r="M61" s="501"/>
      <c r="N61" s="501"/>
    </row>
    <row r="62" spans="1:14" s="321" customFormat="1" x14ac:dyDescent="0.2">
      <c r="A62" s="1274" t="s">
        <v>947</v>
      </c>
      <c r="B62" s="503">
        <v>2550</v>
      </c>
      <c r="C62" s="1573"/>
      <c r="D62" s="1573"/>
      <c r="E62" s="1573">
        <v>1000</v>
      </c>
      <c r="F62" s="1573"/>
      <c r="G62" s="1573"/>
      <c r="H62" s="1573"/>
      <c r="I62" s="1574"/>
      <c r="J62" s="1574"/>
      <c r="K62" s="1678">
        <f t="shared" si="7"/>
        <v>1000</v>
      </c>
      <c r="L62" s="1573">
        <v>2100</v>
      </c>
      <c r="M62" s="501"/>
      <c r="N62" s="501"/>
    </row>
    <row r="63" spans="1:14" s="501" customFormat="1" x14ac:dyDescent="0.2">
      <c r="A63" s="1274" t="s">
        <v>100</v>
      </c>
      <c r="B63" s="503">
        <v>2560</v>
      </c>
      <c r="C63" s="1573">
        <f>167881-959</f>
        <v>166922</v>
      </c>
      <c r="D63" s="1573"/>
      <c r="E63" s="1573">
        <f>35+1712133-15629</f>
        <v>1696539</v>
      </c>
      <c r="F63" s="1573">
        <f>2738+67000-2888-2</f>
        <v>66848</v>
      </c>
      <c r="G63" s="1573">
        <f>10100+2</f>
        <v>10102</v>
      </c>
      <c r="H63" s="1573"/>
      <c r="I63" s="1574"/>
      <c r="J63" s="1574"/>
      <c r="K63" s="1678">
        <f t="shared" si="7"/>
        <v>1940411</v>
      </c>
      <c r="L63" s="1573">
        <f>2218000+12400+1750</f>
        <v>2232150</v>
      </c>
    </row>
    <row r="64" spans="1:14" s="501" customFormat="1" x14ac:dyDescent="0.2">
      <c r="A64" s="1279" t="s">
        <v>101</v>
      </c>
      <c r="B64" s="513">
        <v>2570</v>
      </c>
      <c r="C64" s="1586">
        <v>209216</v>
      </c>
      <c r="D64" s="1586">
        <v>45729</v>
      </c>
      <c r="E64" s="1586">
        <v>1523</v>
      </c>
      <c r="F64" s="1586">
        <v>168830</v>
      </c>
      <c r="G64" s="1586"/>
      <c r="H64" s="1586"/>
      <c r="I64" s="1574"/>
      <c r="J64" s="1574"/>
      <c r="K64" s="1678">
        <f t="shared" si="7"/>
        <v>425298</v>
      </c>
      <c r="L64" s="1586">
        <f>434602+500</f>
        <v>435102</v>
      </c>
    </row>
    <row r="65" spans="1:14" s="321" customFormat="1" ht="12.75" customHeight="1" thickBot="1" x14ac:dyDescent="0.25">
      <c r="A65" s="1380" t="s">
        <v>714</v>
      </c>
      <c r="B65" s="1381" t="s">
        <v>35</v>
      </c>
      <c r="C65" s="1674">
        <f>SUM(C59:C64)</f>
        <v>890431</v>
      </c>
      <c r="D65" s="1674">
        <f t="shared" ref="D65:L65" si="8">SUM(D59:D64)</f>
        <v>96734</v>
      </c>
      <c r="E65" s="1674">
        <f t="shared" si="8"/>
        <v>1940988</v>
      </c>
      <c r="F65" s="1674">
        <f t="shared" si="8"/>
        <v>1373317</v>
      </c>
      <c r="G65" s="1674">
        <f t="shared" si="8"/>
        <v>10102</v>
      </c>
      <c r="H65" s="1674">
        <f t="shared" si="8"/>
        <v>0</v>
      </c>
      <c r="I65" s="1674">
        <f t="shared" si="8"/>
        <v>0</v>
      </c>
      <c r="J65" s="1674">
        <f t="shared" si="8"/>
        <v>0</v>
      </c>
      <c r="K65" s="1674">
        <f t="shared" si="8"/>
        <v>4311572</v>
      </c>
      <c r="L65" s="1674">
        <f t="shared" si="8"/>
        <v>4827107</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1053</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f>694059-1</f>
        <v>694058</v>
      </c>
      <c r="D68" s="1573">
        <f>75344-9839</f>
        <v>65505</v>
      </c>
      <c r="E68" s="1573"/>
      <c r="F68" s="1573">
        <v>1929</v>
      </c>
      <c r="G68" s="1573">
        <f>12306-7239</f>
        <v>5067</v>
      </c>
      <c r="H68" s="1573"/>
      <c r="I68" s="1574"/>
      <c r="J68" s="1574"/>
      <c r="K68" s="1678">
        <f>SUM(C68:J68)</f>
        <v>766559</v>
      </c>
      <c r="L68" s="1573">
        <f>742285+10000</f>
        <v>752285</v>
      </c>
      <c r="M68" s="501"/>
      <c r="N68" s="501"/>
    </row>
    <row r="69" spans="1:14" s="321" customFormat="1" x14ac:dyDescent="0.2">
      <c r="A69" s="1274" t="s">
        <v>1054</v>
      </c>
      <c r="B69" s="503">
        <v>2630</v>
      </c>
      <c r="C69" s="1573">
        <v>28064</v>
      </c>
      <c r="D69" s="1573">
        <v>5486</v>
      </c>
      <c r="E69" s="1573">
        <f>2493+300</f>
        <v>2793</v>
      </c>
      <c r="F69" s="1573"/>
      <c r="G69" s="1573"/>
      <c r="H69" s="1573"/>
      <c r="I69" s="1574"/>
      <c r="J69" s="1574"/>
      <c r="K69" s="1678">
        <f>SUM(C69:J69)</f>
        <v>36343</v>
      </c>
      <c r="L69" s="1573">
        <f>500+36539</f>
        <v>37039</v>
      </c>
      <c r="M69" s="501"/>
      <c r="N69" s="501"/>
    </row>
    <row r="70" spans="1:14" s="321" customFormat="1" x14ac:dyDescent="0.2">
      <c r="A70" s="1274" t="s">
        <v>400</v>
      </c>
      <c r="B70" s="503">
        <v>2640</v>
      </c>
      <c r="C70" s="1573">
        <v>575886</v>
      </c>
      <c r="D70" s="1573">
        <v>84652</v>
      </c>
      <c r="E70" s="1573">
        <f>52863+3500</f>
        <v>56363</v>
      </c>
      <c r="F70" s="1573">
        <v>12175</v>
      </c>
      <c r="G70" s="1573">
        <v>2099</v>
      </c>
      <c r="H70" s="1573"/>
      <c r="I70" s="1574"/>
      <c r="J70" s="1574"/>
      <c r="K70" s="1678">
        <f>SUM(C70:J70)</f>
        <v>731175</v>
      </c>
      <c r="L70" s="1573">
        <f>674758+2300</f>
        <v>677058</v>
      </c>
      <c r="M70" s="501"/>
      <c r="N70" s="501"/>
    </row>
    <row r="71" spans="1:14" s="321" customFormat="1" x14ac:dyDescent="0.2">
      <c r="A71" s="1274" t="s">
        <v>401</v>
      </c>
      <c r="B71" s="503">
        <v>2660</v>
      </c>
      <c r="C71" s="1573"/>
      <c r="D71" s="1573"/>
      <c r="E71" s="1573">
        <f>1135+22896-11246</f>
        <v>12785</v>
      </c>
      <c r="F71" s="1573">
        <v>2487</v>
      </c>
      <c r="G71" s="1573"/>
      <c r="H71" s="1573"/>
      <c r="I71" s="1574"/>
      <c r="J71" s="1574"/>
      <c r="K71" s="1678">
        <f>SUM(C71:J71)</f>
        <v>15272</v>
      </c>
      <c r="L71" s="1573">
        <f>42060+5233+1538</f>
        <v>48831</v>
      </c>
      <c r="M71" s="501"/>
      <c r="N71" s="501"/>
    </row>
    <row r="72" spans="1:14" s="321" customFormat="1" ht="12.75" customHeight="1" thickBot="1" x14ac:dyDescent="0.25">
      <c r="A72" s="1380" t="s">
        <v>37</v>
      </c>
      <c r="B72" s="1383" t="s">
        <v>36</v>
      </c>
      <c r="C72" s="1674">
        <f>SUM(C67:C71)</f>
        <v>1298008</v>
      </c>
      <c r="D72" s="1674">
        <f t="shared" ref="D72:K72" si="9">SUM(D67:D71)</f>
        <v>155643</v>
      </c>
      <c r="E72" s="1674">
        <f t="shared" si="9"/>
        <v>71941</v>
      </c>
      <c r="F72" s="1674">
        <f t="shared" si="9"/>
        <v>16591</v>
      </c>
      <c r="G72" s="1674">
        <f t="shared" si="9"/>
        <v>7166</v>
      </c>
      <c r="H72" s="1674">
        <f t="shared" si="9"/>
        <v>0</v>
      </c>
      <c r="I72" s="1674">
        <f t="shared" si="9"/>
        <v>0</v>
      </c>
      <c r="J72" s="1674">
        <f t="shared" si="9"/>
        <v>0</v>
      </c>
      <c r="K72" s="1674">
        <f t="shared" si="9"/>
        <v>1549349</v>
      </c>
      <c r="L72" s="1674">
        <f>SUM(L67:L71)</f>
        <v>1515213</v>
      </c>
      <c r="M72" s="501"/>
      <c r="N72" s="501"/>
    </row>
    <row r="73" spans="1:14" s="321" customFormat="1" ht="14.25" thickTop="1" thickBot="1" x14ac:dyDescent="0.25">
      <c r="A73" s="1280" t="s">
        <v>973</v>
      </c>
      <c r="B73" s="515" t="s">
        <v>570</v>
      </c>
      <c r="C73" s="1649">
        <v>155789</v>
      </c>
      <c r="D73" s="1649">
        <v>26232</v>
      </c>
      <c r="E73" s="1649">
        <v>2073</v>
      </c>
      <c r="F73" s="1649">
        <f>1437+12398</f>
        <v>13835</v>
      </c>
      <c r="G73" s="1649"/>
      <c r="H73" s="1649"/>
      <c r="I73" s="1627"/>
      <c r="J73" s="1627"/>
      <c r="K73" s="1674">
        <f>SUM(C73:J73)</f>
        <v>197929</v>
      </c>
      <c r="L73" s="1651">
        <f>634751+580</f>
        <v>635331</v>
      </c>
      <c r="M73" s="501"/>
      <c r="N73" s="501"/>
    </row>
    <row r="74" spans="1:14" ht="12.75" customHeight="1" thickTop="1" thickBot="1" x14ac:dyDescent="0.25">
      <c r="A74" s="1380" t="s">
        <v>806</v>
      </c>
      <c r="B74" s="1384">
        <v>2000</v>
      </c>
      <c r="C74" s="1681">
        <f>SUM(C42,C47,C53,C57,C65,C72,C73)</f>
        <v>12472543</v>
      </c>
      <c r="D74" s="1681">
        <f t="shared" ref="D74:K74" si="10">SUM(D42,D47,D53,D57,D65,D72,D73)</f>
        <v>1547379</v>
      </c>
      <c r="E74" s="1681">
        <f t="shared" si="10"/>
        <v>2909483</v>
      </c>
      <c r="F74" s="1681">
        <f t="shared" si="10"/>
        <v>1547609</v>
      </c>
      <c r="G74" s="1681">
        <f t="shared" si="10"/>
        <v>38461</v>
      </c>
      <c r="H74" s="1681">
        <f t="shared" si="10"/>
        <v>78973</v>
      </c>
      <c r="I74" s="1681">
        <f t="shared" si="10"/>
        <v>0</v>
      </c>
      <c r="J74" s="1681">
        <f t="shared" si="10"/>
        <v>0</v>
      </c>
      <c r="K74" s="1681">
        <f t="shared" si="10"/>
        <v>18594448</v>
      </c>
      <c r="L74" s="1681">
        <f>SUM(L42,L47,L53,L57,L65,L72,L73)</f>
        <v>19888267</v>
      </c>
    </row>
    <row r="75" spans="1:14" s="254" customFormat="1" ht="15.75" customHeight="1" thickTop="1" thickBot="1" x14ac:dyDescent="0.25">
      <c r="A75" s="1348" t="s">
        <v>47</v>
      </c>
      <c r="B75" s="1349" t="s">
        <v>571</v>
      </c>
      <c r="C75" s="1649">
        <v>1120024</v>
      </c>
      <c r="D75" s="1649">
        <v>322020</v>
      </c>
      <c r="E75" s="1649">
        <f>88252-296</f>
        <v>87956</v>
      </c>
      <c r="F75" s="1649">
        <f>60550-2564</f>
        <v>57986</v>
      </c>
      <c r="G75" s="1649">
        <v>2205</v>
      </c>
      <c r="H75" s="1649"/>
      <c r="I75" s="1627"/>
      <c r="J75" s="1627"/>
      <c r="K75" s="1674">
        <f>SUM(C75:J75)</f>
        <v>1590191</v>
      </c>
      <c r="L75" s="1651">
        <f>1784041+7000</f>
        <v>1791041</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46578</v>
      </c>
      <c r="F78" s="1673"/>
      <c r="G78" s="1673"/>
      <c r="H78" s="1682">
        <v>92290</v>
      </c>
      <c r="I78" s="1582"/>
      <c r="J78" s="1582"/>
      <c r="K78" s="1672">
        <f t="shared" ref="K78:K83" si="11">SUM(C78:J78)</f>
        <v>138868</v>
      </c>
      <c r="L78" s="1586">
        <v>67450</v>
      </c>
    </row>
    <row r="79" spans="1:14" x14ac:dyDescent="0.2">
      <c r="A79" s="1274" t="s">
        <v>301</v>
      </c>
      <c r="B79" s="503">
        <v>4120</v>
      </c>
      <c r="C79" s="1673"/>
      <c r="D79" s="1673"/>
      <c r="E79" s="1573"/>
      <c r="F79" s="1673"/>
      <c r="G79" s="1673"/>
      <c r="H79" s="1573">
        <f>254998+23</f>
        <v>255021</v>
      </c>
      <c r="I79" s="1582"/>
      <c r="J79" s="1582"/>
      <c r="K79" s="1672">
        <f t="shared" si="11"/>
        <v>255021</v>
      </c>
      <c r="L79" s="1573">
        <v>290000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4235</v>
      </c>
      <c r="I81" s="1582"/>
      <c r="J81" s="1582"/>
      <c r="K81" s="1672">
        <f t="shared" si="11"/>
        <v>4235</v>
      </c>
      <c r="L81" s="1573">
        <v>4000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v>229916</v>
      </c>
      <c r="I83" s="1582"/>
      <c r="J83" s="1582"/>
      <c r="K83" s="1672">
        <f t="shared" si="11"/>
        <v>229916</v>
      </c>
      <c r="L83" s="1573">
        <f>238168+40000</f>
        <v>278168</v>
      </c>
    </row>
    <row r="84" spans="1:12" ht="13.5" thickBot="1" x14ac:dyDescent="0.25">
      <c r="A84" s="1380" t="s">
        <v>1471</v>
      </c>
      <c r="B84" s="1385">
        <v>4100</v>
      </c>
      <c r="C84" s="1673"/>
      <c r="D84" s="1673"/>
      <c r="E84" s="1674">
        <f>SUM(E78:E83)</f>
        <v>46578</v>
      </c>
      <c r="F84" s="1673"/>
      <c r="G84" s="1673"/>
      <c r="H84" s="1674">
        <f>SUM(H78:H83)</f>
        <v>581462</v>
      </c>
      <c r="I84" s="1582"/>
      <c r="J84" s="1582"/>
      <c r="K84" s="1674">
        <f>SUM(K78:K83)</f>
        <v>628040</v>
      </c>
      <c r="L84" s="1674">
        <f>SUM(L78:L83)</f>
        <v>639618</v>
      </c>
    </row>
    <row r="85" spans="1:12" ht="12.75" customHeight="1" thickTop="1" thickBot="1" x14ac:dyDescent="0.25">
      <c r="A85" s="1281" t="s">
        <v>253</v>
      </c>
      <c r="B85" s="517">
        <v>4210</v>
      </c>
      <c r="C85" s="1673"/>
      <c r="D85" s="1673"/>
      <c r="E85" s="1683"/>
      <c r="F85" s="1673"/>
      <c r="G85" s="1673"/>
      <c r="H85" s="1630">
        <v>147892</v>
      </c>
      <c r="I85" s="1582"/>
      <c r="J85" s="1582"/>
      <c r="K85" s="1681">
        <f>H85</f>
        <v>147892</v>
      </c>
      <c r="L85" s="1626">
        <v>150000</v>
      </c>
    </row>
    <row r="86" spans="1:12" ht="12.75" customHeight="1" thickTop="1" thickBot="1" x14ac:dyDescent="0.25">
      <c r="A86" s="1282" t="s">
        <v>694</v>
      </c>
      <c r="B86" s="518">
        <v>4220</v>
      </c>
      <c r="C86" s="1673"/>
      <c r="D86" s="1673"/>
      <c r="E86" s="1684"/>
      <c r="F86" s="1673"/>
      <c r="G86" s="1673"/>
      <c r="H86" s="1574">
        <v>70462</v>
      </c>
      <c r="I86" s="1582"/>
      <c r="J86" s="1582"/>
      <c r="K86" s="1681">
        <f t="shared" ref="K86:K98" si="12">H86</f>
        <v>70462</v>
      </c>
      <c r="L86" s="1626">
        <v>72000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1546</v>
      </c>
      <c r="B92" s="1385">
        <v>4200</v>
      </c>
      <c r="C92" s="1673"/>
      <c r="D92" s="1673"/>
      <c r="E92" s="1684"/>
      <c r="F92" s="1673"/>
      <c r="G92" s="1673"/>
      <c r="H92" s="1674">
        <f>SUM(H85:H91)</f>
        <v>218354</v>
      </c>
      <c r="I92" s="1582"/>
      <c r="J92" s="1582"/>
      <c r="K92" s="1681">
        <f t="shared" si="12"/>
        <v>218354</v>
      </c>
      <c r="L92" s="1674">
        <f>SUM(L85:L91)</f>
        <v>222000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1474</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v>11896</v>
      </c>
      <c r="I97" s="1582"/>
      <c r="J97" s="1582"/>
      <c r="K97" s="1681">
        <f t="shared" si="12"/>
        <v>11896</v>
      </c>
      <c r="L97" s="1626">
        <v>20000</v>
      </c>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1472</v>
      </c>
      <c r="B100" s="1387">
        <v>4300</v>
      </c>
      <c r="C100" s="1673"/>
      <c r="D100" s="1673"/>
      <c r="E100" s="1681">
        <f>SUM(E93:E99)</f>
        <v>0</v>
      </c>
      <c r="F100" s="1673"/>
      <c r="G100" s="1673"/>
      <c r="H100" s="1681">
        <f>SUM(H93:H99)</f>
        <v>11896</v>
      </c>
      <c r="I100" s="1582"/>
      <c r="J100" s="1582"/>
      <c r="K100" s="1681">
        <f>SUM(K93:K99)</f>
        <v>11896</v>
      </c>
      <c r="L100" s="1681">
        <f>SUM(L93:L99)</f>
        <v>20000</v>
      </c>
    </row>
    <row r="101" spans="1:14" ht="12.75" customHeight="1" thickTop="1" thickBot="1" x14ac:dyDescent="0.25">
      <c r="A101" s="1280" t="s">
        <v>1475</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1473</v>
      </c>
      <c r="B102" s="1385">
        <v>4000</v>
      </c>
      <c r="C102" s="1673"/>
      <c r="D102" s="1673"/>
      <c r="E102" s="1681">
        <f>SUM(E84,E92,E100,E101)</f>
        <v>46578</v>
      </c>
      <c r="F102" s="1673"/>
      <c r="G102" s="1673"/>
      <c r="H102" s="1681">
        <f>SUM(H84,H92,H100,H101)</f>
        <v>811712</v>
      </c>
      <c r="I102" s="1582"/>
      <c r="J102" s="1582"/>
      <c r="K102" s="1681">
        <f>SUM(K84,K92,K100,K101)</f>
        <v>858290</v>
      </c>
      <c r="L102" s="1681">
        <f>SUM(L84,L92,L100,L101)</f>
        <v>881618</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1162</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1095</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40893558</v>
      </c>
      <c r="D114" s="1674">
        <f t="shared" ref="D114:K114" si="13">SUM(D33,D74,D75,D102,D112,D113)</f>
        <v>6027257</v>
      </c>
      <c r="E114" s="1674">
        <f t="shared" si="13"/>
        <v>4423509</v>
      </c>
      <c r="F114" s="1674">
        <f t="shared" si="13"/>
        <v>2400380</v>
      </c>
      <c r="G114" s="1674">
        <f t="shared" si="13"/>
        <v>123588</v>
      </c>
      <c r="H114" s="1674">
        <f>SUM(H33,H74,H75,H102,H112,H113)</f>
        <v>2292886</v>
      </c>
      <c r="I114" s="1674">
        <f t="shared" si="13"/>
        <v>0</v>
      </c>
      <c r="J114" s="1674">
        <f t="shared" si="13"/>
        <v>0</v>
      </c>
      <c r="K114" s="1674">
        <f t="shared" si="13"/>
        <v>56161178</v>
      </c>
      <c r="L114" s="1674">
        <f>SUM(L33,L74,L75,L102,L112,L113)</f>
        <v>58405664</v>
      </c>
    </row>
    <row r="115" spans="1:14" ht="13.5" thickTop="1" x14ac:dyDescent="0.2">
      <c r="A115" s="2291" t="s">
        <v>989</v>
      </c>
      <c r="B115" s="2292"/>
      <c r="C115" s="1675"/>
      <c r="D115" s="1675"/>
      <c r="E115" s="1675"/>
      <c r="F115" s="1675"/>
      <c r="G115" s="1675"/>
      <c r="H115" s="1675"/>
      <c r="I115" s="1675"/>
      <c r="J115" s="1675"/>
      <c r="K115" s="1689">
        <f>'Revenues 9-14'!C268-'Expenditures 15-22'!K114</f>
        <v>-4319590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9" t="s">
        <v>293</v>
      </c>
      <c r="B117" s="2270"/>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1061</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v>22373</v>
      </c>
      <c r="F123" s="1573"/>
      <c r="G123" s="1573">
        <v>8581</v>
      </c>
      <c r="H123" s="1573"/>
      <c r="I123" s="1574"/>
      <c r="J123" s="1574"/>
      <c r="K123" s="1674">
        <f>SUM(C123:J123)</f>
        <v>30954</v>
      </c>
      <c r="L123" s="1573">
        <v>15400</v>
      </c>
    </row>
    <row r="124" spans="1:14" ht="14.25" thickTop="1" thickBot="1" x14ac:dyDescent="0.25">
      <c r="A124" s="1274" t="s">
        <v>195</v>
      </c>
      <c r="B124" s="503">
        <v>2540</v>
      </c>
      <c r="C124" s="1573">
        <v>1229615</v>
      </c>
      <c r="D124" s="1573">
        <v>165678</v>
      </c>
      <c r="E124" s="1573">
        <v>1688780</v>
      </c>
      <c r="F124" s="1573">
        <v>305116</v>
      </c>
      <c r="G124" s="1573">
        <f>150803+546</f>
        <v>151349</v>
      </c>
      <c r="H124" s="1573">
        <v>23973</v>
      </c>
      <c r="I124" s="1574"/>
      <c r="J124" s="1574"/>
      <c r="K124" s="1674">
        <f>SUM(C124:J124)</f>
        <v>3564511</v>
      </c>
      <c r="L124" s="1573">
        <v>3852150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v>15611</v>
      </c>
      <c r="H126" s="1694"/>
      <c r="I126" s="1579"/>
      <c r="J126" s="1673"/>
      <c r="K126" s="1674">
        <f>SUM(C126:J126)</f>
        <v>15611</v>
      </c>
      <c r="L126" s="1573">
        <v>25000</v>
      </c>
    </row>
    <row r="127" spans="1:14" ht="12.75" customHeight="1" thickTop="1" thickBot="1" x14ac:dyDescent="0.25">
      <c r="A127" s="1380" t="s">
        <v>714</v>
      </c>
      <c r="B127" s="1381" t="s">
        <v>35</v>
      </c>
      <c r="C127" s="1674">
        <f>SUM(C122:C126)</f>
        <v>1229615</v>
      </c>
      <c r="D127" s="1674">
        <f t="shared" ref="D127:L127" si="14">SUM(D122:D126)</f>
        <v>165678</v>
      </c>
      <c r="E127" s="1674">
        <f t="shared" si="14"/>
        <v>1711153</v>
      </c>
      <c r="F127" s="1674">
        <f t="shared" si="14"/>
        <v>305116</v>
      </c>
      <c r="G127" s="1674">
        <f t="shared" si="14"/>
        <v>175541</v>
      </c>
      <c r="H127" s="1674">
        <f t="shared" si="14"/>
        <v>23973</v>
      </c>
      <c r="I127" s="1674">
        <f t="shared" si="14"/>
        <v>0</v>
      </c>
      <c r="J127" s="1674">
        <f t="shared" si="14"/>
        <v>0</v>
      </c>
      <c r="K127" s="1674">
        <f t="shared" si="14"/>
        <v>3611076</v>
      </c>
      <c r="L127" s="1674">
        <f t="shared" si="14"/>
        <v>3892550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1229615</v>
      </c>
      <c r="D129" s="1681">
        <f t="shared" ref="D129:L129" si="15">SUM(D120,D127,D128)</f>
        <v>165678</v>
      </c>
      <c r="E129" s="1681">
        <f t="shared" si="15"/>
        <v>1711153</v>
      </c>
      <c r="F129" s="1681">
        <f t="shared" si="15"/>
        <v>305116</v>
      </c>
      <c r="G129" s="1681">
        <f t="shared" si="15"/>
        <v>175541</v>
      </c>
      <c r="H129" s="1681">
        <f t="shared" si="15"/>
        <v>23973</v>
      </c>
      <c r="I129" s="1681">
        <f t="shared" si="15"/>
        <v>0</v>
      </c>
      <c r="J129" s="1681">
        <f t="shared" si="15"/>
        <v>0</v>
      </c>
      <c r="K129" s="1681">
        <f t="shared" si="15"/>
        <v>3611076</v>
      </c>
      <c r="L129" s="1681">
        <f t="shared" si="15"/>
        <v>3892550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1473</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1162</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1096</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1" t="s">
        <v>616</v>
      </c>
      <c r="B151" s="2263"/>
      <c r="C151" s="1674">
        <f>SUM(C129,C130,C139,C149,C150)</f>
        <v>1229615</v>
      </c>
      <c r="D151" s="1674">
        <f t="shared" ref="D151:K151" si="16">SUM(D129,D130,D139,D149,D150)</f>
        <v>165678</v>
      </c>
      <c r="E151" s="1674">
        <f t="shared" si="16"/>
        <v>1711153</v>
      </c>
      <c r="F151" s="1674">
        <f t="shared" si="16"/>
        <v>305116</v>
      </c>
      <c r="G151" s="1674">
        <f t="shared" si="16"/>
        <v>175541</v>
      </c>
      <c r="H151" s="1674">
        <f t="shared" si="16"/>
        <v>23973</v>
      </c>
      <c r="I151" s="1674">
        <f t="shared" si="16"/>
        <v>0</v>
      </c>
      <c r="J151" s="1674">
        <f t="shared" si="16"/>
        <v>0</v>
      </c>
      <c r="K151" s="1674">
        <f t="shared" si="16"/>
        <v>3611076</v>
      </c>
      <c r="L151" s="1674">
        <f>SUM(L129,L130,L139,L149,L150)</f>
        <v>3892550</v>
      </c>
    </row>
    <row r="152" spans="1:14" ht="12.75" customHeight="1" thickTop="1" x14ac:dyDescent="0.2">
      <c r="A152" s="2284" t="s">
        <v>1170</v>
      </c>
      <c r="B152" s="2285"/>
      <c r="C152" s="1675"/>
      <c r="D152" s="1675"/>
      <c r="E152" s="1675"/>
      <c r="F152" s="1675"/>
      <c r="G152" s="1675"/>
      <c r="H152" s="1675"/>
      <c r="I152" s="1675"/>
      <c r="J152" s="1673"/>
      <c r="K152" s="1689">
        <f>'Revenues 9-14'!D268-'Expenditures 15-22'!K151</f>
        <v>240612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9" t="s">
        <v>617</v>
      </c>
      <c r="B154" s="2271"/>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1162</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v>2000</v>
      </c>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2000</v>
      </c>
    </row>
    <row r="169" spans="1:14" ht="15.75" customHeight="1" thickTop="1" x14ac:dyDescent="0.2">
      <c r="A169" s="543" t="s">
        <v>83</v>
      </c>
      <c r="B169" s="544" t="s">
        <v>38</v>
      </c>
      <c r="C169" s="1673"/>
      <c r="D169" s="1673"/>
      <c r="E169" s="1673"/>
      <c r="F169" s="1673"/>
      <c r="G169" s="1673"/>
      <c r="H169" s="1695">
        <f>1558534-560866-1</f>
        <v>997667</v>
      </c>
      <c r="I169" s="1673"/>
      <c r="J169" s="1673"/>
      <c r="K169" s="1672">
        <f>SUM(C169:H169)</f>
        <v>997667</v>
      </c>
      <c r="L169" s="1695">
        <v>1557593</v>
      </c>
    </row>
    <row r="170" spans="1:14" ht="33.75" customHeight="1" x14ac:dyDescent="0.2">
      <c r="A170" s="543" t="s">
        <v>1654</v>
      </c>
      <c r="B170" s="545" t="s">
        <v>31</v>
      </c>
      <c r="C170" s="1673"/>
      <c r="D170" s="1673"/>
      <c r="E170" s="1673"/>
      <c r="F170" s="1673"/>
      <c r="G170" s="1673"/>
      <c r="H170" s="1646">
        <v>3807000</v>
      </c>
      <c r="I170" s="1673"/>
      <c r="J170" s="1673"/>
      <c r="K170" s="1672">
        <f>SUM(C170:J170)</f>
        <v>3807000</v>
      </c>
      <c r="L170" s="1646">
        <v>3807000</v>
      </c>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4804667</v>
      </c>
      <c r="I172" s="1684"/>
      <c r="J172" s="1673"/>
      <c r="K172" s="1681">
        <f>SUM(K168,K169,K170,K171)</f>
        <v>4804667</v>
      </c>
      <c r="L172" s="1681">
        <f>SUM(L168,L169,L170,L171)</f>
        <v>5366593</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4804667</v>
      </c>
      <c r="I174" s="1684"/>
      <c r="J174" s="1673"/>
      <c r="K174" s="1681">
        <f>SUM(K160,K172,K173)</f>
        <v>4804667</v>
      </c>
      <c r="L174" s="1681">
        <f>SUM(L160,L172,L173)</f>
        <v>5366593</v>
      </c>
    </row>
    <row r="175" spans="1:14" ht="13.5" thickTop="1" x14ac:dyDescent="0.2">
      <c r="A175" s="2291" t="s">
        <v>989</v>
      </c>
      <c r="B175" s="2292"/>
      <c r="C175" s="1673"/>
      <c r="D175" s="1673"/>
      <c r="E175" s="1673"/>
      <c r="F175" s="1673"/>
      <c r="G175" s="1673"/>
      <c r="H175" s="1675"/>
      <c r="I175" s="1673"/>
      <c r="J175" s="1673"/>
      <c r="K175" s="1689">
        <f>'Revenues 9-14'!E268-'Expenditures 15-22'!K174</f>
        <v>-2433739</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6288</v>
      </c>
      <c r="D180" s="1573">
        <v>1723</v>
      </c>
      <c r="E180" s="1573">
        <v>2307382</v>
      </c>
      <c r="F180" s="1573"/>
      <c r="G180" s="1573"/>
      <c r="H180" s="1573"/>
      <c r="I180" s="1574"/>
      <c r="J180" s="1574"/>
      <c r="K180" s="1672">
        <f>SUM(C180:J180)</f>
        <v>2315393</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v>2409341</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6288</v>
      </c>
      <c r="D184" s="1681">
        <f t="shared" ref="D184:J184" si="17">SUM(D180,D182,D183)</f>
        <v>1723</v>
      </c>
      <c r="E184" s="1681">
        <f t="shared" si="17"/>
        <v>2307382</v>
      </c>
      <c r="F184" s="1681">
        <f t="shared" si="17"/>
        <v>0</v>
      </c>
      <c r="G184" s="1681">
        <f t="shared" si="17"/>
        <v>0</v>
      </c>
      <c r="H184" s="1681">
        <f t="shared" si="17"/>
        <v>0</v>
      </c>
      <c r="I184" s="1681">
        <f t="shared" si="17"/>
        <v>0</v>
      </c>
      <c r="J184" s="1681">
        <f t="shared" si="17"/>
        <v>0</v>
      </c>
      <c r="K184" s="1681">
        <f>SUM(K180,K182,K183)</f>
        <v>2315393</v>
      </c>
      <c r="L184" s="1681">
        <f>SUM(L180, L182:L183)</f>
        <v>2409341</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1123</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1132</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1473</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1162</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1655</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6288</v>
      </c>
      <c r="D210" s="1674">
        <f>SUM(D184,D185)</f>
        <v>1723</v>
      </c>
      <c r="E210" s="1674">
        <f>SUM(E184,E185,E196)</f>
        <v>2307382</v>
      </c>
      <c r="F210" s="1674">
        <f>SUM(F184,F185)</f>
        <v>0</v>
      </c>
      <c r="G210" s="1674">
        <f>SUM(G184,G185)</f>
        <v>0</v>
      </c>
      <c r="H210" s="1674">
        <f>SUM(H184,H185,H196,H208,H209)</f>
        <v>0</v>
      </c>
      <c r="I210" s="1674">
        <f>SUM(I184,I185)</f>
        <v>0</v>
      </c>
      <c r="J210" s="1674">
        <f>SUM(J184,J185)</f>
        <v>0</v>
      </c>
      <c r="K210" s="1672">
        <f>SUM(K184,K185,K196,K208,K209)</f>
        <v>2315393</v>
      </c>
      <c r="L210" s="1674">
        <f>SUM(L184,L185,L196,L208,L209)</f>
        <v>2409341</v>
      </c>
    </row>
    <row r="211" spans="1:14" ht="13.5" thickTop="1" x14ac:dyDescent="0.2">
      <c r="A211" s="2291" t="s">
        <v>989</v>
      </c>
      <c r="B211" s="2292"/>
      <c r="C211" s="1675"/>
      <c r="D211" s="1675"/>
      <c r="E211" s="1675"/>
      <c r="F211" s="1675"/>
      <c r="G211" s="1675"/>
      <c r="H211" s="1675"/>
      <c r="I211" s="1673"/>
      <c r="J211" s="1673"/>
      <c r="K211" s="1689">
        <f>'Revenues 9-14'!F268-'Expenditures 15-22'!K210</f>
        <v>171092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6" t="s">
        <v>959</v>
      </c>
      <c r="B213" s="2287"/>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234913</v>
      </c>
      <c r="E215" s="1673"/>
      <c r="F215" s="1673"/>
      <c r="G215" s="1673"/>
      <c r="H215" s="1673"/>
      <c r="I215" s="1673"/>
      <c r="J215" s="1673"/>
      <c r="K215" s="1672">
        <f>D215</f>
        <v>234913</v>
      </c>
      <c r="L215" s="1573">
        <v>227079</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247054</v>
      </c>
      <c r="E217" s="1673"/>
      <c r="F217" s="1673"/>
      <c r="G217" s="1673"/>
      <c r="H217" s="1673"/>
      <c r="I217" s="1673"/>
      <c r="J217" s="1673"/>
      <c r="K217" s="1672">
        <f t="shared" si="19"/>
        <v>247054</v>
      </c>
      <c r="L217" s="1573">
        <v>247074</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22303</v>
      </c>
      <c r="E219" s="1673"/>
      <c r="F219" s="1673"/>
      <c r="G219" s="1673"/>
      <c r="H219" s="1673"/>
      <c r="I219" s="1673"/>
      <c r="J219" s="1673"/>
      <c r="K219" s="1672">
        <f t="shared" si="19"/>
        <v>22303</v>
      </c>
      <c r="L219" s="1573">
        <v>19000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v>13073</v>
      </c>
      <c r="E221" s="1673"/>
      <c r="F221" s="1673"/>
      <c r="G221" s="1673"/>
      <c r="H221" s="1673"/>
      <c r="I221" s="1673"/>
      <c r="J221" s="1673"/>
      <c r="K221" s="1672">
        <f t="shared" si="19"/>
        <v>13073</v>
      </c>
      <c r="L221" s="1573"/>
    </row>
    <row r="222" spans="1:14" x14ac:dyDescent="0.2">
      <c r="A222" s="1274" t="s">
        <v>718</v>
      </c>
      <c r="B222" s="503">
        <v>1400</v>
      </c>
      <c r="C222" s="1673"/>
      <c r="D222" s="1573"/>
      <c r="E222" s="1673"/>
      <c r="F222" s="1673"/>
      <c r="G222" s="1673"/>
      <c r="H222" s="1673"/>
      <c r="I222" s="1673"/>
      <c r="J222" s="1673"/>
      <c r="K222" s="1672">
        <f t="shared" si="19"/>
        <v>0</v>
      </c>
      <c r="L222" s="1573">
        <v>300</v>
      </c>
    </row>
    <row r="223" spans="1:14" x14ac:dyDescent="0.2">
      <c r="A223" s="1274" t="s">
        <v>957</v>
      </c>
      <c r="B223" s="503">
        <v>1500</v>
      </c>
      <c r="C223" s="1673"/>
      <c r="D223" s="1573">
        <v>33039</v>
      </c>
      <c r="E223" s="1673"/>
      <c r="F223" s="1673"/>
      <c r="G223" s="1673"/>
      <c r="H223" s="1673"/>
      <c r="I223" s="1673"/>
      <c r="J223" s="1673"/>
      <c r="K223" s="1672">
        <f t="shared" si="19"/>
        <v>33039</v>
      </c>
      <c r="L223" s="1573">
        <v>30140</v>
      </c>
    </row>
    <row r="224" spans="1:14" x14ac:dyDescent="0.2">
      <c r="A224" s="1274" t="s">
        <v>958</v>
      </c>
      <c r="B224" s="503">
        <v>1600</v>
      </c>
      <c r="C224" s="1673"/>
      <c r="D224" s="1573">
        <v>355</v>
      </c>
      <c r="E224" s="1673"/>
      <c r="F224" s="1673"/>
      <c r="G224" s="1673"/>
      <c r="H224" s="1673"/>
      <c r="I224" s="1673"/>
      <c r="J224" s="1673"/>
      <c r="K224" s="1672">
        <f t="shared" si="19"/>
        <v>355</v>
      </c>
      <c r="L224" s="1573">
        <v>430</v>
      </c>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3107</v>
      </c>
      <c r="E226" s="1673"/>
      <c r="F226" s="1673"/>
      <c r="G226" s="1673"/>
      <c r="H226" s="1673"/>
      <c r="I226" s="1673"/>
      <c r="J226" s="1673"/>
      <c r="K226" s="1672">
        <f t="shared" si="19"/>
        <v>3107</v>
      </c>
      <c r="L226" s="1573">
        <v>2800</v>
      </c>
    </row>
    <row r="227" spans="1:12" x14ac:dyDescent="0.2">
      <c r="A227" s="1274" t="s">
        <v>1080</v>
      </c>
      <c r="B227" s="503">
        <v>1800</v>
      </c>
      <c r="C227" s="1673"/>
      <c r="D227" s="1573">
        <v>56424</v>
      </c>
      <c r="E227" s="1673"/>
      <c r="F227" s="1673"/>
      <c r="G227" s="1673"/>
      <c r="H227" s="1673"/>
      <c r="I227" s="1673"/>
      <c r="J227" s="1673"/>
      <c r="K227" s="1672">
        <f t="shared" si="19"/>
        <v>56424</v>
      </c>
      <c r="L227" s="1573">
        <v>28700</v>
      </c>
    </row>
    <row r="228" spans="1:12" x14ac:dyDescent="0.2">
      <c r="A228" s="1274" t="s">
        <v>1081</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610268</v>
      </c>
      <c r="E229" s="1673"/>
      <c r="F229" s="1673"/>
      <c r="G229" s="1673"/>
      <c r="H229" s="1673"/>
      <c r="I229" s="1673"/>
      <c r="J229" s="1673"/>
      <c r="K229" s="1674">
        <f>SUM(K215:K228)</f>
        <v>610268</v>
      </c>
      <c r="L229" s="1674">
        <f>SUM(L215:L228)</f>
        <v>555523</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1082</v>
      </c>
      <c r="B232" s="503">
        <v>2110</v>
      </c>
      <c r="C232" s="1673"/>
      <c r="D232" s="1573">
        <v>82976</v>
      </c>
      <c r="E232" s="1673"/>
      <c r="F232" s="1673"/>
      <c r="G232" s="1673"/>
      <c r="H232" s="1673"/>
      <c r="I232" s="1673"/>
      <c r="J232" s="1673"/>
      <c r="K232" s="1672">
        <f t="shared" ref="K232:K237" si="20">D232</f>
        <v>82976</v>
      </c>
      <c r="L232" s="1573">
        <v>71841</v>
      </c>
    </row>
    <row r="233" spans="1:12" x14ac:dyDescent="0.2">
      <c r="A233" s="1274" t="s">
        <v>1083</v>
      </c>
      <c r="B233" s="503">
        <v>2120</v>
      </c>
      <c r="C233" s="1673"/>
      <c r="D233" s="1573">
        <v>5887</v>
      </c>
      <c r="E233" s="1673"/>
      <c r="F233" s="1673"/>
      <c r="G233" s="1673"/>
      <c r="H233" s="1673"/>
      <c r="I233" s="1673"/>
      <c r="J233" s="1673"/>
      <c r="K233" s="1672">
        <f t="shared" si="20"/>
        <v>5887</v>
      </c>
      <c r="L233" s="1573">
        <v>7000</v>
      </c>
    </row>
    <row r="234" spans="1:12" x14ac:dyDescent="0.2">
      <c r="A234" s="1274" t="s">
        <v>196</v>
      </c>
      <c r="B234" s="503">
        <v>2130</v>
      </c>
      <c r="C234" s="1673"/>
      <c r="D234" s="1573">
        <v>105054</v>
      </c>
      <c r="E234" s="1673"/>
      <c r="F234" s="1673"/>
      <c r="G234" s="1673"/>
      <c r="H234" s="1673"/>
      <c r="I234" s="1673"/>
      <c r="J234" s="1673"/>
      <c r="K234" s="1672">
        <f t="shared" si="20"/>
        <v>105054</v>
      </c>
      <c r="L234" s="1573">
        <v>70968</v>
      </c>
    </row>
    <row r="235" spans="1:12" x14ac:dyDescent="0.2">
      <c r="A235" s="1274" t="s">
        <v>197</v>
      </c>
      <c r="B235" s="503">
        <v>2140</v>
      </c>
      <c r="C235" s="1673"/>
      <c r="D235" s="1573">
        <v>7818</v>
      </c>
      <c r="E235" s="1673"/>
      <c r="F235" s="1673"/>
      <c r="G235" s="1673"/>
      <c r="H235" s="1673"/>
      <c r="I235" s="1673"/>
      <c r="J235" s="1673"/>
      <c r="K235" s="1672">
        <f t="shared" si="20"/>
        <v>7818</v>
      </c>
      <c r="L235" s="1573">
        <v>4800</v>
      </c>
    </row>
    <row r="236" spans="1:12" x14ac:dyDescent="0.2">
      <c r="A236" s="1274" t="s">
        <v>198</v>
      </c>
      <c r="B236" s="503">
        <v>2150</v>
      </c>
      <c r="C236" s="1673"/>
      <c r="D236" s="1573">
        <v>10402</v>
      </c>
      <c r="E236" s="1673"/>
      <c r="F236" s="1673"/>
      <c r="G236" s="1673"/>
      <c r="H236" s="1673"/>
      <c r="I236" s="1673"/>
      <c r="J236" s="1673"/>
      <c r="K236" s="1672">
        <f t="shared" si="20"/>
        <v>10402</v>
      </c>
      <c r="L236" s="1573">
        <v>10875</v>
      </c>
    </row>
    <row r="237" spans="1:12" x14ac:dyDescent="0.2">
      <c r="A237" s="1274" t="s">
        <v>164</v>
      </c>
      <c r="B237" s="503">
        <v>2190</v>
      </c>
      <c r="C237" s="1673"/>
      <c r="D237" s="1573"/>
      <c r="E237" s="1673"/>
      <c r="F237" s="1673"/>
      <c r="G237" s="1673"/>
      <c r="H237" s="1673"/>
      <c r="I237" s="1673"/>
      <c r="J237" s="1673"/>
      <c r="K237" s="1672">
        <f t="shared" si="20"/>
        <v>0</v>
      </c>
      <c r="L237" s="1573">
        <v>600</v>
      </c>
    </row>
    <row r="238" spans="1:12" ht="12.75" customHeight="1" thickBot="1" x14ac:dyDescent="0.25">
      <c r="A238" s="1380" t="s">
        <v>556</v>
      </c>
      <c r="B238" s="1383" t="s">
        <v>711</v>
      </c>
      <c r="C238" s="1673"/>
      <c r="D238" s="1674">
        <f>SUM(D232:D237)</f>
        <v>212137</v>
      </c>
      <c r="E238" s="1673"/>
      <c r="F238" s="1673"/>
      <c r="G238" s="1673"/>
      <c r="H238" s="1673"/>
      <c r="I238" s="1673"/>
      <c r="J238" s="1673"/>
      <c r="K238" s="1674">
        <f>SUM(K232:K237)</f>
        <v>212137</v>
      </c>
      <c r="L238" s="1674">
        <f>SUM(L232:L237)</f>
        <v>166084</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27726</v>
      </c>
      <c r="E240" s="1673"/>
      <c r="F240" s="1673"/>
      <c r="G240" s="1673"/>
      <c r="H240" s="1673"/>
      <c r="I240" s="1673"/>
      <c r="J240" s="1673"/>
      <c r="K240" s="1678">
        <f>D240</f>
        <v>27726</v>
      </c>
      <c r="L240" s="1586">
        <v>23808</v>
      </c>
    </row>
    <row r="241" spans="1:12" x14ac:dyDescent="0.2">
      <c r="A241" s="1274" t="s">
        <v>810</v>
      </c>
      <c r="B241" s="503">
        <v>2220</v>
      </c>
      <c r="C241" s="1673"/>
      <c r="D241" s="1573">
        <v>65181</v>
      </c>
      <c r="E241" s="1673"/>
      <c r="F241" s="1673"/>
      <c r="G241" s="1673"/>
      <c r="H241" s="1673"/>
      <c r="I241" s="1673"/>
      <c r="J241" s="1673"/>
      <c r="K241" s="1678">
        <f>D241</f>
        <v>65181</v>
      </c>
      <c r="L241" s="1573">
        <v>33467</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92907</v>
      </c>
      <c r="E243" s="1673"/>
      <c r="F243" s="1673"/>
      <c r="G243" s="1673"/>
      <c r="H243" s="1673"/>
      <c r="I243" s="1673"/>
      <c r="J243" s="1673"/>
      <c r="K243" s="1674">
        <f>SUM(K240:K242)</f>
        <v>92907</v>
      </c>
      <c r="L243" s="1674">
        <f>SUM(L240:L242)</f>
        <v>57275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688</v>
      </c>
      <c r="E245" s="1673"/>
      <c r="F245" s="1673"/>
      <c r="G245" s="1673"/>
      <c r="H245" s="1673"/>
      <c r="I245" s="1673"/>
      <c r="J245" s="1673"/>
      <c r="K245" s="1678">
        <f>D245</f>
        <v>688</v>
      </c>
      <c r="L245" s="1586">
        <v>398</v>
      </c>
    </row>
    <row r="246" spans="1:12" x14ac:dyDescent="0.2">
      <c r="A246" s="1274" t="s">
        <v>813</v>
      </c>
      <c r="B246" s="503">
        <v>2320</v>
      </c>
      <c r="C246" s="1673"/>
      <c r="D246" s="1573">
        <v>17393</v>
      </c>
      <c r="E246" s="1673"/>
      <c r="F246" s="1673"/>
      <c r="G246" s="1673"/>
      <c r="H246" s="1673"/>
      <c r="I246" s="1673"/>
      <c r="J246" s="1673"/>
      <c r="K246" s="1678">
        <f t="shared" ref="K246:K256" si="21">D246</f>
        <v>17393</v>
      </c>
      <c r="L246" s="1573">
        <v>16000</v>
      </c>
    </row>
    <row r="247" spans="1:12" x14ac:dyDescent="0.2">
      <c r="A247" s="1274" t="s">
        <v>814</v>
      </c>
      <c r="B247" s="503">
        <v>2330</v>
      </c>
      <c r="C247" s="1673"/>
      <c r="D247" s="1573">
        <v>6897</v>
      </c>
      <c r="E247" s="1673"/>
      <c r="F247" s="1673"/>
      <c r="G247" s="1673"/>
      <c r="H247" s="1673"/>
      <c r="I247" s="1673"/>
      <c r="J247" s="1673"/>
      <c r="K247" s="1678">
        <f t="shared" si="21"/>
        <v>6897</v>
      </c>
      <c r="L247" s="1573">
        <v>6365</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24978</v>
      </c>
      <c r="E257" s="1673"/>
      <c r="F257" s="1673"/>
      <c r="G257" s="1673"/>
      <c r="H257" s="1673"/>
      <c r="I257" s="1673"/>
      <c r="J257" s="1673"/>
      <c r="K257" s="1674">
        <f>SUM(K245:K256)</f>
        <v>24978</v>
      </c>
      <c r="L257" s="1674">
        <f>SUM(L245:L256)</f>
        <v>22763</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1060</v>
      </c>
      <c r="B259" s="559">
        <v>2410</v>
      </c>
      <c r="C259" s="1673"/>
      <c r="D259" s="1586">
        <v>150488</v>
      </c>
      <c r="E259" s="1673"/>
      <c r="F259" s="1673"/>
      <c r="G259" s="1673"/>
      <c r="H259" s="1673"/>
      <c r="I259" s="1673"/>
      <c r="J259" s="1673"/>
      <c r="K259" s="1678">
        <f>D259</f>
        <v>150488</v>
      </c>
      <c r="L259" s="1586">
        <v>156447</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150488</v>
      </c>
      <c r="E261" s="1673"/>
      <c r="F261" s="1673"/>
      <c r="G261" s="1673"/>
      <c r="H261" s="1673"/>
      <c r="I261" s="1673"/>
      <c r="J261" s="1673"/>
      <c r="K261" s="1674">
        <f>SUM(K259:K260)</f>
        <v>150488</v>
      </c>
      <c r="L261" s="1674">
        <f>SUM(L259:L260)</f>
        <v>156447</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1061</v>
      </c>
      <c r="B263" s="559">
        <v>2510</v>
      </c>
      <c r="C263" s="1673"/>
      <c r="D263" s="1573">
        <v>32737</v>
      </c>
      <c r="E263" s="1673"/>
      <c r="F263" s="1673"/>
      <c r="G263" s="1673"/>
      <c r="H263" s="1673"/>
      <c r="I263" s="1673"/>
      <c r="J263" s="1673"/>
      <c r="K263" s="1678">
        <f>D263</f>
        <v>32737</v>
      </c>
      <c r="L263" s="1586">
        <v>29438</v>
      </c>
    </row>
    <row r="264" spans="1:14" x14ac:dyDescent="0.2">
      <c r="A264" s="1274" t="s">
        <v>460</v>
      </c>
      <c r="B264" s="559">
        <v>2520</v>
      </c>
      <c r="C264" s="1673"/>
      <c r="D264" s="1573">
        <v>50879</v>
      </c>
      <c r="E264" s="1673"/>
      <c r="F264" s="1673"/>
      <c r="G264" s="1673"/>
      <c r="H264" s="1673"/>
      <c r="I264" s="1673"/>
      <c r="J264" s="1673"/>
      <c r="K264" s="1678">
        <f t="shared" ref="K264:K269" si="22">D264</f>
        <v>50879</v>
      </c>
      <c r="L264" s="1573">
        <v>47600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229365</v>
      </c>
      <c r="E266" s="1673"/>
      <c r="F266" s="1673"/>
      <c r="G266" s="1673"/>
      <c r="H266" s="1673"/>
      <c r="I266" s="1673"/>
      <c r="J266" s="1673"/>
      <c r="K266" s="1678">
        <f t="shared" si="22"/>
        <v>229365</v>
      </c>
      <c r="L266" s="1573">
        <v>240118</v>
      </c>
    </row>
    <row r="267" spans="1:14" x14ac:dyDescent="0.2">
      <c r="A267" s="1274" t="s">
        <v>947</v>
      </c>
      <c r="B267" s="503">
        <v>2550</v>
      </c>
      <c r="C267" s="1673"/>
      <c r="D267" s="1573"/>
      <c r="E267" s="1673"/>
      <c r="F267" s="1673"/>
      <c r="G267" s="1673"/>
      <c r="H267" s="1673"/>
      <c r="I267" s="1673"/>
      <c r="J267" s="1673"/>
      <c r="K267" s="1678">
        <f t="shared" si="22"/>
        <v>0</v>
      </c>
      <c r="L267" s="1573">
        <v>600</v>
      </c>
    </row>
    <row r="268" spans="1:14" x14ac:dyDescent="0.2">
      <c r="A268" s="1274" t="s">
        <v>100</v>
      </c>
      <c r="B268" s="503">
        <v>2560</v>
      </c>
      <c r="C268" s="1673"/>
      <c r="D268" s="1573">
        <v>22236</v>
      </c>
      <c r="E268" s="1673"/>
      <c r="F268" s="1673"/>
      <c r="G268" s="1673"/>
      <c r="H268" s="1673"/>
      <c r="I268" s="1673"/>
      <c r="J268" s="1673"/>
      <c r="K268" s="1678">
        <f t="shared" si="22"/>
        <v>22236</v>
      </c>
      <c r="L268" s="1573"/>
    </row>
    <row r="269" spans="1:14" x14ac:dyDescent="0.2">
      <c r="A269" s="1274" t="s">
        <v>101</v>
      </c>
      <c r="B269" s="503">
        <v>2570</v>
      </c>
      <c r="C269" s="1673"/>
      <c r="D269" s="1573">
        <v>28294</v>
      </c>
      <c r="E269" s="1673"/>
      <c r="F269" s="1673"/>
      <c r="G269" s="1673"/>
      <c r="H269" s="1673"/>
      <c r="I269" s="1673"/>
      <c r="J269" s="1673"/>
      <c r="K269" s="1678">
        <f t="shared" si="22"/>
        <v>28294</v>
      </c>
      <c r="L269" s="1573">
        <v>41300</v>
      </c>
    </row>
    <row r="270" spans="1:14" ht="12.75" customHeight="1" thickBot="1" x14ac:dyDescent="0.25">
      <c r="A270" s="1380" t="s">
        <v>714</v>
      </c>
      <c r="B270" s="1383" t="s">
        <v>35</v>
      </c>
      <c r="C270" s="1673"/>
      <c r="D270" s="1674">
        <f>SUM(D263:D269)</f>
        <v>363511</v>
      </c>
      <c r="E270" s="1673"/>
      <c r="F270" s="1673"/>
      <c r="G270" s="1673"/>
      <c r="H270" s="1673"/>
      <c r="I270" s="1673"/>
      <c r="J270" s="1673"/>
      <c r="K270" s="1674">
        <f>SUM(K263:K269)</f>
        <v>363511</v>
      </c>
      <c r="L270" s="1674">
        <f>SUM(L263:L269)</f>
        <v>359056</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1053</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v>44864</v>
      </c>
      <c r="E273" s="1673"/>
      <c r="F273" s="1673"/>
      <c r="G273" s="1673"/>
      <c r="H273" s="1673"/>
      <c r="I273" s="1673"/>
      <c r="J273" s="1673"/>
      <c r="K273" s="1678">
        <f>D273</f>
        <v>44864</v>
      </c>
      <c r="L273" s="1573">
        <v>41078</v>
      </c>
    </row>
    <row r="274" spans="1:12" ht="12" customHeight="1" x14ac:dyDescent="0.2">
      <c r="A274" s="1274" t="s">
        <v>1054</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v>47414</v>
      </c>
      <c r="E275" s="1673"/>
      <c r="F275" s="1673"/>
      <c r="G275" s="1673"/>
      <c r="H275" s="1673"/>
      <c r="I275" s="1673"/>
      <c r="J275" s="1673"/>
      <c r="K275" s="1678">
        <f>D275</f>
        <v>47414</v>
      </c>
      <c r="L275" s="1573">
        <v>34102</v>
      </c>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92278</v>
      </c>
      <c r="E277" s="1673"/>
      <c r="F277" s="1673"/>
      <c r="G277" s="1673"/>
      <c r="H277" s="1673"/>
      <c r="I277" s="1673"/>
      <c r="J277" s="1673"/>
      <c r="K277" s="1674">
        <f>SUM(K272:K276)</f>
        <v>92278</v>
      </c>
      <c r="L277" s="1674">
        <f>SUM(L272:L276)</f>
        <v>75180</v>
      </c>
    </row>
    <row r="278" spans="1:12" ht="13.5" customHeight="1" thickTop="1" x14ac:dyDescent="0.2">
      <c r="A278" s="1280" t="s">
        <v>973</v>
      </c>
      <c r="B278" s="531" t="s">
        <v>570</v>
      </c>
      <c r="C278" s="1673"/>
      <c r="D278" s="1695"/>
      <c r="E278" s="1673"/>
      <c r="F278" s="1673"/>
      <c r="G278" s="1673"/>
      <c r="H278" s="1673"/>
      <c r="I278" s="1673"/>
      <c r="J278" s="1673"/>
      <c r="K278" s="1696">
        <f>D278</f>
        <v>0</v>
      </c>
      <c r="L278" s="1695">
        <v>6369</v>
      </c>
    </row>
    <row r="279" spans="1:12" ht="12.75" customHeight="1" thickBot="1" x14ac:dyDescent="0.25">
      <c r="A279" s="1400" t="s">
        <v>806</v>
      </c>
      <c r="B279" s="1387">
        <v>2000</v>
      </c>
      <c r="C279" s="1673"/>
      <c r="D279" s="1681">
        <f>SUM(D238,D243,D257,D261,D270,D277,D278)</f>
        <v>936299</v>
      </c>
      <c r="E279" s="1673"/>
      <c r="F279" s="1673"/>
      <c r="G279" s="1673"/>
      <c r="H279" s="1673"/>
      <c r="I279" s="1673"/>
      <c r="J279" s="1673"/>
      <c r="K279" s="1681">
        <f>SUM(K238,K243,K257,K261,K270,K277,K278)</f>
        <v>936299</v>
      </c>
      <c r="L279" s="1681">
        <f>SUM(L238,L243,L257,L261,L270,L277,L278)</f>
        <v>843174</v>
      </c>
    </row>
    <row r="280" spans="1:12" ht="15.75" customHeight="1" thickTop="1" thickBot="1" x14ac:dyDescent="0.25">
      <c r="A280" s="1362" t="s">
        <v>870</v>
      </c>
      <c r="B280" s="1351">
        <v>3000</v>
      </c>
      <c r="C280" s="1673"/>
      <c r="D280" s="1651">
        <v>11724</v>
      </c>
      <c r="E280" s="1673"/>
      <c r="F280" s="1673"/>
      <c r="G280" s="1673"/>
      <c r="H280" s="1673"/>
      <c r="I280" s="1673"/>
      <c r="J280" s="1673"/>
      <c r="K280" s="1687">
        <f>D280</f>
        <v>11724</v>
      </c>
      <c r="L280" s="1651">
        <v>29661</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1473</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1162</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2" t="s">
        <v>502</v>
      </c>
      <c r="B295" s="2283"/>
      <c r="C295" s="1673"/>
      <c r="D295" s="1674">
        <f>SUM(D229,D279,D280,D285)</f>
        <v>1558291</v>
      </c>
      <c r="E295" s="1673"/>
      <c r="F295" s="1673"/>
      <c r="G295" s="1673"/>
      <c r="H295" s="1674">
        <f>H293</f>
        <v>0</v>
      </c>
      <c r="I295" s="1673"/>
      <c r="J295" s="1673"/>
      <c r="K295" s="1674">
        <f>SUM(K229,K279,K280,K285,K293,K294)</f>
        <v>1558291</v>
      </c>
      <c r="L295" s="1674">
        <f>SUM(L229,L279,L280,L285,L293,L294)</f>
        <v>1428358</v>
      </c>
    </row>
    <row r="296" spans="1:14" ht="13.5" thickTop="1" x14ac:dyDescent="0.2">
      <c r="A296" s="2291" t="s">
        <v>989</v>
      </c>
      <c r="B296" s="2292"/>
      <c r="C296" s="1673"/>
      <c r="D296" s="1675"/>
      <c r="E296" s="1673"/>
      <c r="F296" s="1673"/>
      <c r="G296" s="1673"/>
      <c r="H296" s="1707"/>
      <c r="I296" s="1673"/>
      <c r="J296" s="1673"/>
      <c r="K296" s="1689">
        <f>'Revenues 9-14'!G268-'Expenditures 15-22'!K295</f>
        <v>-115958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4" t="s">
        <v>142</v>
      </c>
      <c r="B298" s="2268"/>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12763</v>
      </c>
      <c r="F301" s="1573">
        <v>28816</v>
      </c>
      <c r="G301" s="1573">
        <v>1035987</v>
      </c>
      <c r="H301" s="1573"/>
      <c r="I301" s="1574"/>
      <c r="J301" s="1574"/>
      <c r="K301" s="1672">
        <f>SUM(C301:J301)</f>
        <v>1077566</v>
      </c>
      <c r="L301" s="1574">
        <v>1719717</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12763</v>
      </c>
      <c r="F303" s="1681">
        <f t="shared" si="23"/>
        <v>28816</v>
      </c>
      <c r="G303" s="1681">
        <f t="shared" si="23"/>
        <v>1035987</v>
      </c>
      <c r="H303" s="1681">
        <f t="shared" si="23"/>
        <v>0</v>
      </c>
      <c r="I303" s="1681">
        <f t="shared" si="23"/>
        <v>0</v>
      </c>
      <c r="J303" s="1681">
        <f t="shared" si="23"/>
        <v>0</v>
      </c>
      <c r="K303" s="1681">
        <f t="shared" si="23"/>
        <v>1077566</v>
      </c>
      <c r="L303" s="1681">
        <f t="shared" si="23"/>
        <v>1719717</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1473</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9" t="s">
        <v>275</v>
      </c>
      <c r="B312" s="2280"/>
      <c r="C312" s="1674">
        <f>SUM(C303)</f>
        <v>0</v>
      </c>
      <c r="D312" s="1674">
        <f>SUM(D303)</f>
        <v>0</v>
      </c>
      <c r="E312" s="1674">
        <f>SUM(E303,E310)</f>
        <v>12763</v>
      </c>
      <c r="F312" s="1674">
        <f>SUM(F303)</f>
        <v>28816</v>
      </c>
      <c r="G312" s="1674">
        <f>SUM(G303)</f>
        <v>1035987</v>
      </c>
      <c r="H312" s="1674">
        <f>SUM(H303,H310)</f>
        <v>0</v>
      </c>
      <c r="I312" s="1674">
        <f>SUM(I303)</f>
        <v>0</v>
      </c>
      <c r="J312" s="1674">
        <f>SUM(J303)</f>
        <v>0</v>
      </c>
      <c r="K312" s="1674">
        <f>SUM(K303,K310,K311)</f>
        <v>1077566</v>
      </c>
      <c r="L312" s="1674">
        <f>SUM(L303,L310,L311)</f>
        <v>1719717</v>
      </c>
      <c r="M312" s="539"/>
      <c r="N312" s="539"/>
    </row>
    <row r="313" spans="1:14" ht="13.5" thickTop="1" x14ac:dyDescent="0.2">
      <c r="A313" s="2275" t="s">
        <v>989</v>
      </c>
      <c r="B313" s="2276"/>
      <c r="C313" s="1677"/>
      <c r="D313" s="1677"/>
      <c r="E313" s="1677"/>
      <c r="F313" s="1677"/>
      <c r="G313" s="1677"/>
      <c r="H313" s="1677"/>
      <c r="I313" s="1677"/>
      <c r="J313" s="1677"/>
      <c r="K313" s="1696">
        <f>'Revenues 9-14'!H268-'Expenditures 15-22'!K312</f>
        <v>2442209</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8" t="s">
        <v>148</v>
      </c>
      <c r="B315" s="228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0" t="s">
        <v>892</v>
      </c>
      <c r="B317" s="2289"/>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50000</v>
      </c>
      <c r="M321" s="539"/>
      <c r="N321" s="539"/>
    </row>
    <row r="322" spans="1:14" s="548" customFormat="1" x14ac:dyDescent="0.2">
      <c r="A322" s="1289" t="s">
        <v>236</v>
      </c>
      <c r="B322" s="567" t="s">
        <v>282</v>
      </c>
      <c r="C322" s="1574"/>
      <c r="D322" s="1574"/>
      <c r="E322" s="1574">
        <v>314990</v>
      </c>
      <c r="F322" s="1574"/>
      <c r="G322" s="1574">
        <v>22896</v>
      </c>
      <c r="H322" s="1574"/>
      <c r="I322" s="1574"/>
      <c r="J322" s="1574"/>
      <c r="K322" s="1672">
        <f t="shared" si="24"/>
        <v>337886</v>
      </c>
      <c r="L322" s="1574">
        <v>433873</v>
      </c>
      <c r="M322" s="539"/>
      <c r="N322" s="539"/>
    </row>
    <row r="323" spans="1:14" s="548" customFormat="1" x14ac:dyDescent="0.2">
      <c r="A323" s="1289" t="s">
        <v>697</v>
      </c>
      <c r="B323" s="567" t="s">
        <v>283</v>
      </c>
      <c r="C323" s="1574"/>
      <c r="D323" s="1574"/>
      <c r="E323" s="1574">
        <v>31220</v>
      </c>
      <c r="F323" s="1574"/>
      <c r="G323" s="1574"/>
      <c r="H323" s="1574"/>
      <c r="I323" s="1574"/>
      <c r="J323" s="1574"/>
      <c r="K323" s="1672">
        <f t="shared" si="24"/>
        <v>31220</v>
      </c>
      <c r="L323" s="1574">
        <v>33220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v>22112</v>
      </c>
      <c r="F325" s="1574"/>
      <c r="G325" s="1574">
        <v>1580</v>
      </c>
      <c r="H325" s="1574"/>
      <c r="I325" s="1574"/>
      <c r="J325" s="1574"/>
      <c r="K325" s="1672">
        <f t="shared" si="24"/>
        <v>23692</v>
      </c>
      <c r="L325" s="1574">
        <v>31000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263463</v>
      </c>
      <c r="F327" s="1574"/>
      <c r="G327" s="1574"/>
      <c r="H327" s="1574"/>
      <c r="I327" s="1574"/>
      <c r="J327" s="1574"/>
      <c r="K327" s="1672">
        <f t="shared" si="24"/>
        <v>263463</v>
      </c>
      <c r="L327" s="1574">
        <v>211717</v>
      </c>
      <c r="M327" s="539"/>
      <c r="N327" s="539"/>
    </row>
    <row r="328" spans="1:14" s="548" customFormat="1" x14ac:dyDescent="0.2">
      <c r="A328" s="1290" t="s">
        <v>469</v>
      </c>
      <c r="B328" s="562" t="s">
        <v>1124</v>
      </c>
      <c r="C328" s="1579"/>
      <c r="D328" s="1579"/>
      <c r="E328" s="1579"/>
      <c r="F328" s="1579"/>
      <c r="G328" s="1579"/>
      <c r="H328" s="1579"/>
      <c r="I328" s="1579"/>
      <c r="J328" s="1579"/>
      <c r="K328" s="1713">
        <f>SUM(C328:J328)</f>
        <v>0</v>
      </c>
      <c r="L328" s="1579"/>
      <c r="M328" s="539"/>
      <c r="N328" s="539"/>
    </row>
    <row r="329" spans="1:14" s="548" customFormat="1" x14ac:dyDescent="0.2">
      <c r="A329" s="1290" t="s">
        <v>1125</v>
      </c>
      <c r="B329" s="562" t="s">
        <v>1126</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631785</v>
      </c>
      <c r="F330" s="1674">
        <f t="shared" si="25"/>
        <v>0</v>
      </c>
      <c r="G330" s="1674">
        <f t="shared" si="25"/>
        <v>24476</v>
      </c>
      <c r="H330" s="1674">
        <f t="shared" si="25"/>
        <v>0</v>
      </c>
      <c r="I330" s="1674">
        <f t="shared" si="25"/>
        <v>0</v>
      </c>
      <c r="J330" s="1674">
        <f t="shared" si="25"/>
        <v>0</v>
      </c>
      <c r="K330" s="1674">
        <f>SUM(K319:K329)</f>
        <v>656261</v>
      </c>
      <c r="L330" s="1674">
        <f>SUM(L319:L329)</f>
        <v>759810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1162</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631785</v>
      </c>
      <c r="F342" s="1674">
        <f>SUM(F330)</f>
        <v>0</v>
      </c>
      <c r="G342" s="1674">
        <f>SUM(G330)</f>
        <v>24476</v>
      </c>
      <c r="H342" s="1674">
        <f>SUM(H330,H334,H340)</f>
        <v>0</v>
      </c>
      <c r="I342" s="1674">
        <f>SUM(I330)</f>
        <v>0</v>
      </c>
      <c r="J342" s="1674">
        <f>SUM(J330)</f>
        <v>0</v>
      </c>
      <c r="K342" s="1674">
        <f>SUM(K330,K334,K340)</f>
        <v>656261</v>
      </c>
      <c r="L342" s="1681">
        <f>SUM(L330,L334,L340,L341)</f>
        <v>759810</v>
      </c>
    </row>
    <row r="343" spans="1:14" ht="12.75" customHeight="1" thickTop="1" x14ac:dyDescent="0.2">
      <c r="A343" s="2277" t="s">
        <v>989</v>
      </c>
      <c r="B343" s="2278"/>
      <c r="C343" s="1673"/>
      <c r="D343" s="1673"/>
      <c r="E343" s="1673"/>
      <c r="F343" s="1673"/>
      <c r="G343" s="1673"/>
      <c r="H343" s="1673"/>
      <c r="I343" s="1673"/>
      <c r="J343" s="1673"/>
      <c r="K343" s="1689">
        <f>'Revenues 9-14'!J268-'Expenditures 15-22'!K342</f>
        <v>148518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7" t="s">
        <v>960</v>
      </c>
      <c r="B345" s="2268"/>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v>366222</v>
      </c>
      <c r="H349" s="1573"/>
      <c r="I349" s="1574"/>
      <c r="J349" s="1574"/>
      <c r="K349" s="1672">
        <f>SUM(C349:J349)</f>
        <v>366222</v>
      </c>
      <c r="L349" s="1573">
        <v>882000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366222</v>
      </c>
      <c r="H350" s="1674">
        <f t="shared" si="26"/>
        <v>0</v>
      </c>
      <c r="I350" s="1674">
        <f t="shared" si="26"/>
        <v>0</v>
      </c>
      <c r="J350" s="1674">
        <f t="shared" si="26"/>
        <v>0</v>
      </c>
      <c r="K350" s="1674">
        <f t="shared" si="26"/>
        <v>366222</v>
      </c>
      <c r="L350" s="1674">
        <f t="shared" si="26"/>
        <v>882000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366222</v>
      </c>
      <c r="H352" s="1674">
        <f t="shared" si="27"/>
        <v>0</v>
      </c>
      <c r="I352" s="1674">
        <f t="shared" si="27"/>
        <v>0</v>
      </c>
      <c r="J352" s="1674">
        <f t="shared" si="27"/>
        <v>0</v>
      </c>
      <c r="K352" s="1674">
        <f t="shared" si="27"/>
        <v>366222</v>
      </c>
      <c r="L352" s="1674">
        <f t="shared" si="27"/>
        <v>882000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1473</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1656</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366222</v>
      </c>
      <c r="H367" s="1674">
        <f t="shared" si="28"/>
        <v>0</v>
      </c>
      <c r="I367" s="1674">
        <f t="shared" si="28"/>
        <v>0</v>
      </c>
      <c r="J367" s="1674">
        <f t="shared" si="28"/>
        <v>0</v>
      </c>
      <c r="K367" s="1674">
        <f t="shared" si="28"/>
        <v>366222</v>
      </c>
      <c r="L367" s="1674">
        <f t="shared" si="28"/>
        <v>882000</v>
      </c>
    </row>
    <row r="368" spans="1:14" ht="13.5" thickTop="1" x14ac:dyDescent="0.2">
      <c r="A368" s="2291" t="s">
        <v>989</v>
      </c>
      <c r="B368" s="2292"/>
      <c r="C368" s="1694"/>
      <c r="D368" s="1694"/>
      <c r="E368" s="1677"/>
      <c r="F368" s="1677"/>
      <c r="G368" s="1677"/>
      <c r="H368" s="1677"/>
      <c r="I368" s="1677"/>
      <c r="J368" s="1676"/>
      <c r="K368" s="1672">
        <f>'Revenues 9-14'!K268-'Expenditures 15-22'!K367</f>
        <v>-28929</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http://schemas.microsoft.com/office/2006/metadata/properties"/>
    <ds:schemaRef ds:uri="http://schemas.microsoft.com/office/infopath/2007/PartnerControls"/>
    <ds:schemaRef ds:uri="http://schemas.microsoft.com/sharepoint/v3"/>
    <ds:schemaRef ds:uri="http://purl.org/dc/terms/"/>
    <ds:schemaRef ds:uri="http://schemas.microsoft.com/office/2006/documentManagement/types"/>
    <ds:schemaRef ds:uri="6ce3111e-7420-4802-b50a-75d4e9a0b980"/>
    <ds:schemaRef ds:uri="d21dc803-237d-4c68-8692-8d731fd29118"/>
    <ds:schemaRef ds:uri="4d435f69-8686-490b-bd6d-b153bf22ab50"/>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20</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2020-10-15T17:31:32Z</cp:lastPrinted>
  <dcterms:created xsi:type="dcterms:W3CDTF">2003-10-29T19:06:34Z</dcterms:created>
  <dcterms:modified xsi:type="dcterms:W3CDTF">2021-01-15T14:30:16Z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A44787D4-0540-4523-9961-78E4036D8C6D}">
    <vt:lpwstr>{FA16A610-4017-4F78-9D64-4B9FC21FE328}</vt:lpwstr>
  </property>
  <property fmtid="{D5CDD505-2E9C-101B-9397-08002B2CF9AE}" pid="5" name="tabName">
    <vt:lpwstr>Planning (000-199)</vt:lpwstr>
  </property>
  <property fmtid="{D5CDD505-2E9C-101B-9397-08002B2CF9AE}" pid="6" name="tabIndex">
    <vt:lpwstr>01</vt:lpwstr>
  </property>
  <property fmtid="{D5CDD505-2E9C-101B-9397-08002B2CF9AE}" pid="7" name="workpaperIndex">
    <vt:lpwstr>010.003</vt:lpwstr>
  </property>
</Properties>
</file>