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F1EDEBB-135E-46AC-8E8E-85E420117EE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75" i="127"/>
  <c r="B76"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C352" i="29" l="1"/>
  <c r="J210" i="29"/>
  <c r="B7072" i="106" s="1"/>
  <c r="D7072" i="106" s="1"/>
  <c r="J129" i="29"/>
  <c r="B7038" i="106" s="1"/>
  <c r="D7038" i="106" s="1"/>
  <c r="I129" i="29"/>
  <c r="B7037" i="106" s="1"/>
  <c r="D7037" i="106" s="1"/>
  <c r="D22" i="37"/>
  <c r="D69" i="36"/>
  <c r="D68" i="36"/>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5770" i="106" l="1"/>
  <c r="D5770" i="106" s="1"/>
  <c r="B1328" i="106"/>
  <c r="D1328" i="106" s="1"/>
  <c r="L16" i="11"/>
  <c r="B2061" i="106" s="1"/>
  <c r="D2061" i="106" s="1"/>
  <c r="N23" i="3"/>
  <c r="B284" i="106" s="1"/>
  <c r="D284" i="106" s="1"/>
  <c r="K342" i="29"/>
  <c r="F13" i="34" s="1"/>
  <c r="B6216" i="106"/>
  <c r="D6216" i="106" s="1"/>
  <c r="B1381" i="106"/>
  <c r="D1381" i="106" s="1"/>
  <c r="F41" i="108"/>
  <c r="G43" i="108" s="1"/>
  <c r="D44" i="36"/>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30" i="106" s="1"/>
  <c r="D6230" i="106" s="1"/>
  <c r="J10" i="4"/>
  <c r="B6225" i="106" s="1"/>
  <c r="D6225" i="106" s="1"/>
  <c r="B6223" i="106"/>
  <c r="D6223"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<sst xmlns="http://schemas.openxmlformats.org/spreadsheetml/2006/main" count="5181" uniqueCount="2108">
  <si>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</si>
  <si>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</si>
  <si>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</si>
  <si>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</si>
  <si>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</si>
  <si>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</si>
  <si>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</si>
  <si>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</si>
  <si>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</si>
  <si>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</si>
  <si>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</si>
  <si>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</si>
  <si>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</si>
  <si>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</si>
  <si>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</si>
  <si>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</si>
  <si>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</si>
  <si>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</si>
  <si>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</si>
  <si>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</si>
  <si>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</si>
  <si>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</si>
  <si>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</si>
  <si>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</si>
  <si>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</si>
  <si>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</si>
  <si>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</si>
  <si>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</si>
  <si>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</si>
  <si>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</si>
  <si>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</si>
  <si>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</si>
  <si>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</si>
  <si>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</si>
  <si>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</si>
  <si>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</si>
  <si>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</si>
  <si>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</si>
  <si>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</si>
  <si>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</si>
  <si>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</si>
  <si>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</si>
  <si>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</si>
  <si>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</si>
  <si>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</si>
  <si>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</si>
  <si>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</si>
  <si>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</si>
  <si>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</si>
  <si>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</si>
  <si>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</si>
  <si>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</si>
  <si>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</si>
  <si>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</si>
  <si>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</si>
  <si>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</si>
  <si>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</si>
  <si>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</si>
  <si>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</si>
  <si>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</si>
  <si>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</si>
  <si>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</si>
  <si>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</si>
  <si>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</si>
  <si>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</si>
  <si>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</si>
  <si>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</si>
  <si>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</si>
  <si>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</si>
  <si>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</si>
  <si>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</si>
  <si>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</si>
  <si>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</si>
  <si>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</si>
  <si>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</si>
  <si>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</si>
  <si>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</si>
  <si>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</si>
  <si>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</si>
  <si>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</si>
  <si>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</si>
  <si>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</si>
  <si>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</si>
  <si>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</si>
  <si>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</si>
  <si>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</si>
  <si>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</si>
  <si>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</si>
  <si>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</si>
  <si>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</si>
  <si>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</si>
  <si>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</si>
  <si>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</si>
  <si>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</si>
  <si>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</si>
  <si>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</si>
  <si>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</si>
  <si>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</si>
  <si>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</si>
  <si>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</si>
  <si>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</si>
  <si>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</si>
  <si>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</si>
  <si>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</si>
  <si>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</si>
  <si>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</si>
  <si>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</si>
  <si>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</si>
  <si>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</si>
  <si>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</si>
  <si>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</si>
  <si>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</si>
  <si>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</si>
  <si>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</si>
  <si>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</si>
  <si>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</si>
  <si>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</si>
  <si>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</si>
  <si>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</si>
  <si>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</si>
  <si>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</si>
  <si>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</si>
  <si>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</si>
  <si>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</si>
  <si>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</si>
  <si>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</si>
  <si>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</si>
  <si>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</si>
  <si>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</si>
  <si>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</si>
  <si>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</si>
  <si>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</si>
  <si>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</si>
  <si>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</si>
  <si>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</si>
  <si>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</si>
  <si>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</si>
  <si>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</si>
  <si>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</si>
  <si>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</si>
  <si>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</si>
  <si>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</si>
  <si>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</si>
  <si>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</si>
  <si>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</si>
  <si>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</si>
  <si>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</si>
  <si>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</si>
  <si>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</si>
  <si>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</si>
  <si>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</si>
  <si>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</si>
  <si>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</si>
  <si>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</si>
  <si>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</si>
  <si>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</si>
  <si>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</si>
  <si>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</si>
  <si>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</si>
  <si>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</si>
  <si>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</si>
  <si>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</si>
  <si>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</si>
  <si>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</si>
  <si>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</si>
  <si>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</si>
  <si>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</si>
  <si>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</si>
  <si>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</si>
  <si>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</si>
  <si>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</si>
  <si>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</si>
  <si>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</si>
  <si>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</si>
  <si>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</si>
  <si>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</si>
  <si>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</si>
  <si>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</si>
  <si>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</si>
  <si>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</si>
  <si>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</si>
  <si>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</si>
  <si>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</si>
  <si>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</si>
  <si>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</si>
  <si>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</si>
  <si>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</si>
  <si>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</si>
  <si>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</si>
  <si>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</si>
  <si>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</si>
  <si>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</si>
  <si>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</si>
  <si>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</si>
  <si>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</si>
  <si>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</si>
  <si>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</si>
  <si>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</si>
  <si>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</si>
  <si>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</si>
  <si>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</si>
  <si>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</si>
  <si>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</si>
  <si>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</si>
  <si>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</si>
  <si>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</si>
  <si>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</si>
  <si>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</si>
  <si>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</si>
  <si>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</si>
  <si>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</si>
  <si>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</si>
  <si>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</si>
  <si>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</si>
  <si>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</si>
  <si>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</si>
  <si>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</si>
  <si>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</si>
  <si>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</si>
  <si>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</si>
  <si>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</si>
  <si>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</si>
  <si>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</si>
  <si>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</si>
  <si>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</si>
  <si>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</si>
  <si>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</si>
  <si>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</si>
  <si>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</si>
  <si>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</si>
  <si>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</si>
  <si>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</si>
  <si>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</si>
  <si>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</si>
  <si>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</si>
  <si>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</si>
  <si>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</si>
  <si>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</si>
  <si>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</si>
  <si>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</si>
  <si>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</si>
  <si>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</si>
  <si>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</si>
  <si>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</si>
  <si>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</si>
  <si>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</si>
  <si>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</si>
  <si>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</si>
  <si>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</si>
  <si>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</si>
  <si>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</si>
  <si>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</si>
  <si>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</si>
  <si>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</si>
  <si>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</si>
  <si>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</si>
  <si>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</si>
  <si>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</si>
  <si>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</si>
  <si>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</si>
  <si>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</si>
  <si>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</si>
  <si>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</si>
  <si>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</si>
  <si>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</si>
  <si>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</si>
  <si>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</si>
  <si>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</si>
  <si>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</si>
  <si>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</si>
  <si>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</si>
  <si>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</si>
  <si>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</si>
  <si>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</si>
  <si>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</si>
  <si>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</si>
  <si>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</si>
  <si>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</si>
  <si>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</si>
  <si>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</si>
  <si>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</si>
  <si>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</si>
  <si>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</si>
  <si>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</si>
  <si>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</si>
  <si>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</si>
  <si>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</si>
  <si>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</si>
  <si>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</si>
  <si>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</si>
  <si>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</si>
  <si>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</si>
  <si>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</si>
  <si>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</si>
  <si>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</si>
  <si>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</si>
  <si>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</si>
  <si>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</si>
  <si>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</si>
  <si>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</si>
  <si>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</si>
  <si>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</si>
  <si>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</si>
  <si>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</si>
  <si>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</si>
  <si>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</si>
  <si>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</si>
  <si>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</si>
  <si>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</si>
  <si>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</si>
  <si>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</si>
  <si>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</si>
  <si>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</si>
  <si>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</si>
  <si>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</si>
  <si>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</si>
  <si>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</si>
  <si>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</si>
  <si>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</si>
  <si>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</si>
  <si>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</si>
  <si>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</si>
  <si>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</si>
  <si>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</si>
  <si>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</si>
  <si>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</si>
  <si>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</si>
  <si>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</si>
  <si>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</si>
  <si>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</si>
  <si>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</si>
  <si>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</si>
  <si>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</si>
  <si>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</si>
  <si>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</si>
  <si>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</si>
  <si>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</si>
  <si>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</si>
  <si>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</si>
  <si>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</si>
  <si>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</si>
  <si>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</si>
  <si>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</si>
  <si>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</si>
  <si>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</si>
  <si>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</si>
  <si>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</si>
  <si>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</si>
  <si>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</si>
  <si>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</si>
  <si>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</si>
  <si>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</si>
  <si>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</si>
  <si>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</si>
  <si>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</si>
  <si>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</si>
  <si>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</si>
  <si>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</si>
  <si>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</si>
  <si>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</si>
  <si>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</si>
  <si>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</si>
  <si>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</si>
  <si>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</si>
  <si>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</si>
  <si>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</si>
  <si>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</si>
  <si>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</si>
  <si>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</si>
  <si>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</si>
  <si>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</si>
  <si>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</si>
  <si>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</si>
  <si>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</si>
  <si>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</si>
  <si>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</si>
  <si>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</si>
  <si>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</si>
  <si>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</si>
  <si>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</si>
  <si>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</si>
  <si>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</si>
  <si>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</si>
  <si>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</si>
  <si>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</si>
  <si>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</si>
  <si>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</si>
  <si>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</si>
  <si>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</si>
  <si>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</si>
  <si>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</si>
  <si>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</si>
  <si>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</si>
  <si>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</si>
  <si>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</si>
  <si>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</si>
  <si>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</si>
  <si>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</si>
  <si>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</si>
  <si>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</si>
  <si>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</si>
  <si>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</si>
  <si>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</si>
  <si>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</si>
  <si>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</si>
  <si>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</si>
  <si>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</si>
  <si>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</si>
  <si>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</si>
  <si>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</si>
  <si>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</si>
  <si>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</si>
  <si>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</si>
  <si>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</si>
  <si>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</si>
  <si>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</si>
  <si>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</si>
  <si>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</si>
  <si>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</si>
  <si>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</si>
  <si>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</si>
  <si>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</si>
  <si>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</si>
  <si>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</si>
  <si>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</si>
  <si>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</si>
  <si>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</si>
  <si>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</si>
  <si>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</si>
  <si>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</si>
  <si>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</si>
  <si>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</si>
  <si>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</si>
  <si>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</si>
  <si>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</si>
  <si>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</si>
  <si>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</si>
  <si>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</si>
  <si>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</si>
  <si>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</si>
  <si>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</si>
  <si>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</si>
  <si>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</si>
  <si>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</si>
  <si>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</si>
  <si>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</si>
  <si>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</si>
  <si>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</si>
  <si>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</si>
  <si>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</si>
  <si>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</si>
  <si>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</si>
  <si>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</si>
  <si>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</si>
  <si>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</si>
  <si>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</si>
  <si>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</si>
  <si>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</si>
  <si>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</si>
  <si>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</si>
  <si>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</si>
  <si>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</si>
  <si>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</si>
  <si>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</si>
  <si>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</si>
  <si>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</si>
  <si>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</si>
  <si>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</si>
  <si>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</si>
  <si>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</si>
  <si>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</si>
  <si>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</si>
  <si>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</si>
  <si>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</si>
  <si>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</si>
  <si>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</si>
  <si>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</si>
  <si>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</si>
  <si>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</si>
  <si>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</si>
  <si>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</si>
  <si>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</si>
  <si>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</si>
  <si>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</si>
  <si>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</si>
  <si>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</si>
  <si>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</si>
  <si>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</si>
  <si>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</si>
  <si>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</si>
  <si>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</si>
  <si>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</si>
  <si>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</si>
  <si>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</si>
  <si>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</si>
  <si>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</si>
  <si>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</si>
  <si>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</si>
  <si>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</si>
  <si>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</si>
  <si>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</si>
  <si>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</si>
  <si>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</si>
  <si>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</si>
  <si>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</si>
  <si>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</si>
  <si>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</si>
  <si>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</si>
  <si>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</si>
  <si>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</si>
  <si>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</si>
  <si>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</si>
  <si>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</si>
  <si>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</si>
  <si>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</si>
  <si>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</si>
  <si>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</si>
  <si>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</si>
  <si>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</si>
  <si>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</si>
  <si>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</si>
  <si>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</si>
  <si>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</si>
  <si>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</si>
  <si>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</si>
  <si>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</si>
  <si>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</si>
  <si>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</si>
  <si>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</si>
  <si>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</si>
  <si>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</si>
  <si>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</si>
  <si>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</si>
  <si>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</si>
  <si>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</si>
  <si>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</si>
  <si>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</si>
  <si>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</si>
  <si>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</si>
  <si>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</si>
  <si>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</si>
  <si>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</si>
  <si>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</si>
  <si>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</si>
  <si>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</si>
  <si>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</si>
  <si>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</si>
  <si>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</si>
  <si>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</si>
  <si>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</si>
  <si>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</si>
  <si>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</si>
  <si>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</si>
  <si>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</si>
  <si>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</si>
  <si>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</si>
  <si>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</si>
  <si>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</si>
  <si>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</si>
  <si>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</si>
  <si>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</si>
  <si>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</si>
  <si>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</si>
  <si>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</si>
  <si>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</si>
  <si>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</si>
  <si>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</si>
  <si>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</si>
  <si>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</si>
  <si>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</si>
  <si>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</si>
  <si>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</si>
  <si>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</si>
  <si>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</si>
  <si>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</si>
  <si>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</si>
  <si>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</si>
  <si>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</si>
  <si>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</si>
  <si>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</si>
  <si>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</si>
  <si>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</si>
  <si>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</si>
  <si>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</si>
  <si>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</si>
  <si>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</si>
  <si>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</si>
  <si>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</si>
  <si>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</si>
  <si>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</si>
  <si>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</si>
  <si>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</si>
  <si>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</si>
  <si>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</si>
  <si>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</si>
  <si>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</si>
  <si>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</si>
  <si>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</si>
  <si>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</si>
  <si>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</si>
  <si>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</si>
  <si>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</si>
  <si>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</si>
  <si>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</si>
  <si>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</si>
  <si>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</si>
  <si>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</si>
  <si>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</si>
  <si>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</si>
  <si>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</si>
  <si>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</si>
  <si>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</si>
  <si>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</si>
  <si>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</si>
  <si>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</si>
  <si>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</si>
  <si>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</si>
  <si>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</si>
  <si>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</si>
  <si>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</si>
  <si>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</si>
  <si>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</si>
  <si>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</si>
  <si>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</si>
  <si>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</si>
  <si>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</si>
  <si>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</si>
  <si>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</si>
  <si>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</si>
  <si>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</si>
  <si>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</si>
  <si>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</si>
  <si>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</si>
  <si>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</si>
  <si>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</si>
  <si>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</si>
  <si>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</si>
  <si>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</si>
  <si>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</si>
  <si>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</si>
  <si>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</si>
  <si>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</si>
  <si>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</si>
  <si>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</si>
  <si>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</si>
  <si>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</si>
  <si>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</si>
  <si>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</si>
  <si>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</si>
  <si>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</si>
  <si>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</si>
  <si>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</si>
  <si>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</si>
  <si>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</si>
  <si>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</si>
  <si>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</si>
  <si>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</si>
  <si>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</si>
  <si>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</si>
  <si>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</si>
  <si>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</si>
  <si>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</si>
  <si>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</si>
  <si>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</si>
  <si>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</si>
  <si>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</si>
  <si>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</si>
  <si>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</si>
  <si>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</si>
  <si>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</si>
  <si>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</si>
  <si>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</si>
  <si>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</si>
  <si>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</si>
  <si>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</si>
  <si>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</si>
  <si>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</si>
  <si>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</si>
  <si>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</si>
  <si>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</si>
  <si>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</si>
  <si>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</si>
  <si>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</si>
  <si>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</si>
  <si>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</si>
  <si>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</si>
  <si>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</si>
  <si>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</si>
  <si>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</si>
  <si>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</si>
  <si>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</si>
  <si>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</si>
  <si>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</si>
  <si>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</si>
  <si>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</si>
  <si>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</si>
  <si>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</si>
  <si>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</si>
  <si>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</si>
  <si>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</si>
  <si>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</si>
  <si>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</si>
  <si>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</si>
  <si>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</si>
  <si>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</si>
  <si>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</si>
  <si>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</si>
  <si>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</si>
  <si>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</si>
  <si>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</si>
  <si>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</si>
  <si>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</si>
  <si>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</si>
  <si>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</si>
  <si>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</si>
  <si>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</si>
  <si>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</si>
  <si>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</si>
  <si>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</si>
  <si>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</si>
  <si>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</si>
  <si>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</si>
  <si>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</si>
  <si>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</si>
  <si>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</si>
  <si>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</si>
  <si>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</si>
  <si>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</si>
  <si>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</si>
  <si>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</si>
  <si>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</si>
  <si>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</si>
  <si>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</si>
  <si>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</si>
  <si>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</si>
  <si>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</si>
  <si>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</si>
  <si>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</si>
  <si>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</si>
  <si>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</si>
  <si>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</si>
  <si>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</si>
  <si>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</si>
  <si>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</si>
  <si>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</si>
  <si>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</si>
  <si>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</si>
  <si>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</si>
  <si>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</si>
  <si>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</si>
  <si>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</si>
  <si>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</si>
  <si>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</si>
  <si>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</si>
  <si>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</si>
  <si>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</si>
  <si>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</si>
  <si>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</si>
  <si>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</si>
  <si>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</si>
  <si>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</si>
  <si>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</si>
  <si>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</si>
  <si>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</si>
  <si>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</si>
  <si>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</si>
  <si>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</si>
  <si>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</si>
  <si>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</si>
  <si>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</si>
  <si>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</si>
  <si>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</si>
  <si>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</si>
  <si>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</si>
  <si>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</si>
  <si>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</si>
  <si>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</si>
  <si>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</si>
  <si>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</si>
  <si>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</si>
  <si>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</si>
  <si>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</si>
  <si>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</si>
  <si>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</si>
  <si>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</si>
  <si>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</si>
  <si>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</si>
  <si>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</si>
  <si>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</si>
  <si>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</si>
  <si>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</si>
  <si>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</si>
  <si>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</si>
  <si>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</si>
  <si>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</si>
  <si>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</si>
  <si>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</si>
  <si>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</si>
  <si>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</si>
  <si>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</si>
  <si>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</si>
  <si>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</si>
  <si>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</si>
  <si>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</si>
  <si>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</si>
  <si>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</si>
  <si>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</si>
  <si>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</si>
  <si>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</si>
  <si>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</si>
  <si>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</si>
  <si>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</si>
  <si>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</si>
  <si>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</si>
  <si>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</si>
  <si>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</si>
  <si>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</si>
  <si>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</si>
  <si>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</si>
  <si>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</si>
  <si>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</si>
  <si>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</si>
  <si>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</si>
  <si>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</si>
  <si>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</si>
  <si>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</si>
  <si>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</si>
  <si>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</si>
  <si>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</si>
  <si>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</si>
  <si>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</si>
  <si>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</si>
  <si>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</si>
  <si>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</si>
  <si>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</si>
  <si>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</si>
  <si>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</si>
  <si>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</si>
  <si>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</si>
  <si>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</si>
  <si>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</si>
  <si>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</si>
  <si>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</si>
  <si>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</si>
  <si>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</si>
  <si>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</si>
  <si>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</si>
  <si>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</si>
  <si>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</si>
  <si>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</si>
  <si>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</si>
  <si>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</si>
  <si>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</si>
  <si>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</si>
  <si>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</si>
  <si>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</si>
  <si>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</si>
  <si>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</si>
  <si>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</si>
  <si>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</si>
  <si>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</si>
  <si>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</si>
  <si>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</si>
  <si>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</si>
  <si>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</si>
  <si>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</si>
  <si>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</si>
  <si>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</si>
  <si>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</si>
  <si>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</si>
  <si>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</si>
  <si>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</si>
  <si>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</si>
  <si>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</si>
  <si>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</si>
  <si>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</si>
  <si>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</si>
  <si>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</si>
  <si>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</si>
  <si>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</si>
  <si>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</si>
  <si>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</si>
  <si>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</si>
  <si>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</si>
  <si>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</si>
  <si>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</si>
  <si>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</si>
  <si>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</si>
  <si>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</si>
  <si>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</si>
  <si>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</si>
  <si>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</si>
  <si>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</si>
  <si>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</si>
  <si>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</si>
  <si>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</si>
  <si>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</si>
  <si>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</si>
  <si>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</si>
  <si>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</si>
  <si>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</si>
  <si>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</si>
  <si>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</si>
  <si>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</si>
  <si>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</si>
  <si>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</si>
  <si>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</si>
  <si>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</si>
  <si>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</si>
  <si>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</si>
  <si>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</si>
  <si>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</si>
  <si>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</si>
  <si>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</si>
  <si>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</si>
  <si>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</si>
  <si>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</si>
  <si>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</si>
  <si>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</si>
  <si>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</si>
  <si>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</si>
  <si>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</si>
  <si>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</si>
  <si>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</si>
  <si>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</si>
  <si>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</si>
  <si>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</si>
  <si>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</si>
  <si>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</si>
  <si>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</si>
  <si>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</si>
  <si>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</si>
  <si>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</si>
  <si>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</si>
  <si>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</si>
  <si>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</si>
  <si>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</si>
  <si>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</si>
  <si>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</si>
  <si>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</si>
  <si>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</si>
  <si>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</si>
  <si>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</si>
  <si>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</si>
  <si>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</si>
  <si>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</si>
  <si>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</si>
  <si>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</si>
  <si>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</si>
  <si>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</si>
  <si>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</si>
  <si>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</si>
  <si>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</si>
  <si>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</si>
  <si>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</si>
  <si>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</si>
  <si>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</si>
  <si>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</si>
  <si>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</si>
  <si>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</si>
  <si>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</si>
  <si>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</si>
  <si>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</si>
  <si>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</si>
  <si>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</si>
  <si>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</si>
  <si>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</si>
  <si>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</si>
  <si>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</si>
  <si>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</si>
  <si>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</si>
  <si>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</si>
  <si>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</si>
  <si>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</si>
  <si>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</si>
  <si>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</si>
  <si>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</si>
  <si>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</si>
  <si>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</si>
  <si>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</si>
  <si>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</si>
  <si>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</si>
  <si>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</si>
  <si>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</si>
  <si>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</si>
  <si>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</si>
  <si>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</si>
  <si>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</si>
  <si>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</si>
  <si>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</si>
  <si>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</si>
  <si>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</si>
  <si>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</si>
  <si>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</si>
  <si>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</si>
  <si>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</si>
  <si>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</si>
  <si>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</si>
  <si>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</si>
  <si>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</si>
  <si>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</si>
  <si>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</si>
  <si>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</si>
  <si>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</si>
  <si>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</si>
  <si>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</si>
  <si>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</si>
  <si>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</si>
  <si>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</si>
  <si>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</si>
  <si>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</si>
  <si>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</si>
  <si>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</si>
  <si>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</si>
  <si>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</si>
  <si>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</si>
  <si>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</si>
  <si>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</si>
  <si>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</si>
  <si>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</si>
  <si>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</si>
  <si>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</si>
  <si>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</si>
  <si>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</si>
  <si>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</si>
  <si>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</si>
  <si>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</si>
  <si>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</si>
  <si>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</si>
  <si>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</si>
  <si>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</si>
  <si>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</si>
  <si>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</si>
  <si>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</si>
  <si>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</si>
  <si>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</si>
  <si>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</si>
  <si>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</si>
  <si>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</si>
  <si>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</si>
  <si>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</si>
  <si>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</si>
  <si>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</si>
  <si>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</si>
  <si>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</si>
  <si>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</si>
  <si>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</si>
  <si>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</si>
  <si>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</si>
  <si>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</si>
  <si>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</si>
  <si>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</si>
  <si>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</si>
  <si>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</si>
  <si>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</si>
  <si>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</si>
  <si>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</si>
  <si>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</si>
  <si>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</si>
  <si>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</si>
  <si>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</si>
  <si>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</si>
  <si>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</si>
  <si>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</si>
  <si>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</si>
  <si>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</si>
  <si>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</si>
  <si>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</si>
  <si>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</si>
  <si>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</si>
  <si>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</si>
  <si>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</si>
  <si>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</si>
  <si>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</si>
  <si>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</si>
  <si>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</si>
  <si>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</si>
  <si>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</si>
  <si>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</si>
  <si>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</si>
  <si>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</si>
  <si>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</si>
  <si>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</si>
  <si>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</si>
  <si>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</si>
  <si>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</si>
  <si>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</si>
  <si>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</si>
  <si>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</si>
  <si>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</si>
  <si>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</si>
  <si>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</si>
  <si>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</si>
  <si>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</si>
  <si>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</si>
  <si>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</si>
  <si>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</si>
  <si>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</si>
  <si>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</si>
  <si>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</si>
  <si>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</si>
  <si>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</si>
  <si>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</si>
  <si>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</si>
  <si>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</si>
  <si>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</si>
  <si>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</si>
  <si>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</si>
  <si>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</si>
  <si>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</si>
  <si>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</si>
  <si>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</si>
  <si>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</si>
  <si>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</si>
  <si>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</si>
  <si>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</si>
  <si>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</si>
  <si>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</si>
  <si>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</si>
  <si>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</si>
  <si>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</si>
  <si>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</si>
  <si>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</si>
  <si>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</si>
  <si>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</si>
  <si>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</si>
  <si>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</si>
  <si>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</si>
  <si>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</si>
  <si>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</si>
  <si>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</si>
  <si>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</si>
  <si>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</si>
  <si>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</si>
  <si>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</si>
  <si>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</si>
  <si>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</si>
  <si>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</si>
  <si>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</si>
  <si>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</si>
  <si>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</si>
  <si>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</si>
  <si>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</si>
  <si>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</si>
  <si>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</si>
  <si>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</si>
  <si>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</si>
  <si>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</si>
  <si>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</si>
  <si>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</si>
  <si>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</si>
  <si>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</si>
  <si>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</si>
  <si>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</si>
  <si>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</si>
  <si>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</si>
  <si>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</si>
  <si>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</si>
  <si>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</si>
  <si>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</si>
  <si>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</si>
  <si>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</si>
  <si>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</si>
  <si>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</si>
  <si>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</si>
  <si>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</si>
  <si>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</si>
  <si>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</si>
  <si>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</si>
  <si>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</si>
  <si>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</si>
  <si>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</si>
  <si>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</si>
  <si>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</si>
  <si>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</si>
  <si>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</si>
  <si>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</si>
  <si>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</si>
  <si>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</si>
  <si>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</si>
  <si>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</si>
  <si>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</si>
  <si>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</si>
  <si>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</si>
  <si>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</si>
  <si>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</si>
  <si>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</si>
  <si>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</si>
  <si>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</si>
  <si>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</si>
  <si>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</si>
  <si>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</si>
  <si>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</si>
  <si>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</si>
  <si>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</si>
  <si>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</si>
  <si>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</si>
  <si>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</si>
  <si>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</si>
  <si>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</si>
  <si>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</si>
  <si>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</si>
  <si>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</si>
  <si>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</si>
  <si>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</si>
  <si>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</si>
  <si>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</si>
  <si>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</si>
  <si>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</si>
  <si>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</si>
  <si>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</si>
  <si>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</si>
  <si>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</si>
  <si>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</si>
  <si>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</si>
  <si>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</si>
  <si>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</si>
  <si>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</si>
  <si>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</si>
  <si>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</si>
  <si>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</si>
  <si>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</si>
  <si>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</si>
  <si>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</si>
  <si>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</si>
  <si>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</si>
  <si>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</si>
  <si>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</si>
  <si>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</si>
  <si>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</si>
  <si>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</si>
  <si>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</si>
  <si>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</si>
  <si>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</si>
  <si>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</si>
  <si>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</si>
  <si>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</si>
  <si>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</si>
  <si>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</si>
  <si>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</si>
  <si>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</si>
  <si>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</si>
  <si>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</si>
  <si>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</si>
  <si>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</si>
  <si>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</si>
  <si>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</si>
  <si>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</si>
  <si>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</si>
  <si>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</si>
  <si>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</si>
  <si>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</si>
  <si>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</si>
  <si>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</si>
  <si>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</si>
  <si>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</si>
  <si>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</si>
  <si>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</si>
  <si>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</si>
  <si>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</si>
  <si>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</si>
  <si>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</si>
  <si>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</si>
  <si>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</si>
  <si>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</si>
  <si>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</si>
  <si>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</si>
  <si>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</si>
  <si>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</si>
  <si>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</si>
  <si>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</si>
  <si>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</si>
  <si>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</si>
  <si>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</si>
  <si>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</si>
  <si>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</si>
  <si>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</si>
  <si>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</si>
  <si>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</si>
  <si>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</si>
  <si>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</si>
  <si>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</si>
  <si>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</si>
  <si>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</si>
  <si>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</si>
  <si>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</si>
  <si>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</si>
  <si>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</si>
  <si>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</si>
  <si>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</si>
  <si>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</si>
  <si>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</si>
  <si>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</si>
  <si>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</si>
  <si>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</si>
  <si>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</si>
  <si>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</si>
  <si>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</si>
  <si>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</si>
  <si>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</si>
  <si>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</si>
  <si>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</si>
  <si>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</si>
  <si>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</si>
  <si>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</si>
  <si>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</si>
  <si>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</si>
  <si>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</si>
  <si>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</si>
  <si>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</si>
  <si>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</si>
  <si>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</si>
  <si>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</si>
  <si>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</si>
  <si>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</si>
  <si>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</si>
  <si>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</si>
  <si>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</si>
  <si>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</si>
  <si>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</si>
  <si>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</si>
  <si>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</si>
  <si>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</si>
  <si>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</si>
  <si>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</si>
  <si>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</si>
  <si>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</si>
  <si>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</si>
  <si>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</si>
  <si>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</si>
  <si>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</si>
  <si>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</si>
  <si>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</si>
  <si>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</si>
  <si>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</si>
  <si>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</si>
  <si>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</si>
  <si>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</si>
  <si>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</si>
  <si>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</si>
  <si>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</si>
  <si>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</si>
  <si>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</si>
  <si>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</si>
  <si>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</si>
  <si>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</si>
  <si>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</si>
  <si>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</si>
  <si>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</si>
  <si>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</si>
  <si>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</si>
  <si>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</si>
  <si>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</si>
  <si>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</si>
  <si>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</si>
  <si>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</si>
  <si>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</si>
  <si>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</si>
  <si>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</si>
  <si>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</si>
  <si>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</si>
  <si>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</si>
  <si>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</si>
  <si>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</si>
  <si>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</si>
  <si>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</si>
  <si>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</si>
  <si>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</si>
  <si>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</si>
  <si>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</si>
  <si>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</si>
  <si>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</si>
  <si>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</si>
  <si>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</si>
  <si>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</si>
  <si>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</si>
  <si>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</si>
  <si>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</si>
  <si>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</si>
  <si>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</si>
  <si>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</si>
  <si>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</si>
  <si>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</si>
  <si>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</si>
  <si>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</si>
  <si>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</si>
  <si>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</si>
  <si>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</si>
  <si>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</si>
  <si>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</si>
  <si>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</si>
  <si>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</si>
  <si>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</si>
  <si>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</si>
  <si>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</si>
  <si>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</si>
  <si>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</si>
  <si>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</si>
  <si>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</si>
  <si>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</si>
  <si>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</si>
  <si>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</si>
  <si>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</si>
  <si>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</si>
  <si>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</si>
  <si>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</si>
  <si>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</si>
  <si>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</si>
  <si>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</si>
  <si>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</si>
  <si>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</si>
  <si>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</si>
  <si>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</si>
  <si>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</si>
  <si>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</si>
  <si>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</si>
  <si>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</si>
  <si>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</si>
  <si>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</si>
  <si>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</si>
  <si>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</si>
  <si>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</si>
  <si>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</si>
  <si>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</si>
  <si>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</si>
  <si>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</si>
  <si>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</si>
  <si>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</si>
  <si>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</si>
  <si>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</si>
  <si>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</si>
  <si>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</si>
  <si>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</si>
  <si>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</si>
  <si>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</si>
  <si>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</si>
  <si>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</si>
  <si>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</si>
  <si>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</si>
  <si>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</si>
  <si>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</si>
  <si>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</si>
  <si>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</si>
  <si>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</si>
  <si>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</si>
  <si>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</si>
  <si>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</si>
  <si>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</si>
  <si>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</si>
  <si>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</si>
  <si>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</si>
  <si>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</si>
  <si>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</si>
  <si>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</si>
  <si>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</si>
  <si>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</si>
  <si>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</si>
  <si>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</si>
  <si>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</si>
  <si>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</si>
  <si>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</si>
  <si>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</si>
  <si>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</si>
  <si>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</si>
  <si>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</si>
  <si>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</si>
  <si>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</si>
  <si>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</si>
  <si>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</si>
  <si>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</si>
  <si>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</si>
  <si>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</si>
  <si>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</si>
  <si>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</si>
  <si>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</si>
  <si>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</si>
  <si>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</si>
  <si>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</si>
  <si>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</si>
  <si>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</si>
  <si>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</si>
  <si>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</si>
  <si>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</si>
  <si>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</si>
  <si>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</si>
  <si>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</si>
  <si>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</si>
  <si>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</si>
  <si>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</si>
  <si>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</si>
  <si>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</si>
  <si>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</si>
  <si>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</si>
  <si>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</si>
  <si>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</si>
  <si>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</si>
  <si>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</si>
  <si>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</si>
  <si>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</si>
  <si>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</si>
  <si>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</si>
  <si>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</si>
  <si>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</si>
  <si>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</si>
  <si>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</si>
  <si>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</si>
  <si>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</si>
  <si>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</si>
  <si>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</si>
  <si>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</si>
  <si>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</si>
  <si>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</si>
  <si>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</si>
  <si>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</si>
  <si>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</si>
  <si>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</si>
  <si>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</si>
  <si>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</si>
  <si>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</si>
  <si>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</si>
  <si>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</si>
  <si>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</si>
  <si>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</si>
  <si>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</si>
  <si>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</si>
  <si>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</si>
  <si>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</si>
  <si>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</si>
  <si>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</si>
  <si>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</si>
  <si>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</si>
  <si>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</si>
  <si>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</si>
  <si>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</si>
  <si>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</si>
  <si>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</si>
  <si>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</si>
  <si>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</si>
  <si>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</si>
  <si>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</si>
  <si>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</si>
  <si>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</si>
  <si>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</si>
  <si>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</si>
  <si>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</si>
  <si>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</si>
  <si>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</si>
  <si>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</si>
  <si>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</si>
  <si>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</si>
  <si>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</si>
  <si>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</si>
  <si>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</si>
  <si>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</si>
  <si>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</si>
  <si>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</si>
  <si>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</si>
  <si>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</si>
  <si>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</si>
  <si>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</si>
  <si>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</si>
  <si>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</si>
  <si>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</si>
  <si>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</si>
  <si>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</si>
  <si>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</si>
  <si>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</si>
  <si>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</si>
  <si>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</si>
  <si>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</si>
  <si>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</si>
  <si>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</si>
  <si>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</si>
  <si>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</si>
  <si>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</si>
  <si>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</si>
  <si>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</si>
  <si>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</si>
  <si>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</si>
  <si>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</si>
  <si>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</si>
  <si>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</si>
  <si>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</si>
  <si>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</si>
  <si>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</si>
  <si>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</si>
  <si>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</si>
  <si>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</si>
  <si>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</si>
  <si>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</si>
  <si>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</si>
  <si>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</si>
  <si>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</si>
  <si>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</si>
  <si>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</si>
  <si>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</si>
  <si>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</si>
  <si>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</si>
  <si>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</si>
  <si>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</si>
  <si>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</si>
  <si>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</si>
  <si>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</si>
  <si>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</si>
  <si>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</si>
  <si>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</si>
  <si>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</si>
  <si>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</si>
  <si>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</si>
  <si>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</si>
  <si>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</si>
  <si>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</si>
  <si>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</si>
  <si>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</si>
  <si>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</si>
  <si>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</si>
  <si>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</si>
  <si>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</si>
  <si>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</si>
  <si>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</si>
  <si>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</si>
  <si>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</si>
  <si>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</si>
  <si>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</si>
  <si>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</si>
  <si>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</si>
  <si>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</si>
  <si>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</si>
  <si>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</si>
  <si>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</si>
  <si>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</si>
  <si>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</si>
  <si>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</si>
  <si>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</si>
  <si>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</si>
  <si>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</si>
  <si>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</si>
  <si>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</si>
  <si>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</si>
  <si>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</si>
  <si>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</si>
  <si>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</si>
  <si>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</si>
  <si>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</si>
  <si>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</si>
  <si>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</si>
  <si>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</si>
  <si>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</si>
  <si>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</si>
  <si>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</si>
  <si>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</si>
  <si>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</si>
  <si>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</si>
  <si>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</si>
  <si>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</si>
  <si>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</si>
  <si>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</si>
  <si>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</si>
  <si>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</si>
  <si>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</si>
  <si>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</si>
  <si>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</si>
  <si>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</si>
  <si>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</si>
  <si>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</si>
  <si>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</si>
  <si>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</si>
  <si>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</si>
  <si>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</si>
  <si>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</si>
  <si>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</si>
  <si>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</si>
  <si>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</si>
  <si>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</si>
  <si>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</si>
  <si>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</si>
  <si>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</si>
  <si>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</si>
  <si>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</si>
  <si>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</si>
  <si>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</si>
  <si>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</si>
  <si>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</si>
  <si>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</si>
  <si>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</si>
  <si>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</si>
  <si>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</si>
  <si>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</si>
  <si>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</si>
  <si>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</si>
  <si>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</si>
  <si>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</si>
  <si>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</si>
  <si>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</si>
  <si>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</si>
  <si>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</si>
  <si>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</si>
  <si>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</si>
  <si>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</si>
  <si>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</si>
  <si>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</si>
  <si>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</si>
  <si>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</si>
  <si>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</si>
  <si>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</si>
  <si>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</si>
  <si>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</si>
  <si>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</si>
  <si>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</si>
  <si>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</si>
  <si>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</si>
  <si>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</si>
  <si>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</si>
  <si>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</si>
  <si>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</si>
  <si>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</si>
  <si>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</si>
  <si>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</si>
  <si>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</si>
  <si>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</si>
  <si>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</si>
  <si>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</si>
  <si>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</si>
  <si>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</si>
  <si>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</si>
  <si>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</si>
  <si>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</si>
  <si>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</si>
  <si>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</si>
  <si>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</si>
  <si>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</si>
  <si>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</si>
  <si>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</si>
  <si>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</si>
  <si>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</si>
  <si>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</si>
  <si>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</si>
  <si>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</si>
  <si>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</si>
  <si>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</si>
  <si>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</si>
  <si>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</si>
  <si>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</si>
  <si>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</si>
  <si>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</si>
  <si>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</si>
  <si>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</si>
  <si>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</si>
  <si>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</si>
  <si>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</si>
  <si>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</si>
  <si>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</si>
  <si>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</si>
  <si>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</si>
  <si>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</si>
  <si>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</si>
  <si>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</si>
  <si>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</si>
  <si>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</si>
  <si>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</si>
  <si>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</si>
  <si>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</si>
  <si>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</si>
  <si>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</si>
  <si>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</si>
  <si>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</si>
  <si>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</si>
  <si>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</si>
  <si>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</si>
  <si>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</si>
  <si>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</si>
  <si>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</si>
  <si>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</si>
  <si>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</si>
  <si>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</si>
  <si>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</si>
  <si>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</si>
  <si>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</si>
  <si>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</si>
  <si>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</si>
  <si>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</si>
  <si>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</si>
  <si>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</si>
  <si>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</si>
  <si>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</si>
  <si>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</si>
  <si>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</si>
  <si>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</si>
  <si>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</si>
  <si>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</si>
  <si>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</si>
  <si>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</si>
  <si>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</si>
  <si>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</si>
  <si>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</si>
  <si>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</si>
  <si>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</si>
  <si>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</si>
  <si>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</si>
  <si>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</si>
  <si>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</si>
  <si>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</si>
  <si>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</si>
  <si>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</si>
  <si>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</si>
  <si>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</si>
  <si>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</si>
  <si>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</si>
  <si>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</si>
  <si>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</si>
  <si>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</si>
  <si>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</si>
  <si>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</si>
  <si>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</si>
  <si>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</si>
  <si>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</si>
  <si>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</si>
  <si>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</si>
  <si>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</si>
  <si>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</si>
  <si>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</si>
  <si>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</si>
  <si>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</si>
  <si>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</si>
  <si>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</si>
  <si>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</si>
  <si>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</si>
  <si>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</si>
  <si>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</si>
  <si>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</si>
  <si>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</si>
  <si>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</si>
  <si>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</si>
  <si>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</si>
  <si>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</si>
  <si>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</si>
  <si>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</si>
  <si>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</si>
  <si>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</si>
  <si>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</si>
  <si>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</si>
  <si>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</si>
  <si>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</si>
  <si>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</si>
  <si>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</si>
  <si>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</si>
  <si>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</si>
  <si>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</si>
  <si>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</si>
  <si>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</si>
  <si>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</si>
  <si>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</si>
  <si>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</si>
  <si>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</si>
  <si>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</si>
  <si>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</si>
  <si>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</si>
  <si>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</si>
  <si>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</si>
  <si>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</si>
  <si>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</si>
  <si>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</si>
  <si>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</si>
  <si>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</si>
  <si>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</si>
  <si>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</si>
  <si>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</si>
  <si>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</si>
  <si>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</si>
  <si>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</si>
  <si>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</si>
  <si>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</si>
  <si>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</si>
  <si>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</si>
  <si>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</si>
  <si>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</si>
  <si>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</si>
  <si>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</si>
  <si>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</si>
  <si>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</si>
  <si>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</si>
  <si>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</si>
  <si>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</si>
  <si>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</si>
  <si>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</si>
  <si>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</si>
  <si>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</si>
  <si>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</si>
  <si>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</si>
  <si>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</si>
  <si>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</si>
  <si>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</si>
  <si>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</si>
  <si>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</si>
  <si>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</si>
  <si>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</si>
  <si>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</si>
  <si>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</si>
  <si>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</si>
  <si>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</si>
  <si>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</si>
  <si>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</si>
  <si>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</si>
  <si>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</si>
  <si>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</si>
  <si>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</si>
  <si>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</si>
  <si>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</si>
  <si>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</si>
  <si>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</si>
  <si>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</si>
  <si>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</si>
  <si>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</si>
  <si>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</si>
  <si>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</si>
  <si>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</si>
  <si>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</si>
  <si>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</si>
  <si>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</si>
  <si>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</si>
  <si>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</si>
  <si>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</si>
  <si>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</si>
  <si>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</si>
  <si>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</si>
  <si>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</si>
  <si>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</si>
  <si>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</si>
  <si>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</si>
  <si>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</si>
  <si>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</si>
  <si>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</si>
  <si>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</si>
  <si>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</si>
  <si>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</si>
  <si>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</si>
  <si>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</si>
  <si>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</si>
  <si>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</si>
  <si>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</si>
  <si>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</si>
  <si>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</si>
  <si>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</si>
  <si>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</si>
  <si>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</si>
  <si>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</si>
  <si>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</si>
  <si>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</si>
  <si>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</si>
  <si>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</si>
  <si>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</si>
  <si>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</si>
  <si>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</si>
  <si>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</si>
  <si>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</si>
  <si>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</si>
  <si>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</si>
  <si>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</si>
  <si>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</si>
  <si>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</si>
  <si>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</si>
  <si>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</si>
  <si>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</si>
  <si>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</si>
  <si>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</si>
  <si>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</si>
  <si>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</si>
  <si>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</si>
  <si>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</si>
  <si>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</si>
  <si>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</si>
  <si>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</si>
  <si>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</si>
  <si>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</si>
  <si>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</si>
  <si>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</si>
  <si>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</si>
  <si>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</si>
  <si>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</si>
  <si>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</si>
  <si>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</si>
  <si>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</si>
  <si>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</si>
  <si>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</si>
  <si>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</si>
  <si>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</si>
  <si>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</si>
  <si>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</si>
  <si>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</si>
  <si>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</si>
  <si>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</si>
  <si>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</si>
  <si>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</si>
  <si>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</si>
  <si>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</si>
  <si>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</si>
  <si>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</si>
  <si>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</si>
  <si>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</si>
  <si>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</si>
  <si>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</si>
  <si>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</si>
  <si>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</si>
  <si>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</si>
  <si>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</si>
  <si>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</si>
  <si>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</si>
  <si>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</si>
  <si>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</si>
  <si>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</si>
  <si>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</si>
  <si>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</si>
  <si>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</si>
  <si>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</si>
  <si>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</si>
  <si>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</si>
  <si>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</si>
  <si>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</si>
  <si>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</si>
  <si>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</si>
  <si>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</si>
  <si>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</si>
  <si>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</si>
  <si>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</si>
  <si>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</si>
  <si>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</si>
  <si>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</si>
  <si>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</si>
  <si>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</si>
  <si>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</si>
  <si>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</si>
  <si>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</si>
  <si>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</si>
  <si>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</si>
  <si>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</si>
  <si>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</si>
  <si>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</si>
  <si>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</si>
  <si>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</si>
  <si>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</si>
  <si>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</si>
  <si>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</si>
  <si>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</si>
  <si>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</si>
  <si>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</si>
  <si>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</si>
  <si>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</si>
  <si>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</si>
  <si>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</si>
  <si>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</si>
  <si>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</si>
  <si>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</si>
  <si>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</si>
  <si>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</si>
  <si>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</si>
  <si>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</si>
  <si>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</si>
  <si>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</si>
  <si>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</si>
  <si>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</si>
  <si>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</si>
  <si>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CHAMPAIGN</t>
  </si>
  <si>
    <t>512 W 1ST STREET</t>
  </si>
  <si>
    <t>HOMER</t>
  </si>
  <si>
    <t>Tom Davis</t>
  </si>
  <si>
    <t>tom.davis@heritage8.org</t>
  </si>
  <si>
    <t>217-896-2041</t>
  </si>
  <si>
    <t>217-896-2338</t>
  </si>
  <si>
    <t>Series 2016 GO Bonds</t>
  </si>
  <si>
    <t>2018 Taxable WCF Bonds</t>
  </si>
  <si>
    <t>Capital Lease/Purchase</t>
  </si>
  <si>
    <t>2019 Working Cash Bonds</t>
  </si>
  <si>
    <t>Capital Lease</t>
  </si>
  <si>
    <t>No applicable contracts paid in the current year</t>
  </si>
  <si>
    <t>Villa Grove School District #302 - Sports Co-op</t>
  </si>
  <si>
    <t>Education for Employment Services #330</t>
  </si>
  <si>
    <t>Rural Champaign County Special Education Co-op</t>
  </si>
  <si>
    <t>Page 2 - Auditor's Questionnaiew</t>
  </si>
  <si>
    <t>Part C - Other Issues</t>
  </si>
  <si>
    <t xml:space="preserve"> - Did not budget for On-Behalf Payments</t>
  </si>
  <si>
    <t xml:space="preserve"> - Over budget in the following Funds: Education, Debt Service, Transportation, &amp; Capital Projects</t>
  </si>
  <si>
    <t xml:space="preserve"> - Board approved transfers were not booked by District</t>
  </si>
  <si>
    <t xml:space="preserve"> - Deficit Cash in the Debt Service Fund</t>
  </si>
  <si>
    <t>Page 10 - Acct 1614 - Sales to Pupils - Other</t>
  </si>
  <si>
    <t>Col 10 - Educational</t>
  </si>
  <si>
    <t>Milk Sales - $3,239</t>
  </si>
  <si>
    <t>Page 7 - Acct 7990 - Other Sources not Classified Elsewhere</t>
  </si>
  <si>
    <t>Col 40 - Transportation</t>
  </si>
  <si>
    <t>Capital Lease Proceeds - $150,144</t>
  </si>
  <si>
    <t>Page 8 - Acct 8990 - Other Uses not Classified Elsewhere</t>
  </si>
  <si>
    <t>Col 70 - Working Cash</t>
  </si>
  <si>
    <t>Bond Issuance Costs - $20,000</t>
  </si>
  <si>
    <t>Page 11 - Acct 1999 - Other Local Revenue</t>
  </si>
  <si>
    <t>Refunds &amp; Reimbursements - $19,878</t>
  </si>
  <si>
    <t>Col 20 - Operations &amp; Maintenance</t>
  </si>
  <si>
    <t>Refunds &amp; Reimbursements - $549</t>
  </si>
  <si>
    <t>Refunds &amp; Reimbursements - $40,576</t>
  </si>
  <si>
    <t>Page 12 - Acct 3999 - Other Restricted Revenue from State Sources</t>
  </si>
  <si>
    <t>Library Grant - $1,500</t>
  </si>
  <si>
    <t>Page 14 - Acct 4998 - Other Restricted Revenue from Federal Sources</t>
  </si>
  <si>
    <t>REAP Grant - $33,201</t>
  </si>
  <si>
    <t>Page 18 - Funct 5400 - Debt Services - Other</t>
  </si>
  <si>
    <t>Other Objects - Bond Fees - $1,000</t>
  </si>
  <si>
    <t>AUDITCHECK Tab</t>
  </si>
  <si>
    <t>#8 - Long Term Debt retired and interest paid does not equal schedule of long term debt due to capital lease payments</t>
  </si>
  <si>
    <t>#13 - No contracts greater than $25,000 paid in the current year</t>
  </si>
  <si>
    <t>Series 2009 GO Bonds</t>
  </si>
  <si>
    <t xml:space="preserve"> Heritage 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</si>
</sst>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9010008026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2061</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2107</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2062</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60942</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2063</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v>65.018319000000005</v>
      </c>
      <c r="U23" s="2127"/>
      <c r="V23" s="2127"/>
      <c r="W23" s="2127"/>
      <c r="X23" s="2131">
        <v>44469</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61849</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2067</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2060</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97656893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2.4E-2</v>
      </c>
      <c r="E10" s="333" t="s">
        <v>998</v>
      </c>
      <c r="F10" s="332">
        <v>5.0000000000000001E-3</v>
      </c>
      <c r="G10" s="333" t="s">
        <v>998</v>
      </c>
      <c r="H10" s="332">
        <v>2E-3</v>
      </c>
      <c r="I10" s="333" t="s">
        <v>999</v>
      </c>
      <c r="J10" s="1424">
        <f>ROUND(D10+F10+H10,5)</f>
        <v>3.1E-2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4252505</v>
      </c>
      <c r="E16" s="1547"/>
      <c r="F16" s="1546">
        <f>SUM('Acct Summary 7-8'!C17,'Acct Summary 7-8'!D17,'Acct Summary 7-8'!F17)</f>
        <v>4917070</v>
      </c>
      <c r="G16" s="1547"/>
      <c r="H16" s="1546">
        <f>SUM(D16-F16)</f>
        <v>-664565</v>
      </c>
      <c r="I16" s="1548"/>
      <c r="J16" s="1546">
        <f>SUM('Acct Summary 7-8'!C81,'Acct Summary 7-8'!D81,'Acct Summary 7-8'!F81,'Acct Summary 7-8'!I81)</f>
        <v>3043937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13476651.234000001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4597131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Heritage SD 8</v>
      </c>
      <c r="E7" s="368"/>
      <c r="G7" s="247"/>
      <c r="H7" s="364"/>
      <c r="I7" s="364"/>
      <c r="J7" s="364"/>
      <c r="K7" s="364"/>
      <c r="L7" s="307"/>
      <c r="M7" s="307"/>
      <c r="N7" s="307"/>
      <c r="O7" s="307"/>
      <c r="P7" s="307"/>
    </row>
    <row r="8" spans="1:18" ht="12.75" x14ac:dyDescent="0.2">
      <c r="A8" s="307"/>
      <c r="B8" s="307"/>
      <c r="C8" s="366" t="s">
        <v>1115</v>
      </c>
      <c r="D8" s="369">
        <f>COVER!A13</f>
        <v>9010008026</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3043937</v>
      </c>
      <c r="I12" s="380"/>
      <c r="J12" s="380"/>
      <c r="K12" s="1559">
        <f>TRUNC((H12/H13*100000),5)/100000</f>
        <v>0.71579857040000006</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4252505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4917070</v>
      </c>
      <c r="I17" s="380"/>
      <c r="J17" s="389"/>
      <c r="K17" s="1559">
        <f>TRUNC((H17/H18*100000),5)/100000</f>
        <v>1.1562761242999999</v>
      </c>
      <c r="L17" s="381"/>
      <c r="M17" s="390" t="s">
        <v>1161</v>
      </c>
      <c r="O17" s="1565" t="str">
        <f>IF(AND(O16="2", J20 &gt; 2),"1",IF(AND(O16 = "1", J20 &gt; 2),"2",IF(AND(O16="1", J20 &gt;1),"1","0")))</f>
        <v>1</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4252505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3.9404520000000001</v>
      </c>
      <c r="K20" s="1559">
        <f>IF(K17&lt;=1,"0",IF(AND(O16="2", J20 &gt; 2),TRUNC(((K12-0.1)/(K17-1)*100),5)/100,IF(AND(O16 = "1", J20 &gt; 2),TRUNC(((K12-0.1)/(K17-1)*100),5)/100,IF(AND(O16="1", J20 &gt;1),TRUNC(((K12-0.1)/(K17-1)*100),5)/100,""))))</f>
        <v>3.9404520000000001</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3047479</v>
      </c>
      <c r="I24" s="394"/>
      <c r="J24" s="394"/>
      <c r="K24" s="1555">
        <f>TRUNC(((H24/H25*100000)/100000),2)</f>
        <v>223.11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13658.52778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2573259.1305499999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4597131</v>
      </c>
      <c r="I32" s="392"/>
      <c r="J32" s="392"/>
      <c r="K32" s="1555">
        <f>TRUNC(100-((((H32/H33*100))*100)/100),2)</f>
        <v>65.88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13476651.234000001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285380</v>
      </c>
      <c r="D4" s="1573">
        <v>676128</v>
      </c>
      <c r="E4" s="1573"/>
      <c r="F4" s="1573">
        <v>408464</v>
      </c>
      <c r="G4" s="1573">
        <v>166303</v>
      </c>
      <c r="H4" s="1573">
        <v>89883</v>
      </c>
      <c r="I4" s="1573">
        <v>1157507</v>
      </c>
      <c r="J4" s="1574">
        <v>417039</v>
      </c>
      <c r="K4" s="1573"/>
      <c r="L4" s="1573">
        <v>131256</v>
      </c>
      <c r="M4" s="1575"/>
      <c r="N4" s="1576"/>
    </row>
    <row r="5" spans="1:14" x14ac:dyDescent="0.2">
      <c r="A5" s="427" t="s">
        <v>985</v>
      </c>
      <c r="B5" s="429">
        <v>120</v>
      </c>
      <c r="C5" s="1572">
        <v>520000</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1514</v>
      </c>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806894</v>
      </c>
      <c r="D13" s="1587">
        <f t="shared" ref="D13:L13" si="0">SUM(D4:D12)</f>
        <v>676128</v>
      </c>
      <c r="E13" s="1587">
        <f t="shared" si="0"/>
        <v>0</v>
      </c>
      <c r="F13" s="1587">
        <f t="shared" si="0"/>
        <v>408464</v>
      </c>
      <c r="G13" s="1587">
        <f t="shared" si="0"/>
        <v>166303</v>
      </c>
      <c r="H13" s="1587">
        <f t="shared" si="0"/>
        <v>89883</v>
      </c>
      <c r="I13" s="1587">
        <f t="shared" si="0"/>
        <v>1157507</v>
      </c>
      <c r="J13" s="1587">
        <f t="shared" si="0"/>
        <v>417039</v>
      </c>
      <c r="K13" s="1587">
        <f t="shared" si="0"/>
        <v>0</v>
      </c>
      <c r="L13" s="1587">
        <f t="shared" si="0"/>
        <v>131256</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85250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9477737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1380298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4267182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4597131</v>
      </c>
    </row>
    <row r="23" spans="1:14" ht="13.5" customHeight="1" thickBot="1" x14ac:dyDescent="0.25">
      <c r="A23" s="1426" t="s">
        <v>638</v>
      </c>
      <c r="B23" s="1429"/>
      <c r="C23" s="1575"/>
      <c r="D23" s="1575"/>
      <c r="E23" s="1575"/>
      <c r="F23" s="1575"/>
      <c r="G23" s="1575"/>
      <c r="H23" s="1575"/>
      <c r="I23" s="1575"/>
      <c r="J23" s="1575"/>
      <c r="K23" s="1575"/>
      <c r="L23" s="1575"/>
      <c r="M23" s="1594">
        <f>SUM(M15:M22)</f>
        <v>15210467</v>
      </c>
      <c r="N23" s="1594">
        <f>SUM(N21:N22)</f>
        <v>4597131</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5056</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v>35492</v>
      </c>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131256</v>
      </c>
      <c r="M33" s="1575"/>
      <c r="N33" s="1576"/>
    </row>
    <row r="34" spans="1:14" ht="13.5" customHeight="1" thickBot="1" x14ac:dyDescent="0.25">
      <c r="A34" s="1427" t="s">
        <v>649</v>
      </c>
      <c r="B34" s="1428"/>
      <c r="C34" s="1600">
        <f>SUM(C25:C33)</f>
        <v>5056</v>
      </c>
      <c r="D34" s="1600">
        <f t="shared" ref="D34:K34" si="1">SUM(D25:D33)</f>
        <v>0</v>
      </c>
      <c r="E34" s="1600">
        <f t="shared" si="1"/>
        <v>35492</v>
      </c>
      <c r="F34" s="1600">
        <f t="shared" si="1"/>
        <v>0</v>
      </c>
      <c r="G34" s="1600">
        <f t="shared" si="1"/>
        <v>0</v>
      </c>
      <c r="H34" s="1600">
        <f t="shared" si="1"/>
        <v>0</v>
      </c>
      <c r="I34" s="1600">
        <f t="shared" si="1"/>
        <v>0</v>
      </c>
      <c r="J34" s="1600">
        <f t="shared" si="1"/>
        <v>0</v>
      </c>
      <c r="K34" s="1600">
        <f t="shared" si="1"/>
        <v>0</v>
      </c>
      <c r="L34" s="1601">
        <f>SUM(L33)</f>
        <v>131256</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4597131</v>
      </c>
    </row>
    <row r="37" spans="1:14" ht="13.5" thickBot="1" x14ac:dyDescent="0.25">
      <c r="A37" s="1426" t="s">
        <v>648</v>
      </c>
      <c r="B37" s="1429"/>
      <c r="C37" s="1582"/>
      <c r="D37" s="1582"/>
      <c r="E37" s="1582"/>
      <c r="F37" s="1582"/>
      <c r="G37" s="1582"/>
      <c r="H37" s="1582"/>
      <c r="I37" s="1582"/>
      <c r="J37" s="1582"/>
      <c r="K37" s="1582"/>
      <c r="L37" s="1585"/>
      <c r="M37" s="1575"/>
      <c r="N37" s="1594">
        <f>SUM(N36:N36)</f>
        <v>4597131</v>
      </c>
    </row>
    <row r="38" spans="1:14" s="307" customFormat="1" ht="13.5" customHeight="1" thickTop="1" x14ac:dyDescent="0.2">
      <c r="A38" s="438" t="s">
        <v>417</v>
      </c>
      <c r="B38" s="432">
        <v>714</v>
      </c>
      <c r="C38" s="1573"/>
      <c r="D38" s="1573">
        <v>50000</v>
      </c>
      <c r="E38" s="1573"/>
      <c r="F38" s="1573"/>
      <c r="G38" s="1573">
        <v>166303</v>
      </c>
      <c r="H38" s="1573"/>
      <c r="I38" s="1573"/>
      <c r="J38" s="1574"/>
      <c r="K38" s="1573"/>
      <c r="L38" s="1586"/>
      <c r="M38" s="1604"/>
      <c r="N38" s="1604"/>
    </row>
    <row r="39" spans="1:14" s="307" customFormat="1" ht="13.5" customHeight="1" x14ac:dyDescent="0.2">
      <c r="A39" s="438" t="s">
        <v>339</v>
      </c>
      <c r="B39" s="432">
        <v>730</v>
      </c>
      <c r="C39" s="1573">
        <v>801838</v>
      </c>
      <c r="D39" s="1573">
        <v>626128</v>
      </c>
      <c r="E39" s="1573">
        <v>-35492</v>
      </c>
      <c r="F39" s="1573">
        <v>408464</v>
      </c>
      <c r="G39" s="1573"/>
      <c r="H39" s="1573">
        <v>89883</v>
      </c>
      <c r="I39" s="1573">
        <v>1157507</v>
      </c>
      <c r="J39" s="1574">
        <v>417039</v>
      </c>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15210467</v>
      </c>
      <c r="N40" s="1604"/>
    </row>
    <row r="41" spans="1:14" ht="13.5" customHeight="1" thickBot="1" x14ac:dyDescent="0.25">
      <c r="A41" s="1426" t="s">
        <v>650</v>
      </c>
      <c r="B41" s="1405"/>
      <c r="C41" s="1594">
        <f>(SUM(C34,C37,C38,C39))</f>
        <v>806894</v>
      </c>
      <c r="D41" s="1594">
        <f t="shared" ref="D41:L41" si="2">SUM(D34,D37,D38:D39)</f>
        <v>676128</v>
      </c>
      <c r="E41" s="1594">
        <f t="shared" si="2"/>
        <v>0</v>
      </c>
      <c r="F41" s="1594">
        <f t="shared" si="2"/>
        <v>408464</v>
      </c>
      <c r="G41" s="1594">
        <f t="shared" si="2"/>
        <v>166303</v>
      </c>
      <c r="H41" s="1594">
        <f t="shared" si="2"/>
        <v>89883</v>
      </c>
      <c r="I41" s="1594">
        <f t="shared" si="2"/>
        <v>1157507</v>
      </c>
      <c r="J41" s="1594">
        <f t="shared" si="2"/>
        <v>417039</v>
      </c>
      <c r="K41" s="1594">
        <f t="shared" si="2"/>
        <v>0</v>
      </c>
      <c r="L41" s="1594">
        <f t="shared" si="2"/>
        <v>131256</v>
      </c>
      <c r="M41" s="1594">
        <f>SUM(M40)</f>
        <v>15210467</v>
      </c>
      <c r="N41" s="1594">
        <f>SUM(N37)</f>
        <v>4597131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2159240</v>
      </c>
      <c r="D4" s="1606">
        <f>'Revenues 9-14'!D109</f>
        <v>571672</v>
      </c>
      <c r="E4" s="1606">
        <f>'Revenues 9-14'!E109</f>
        <v>705251</v>
      </c>
      <c r="F4" s="1606">
        <f>'Revenues 9-14'!F109</f>
        <v>206281</v>
      </c>
      <c r="G4" s="1606">
        <f>'Revenues 9-14'!G109</f>
        <v>241213</v>
      </c>
      <c r="H4" s="1606">
        <f>'Revenues 9-14'!H109</f>
        <v>281402</v>
      </c>
      <c r="I4" s="1606">
        <f>'Revenues 9-14'!I109</f>
        <v>47899</v>
      </c>
      <c r="J4" s="1606">
        <f>'Revenues 9-14'!J109</f>
        <v>483755</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677901</v>
      </c>
      <c r="D6" s="1607">
        <f>'Revenues 9-14'!D170</f>
        <v>50000</v>
      </c>
      <c r="E6" s="1607">
        <f>'Revenues 9-14'!E170</f>
        <v>0</v>
      </c>
      <c r="F6" s="1607">
        <f>'Revenues 9-14'!F170</f>
        <v>150252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389260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3226401</v>
      </c>
      <c r="D8" s="1594">
        <f t="shared" ref="D8:K8" si="0">SUM(D4:D7)</f>
        <v>621672</v>
      </c>
      <c r="E8" s="1594">
        <f t="shared" si="0"/>
        <v>705251</v>
      </c>
      <c r="F8" s="1594">
        <f t="shared" si="0"/>
        <v>356533</v>
      </c>
      <c r="G8" s="1594">
        <f t="shared" si="0"/>
        <v>241213</v>
      </c>
      <c r="H8" s="1594">
        <f t="shared" si="0"/>
        <v>281402</v>
      </c>
      <c r="I8" s="1594">
        <f t="shared" si="0"/>
        <v>47899</v>
      </c>
      <c r="J8" s="1594">
        <f t="shared" si="0"/>
        <v>483755</v>
      </c>
      <c r="K8" s="1594">
        <f t="shared" si="0"/>
        <v>0</v>
      </c>
      <c r="L8" s="325"/>
    </row>
    <row r="9" spans="1:13" ht="15.75" thickTop="1" x14ac:dyDescent="0.2">
      <c r="A9" s="449" t="s">
        <v>1634</v>
      </c>
      <c r="B9" s="450">
        <v>3998</v>
      </c>
      <c r="C9" s="1586">
        <v>1821460</v>
      </c>
      <c r="D9" s="1613"/>
      <c r="E9" s="1586"/>
      <c r="F9" s="1586"/>
      <c r="G9" s="1614"/>
      <c r="H9" s="1586"/>
      <c r="I9" s="1609" t="s">
        <v>1159</v>
      </c>
      <c r="J9" s="1583"/>
      <c r="K9" s="1586"/>
      <c r="L9" s="325"/>
    </row>
    <row r="10" spans="1:13" s="452" customFormat="1" ht="13.5" thickBot="1" x14ac:dyDescent="0.25">
      <c r="A10" s="1426" t="s">
        <v>1163</v>
      </c>
      <c r="B10" s="1407"/>
      <c r="C10" s="1594">
        <f>SUM(C8:C9)</f>
        <v>5047861</v>
      </c>
      <c r="D10" s="1594">
        <f t="shared" ref="D10:K10" si="1">SUM(D8:D9)</f>
        <v>621672</v>
      </c>
      <c r="E10" s="1594">
        <f t="shared" si="1"/>
        <v>705251</v>
      </c>
      <c r="F10" s="1594">
        <f t="shared" si="1"/>
        <v>356533</v>
      </c>
      <c r="G10" s="1594">
        <f t="shared" si="1"/>
        <v>241213</v>
      </c>
      <c r="H10" s="1594">
        <f t="shared" si="1"/>
        <v>281402</v>
      </c>
      <c r="I10" s="1594">
        <f t="shared" si="1"/>
        <v>47899</v>
      </c>
      <c r="J10" s="1594">
        <f t="shared" si="1"/>
        <v>483755</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2797368</v>
      </c>
      <c r="D12" s="1616" t="s">
        <v>1159</v>
      </c>
      <c r="E12" s="1575" t="s">
        <v>1159</v>
      </c>
      <c r="F12" s="1575" t="s">
        <v>1159</v>
      </c>
      <c r="G12" s="1606">
        <f>'Expenditures 15-22'!K229</f>
        <v>47377</v>
      </c>
      <c r="H12" s="1617"/>
      <c r="I12" s="1575" t="s">
        <v>1159</v>
      </c>
      <c r="J12" s="1575" t="s">
        <v>1159</v>
      </c>
      <c r="K12" s="1617" t="s">
        <v>1159</v>
      </c>
      <c r="L12" s="325"/>
    </row>
    <row r="13" spans="1:13" ht="15.75" customHeight="1" x14ac:dyDescent="0.2">
      <c r="A13" s="1314" t="s">
        <v>454</v>
      </c>
      <c r="B13" s="1316">
        <v>2000</v>
      </c>
      <c r="C13" s="1607">
        <f>'Expenditures 15-22'!K74</f>
        <v>940499</v>
      </c>
      <c r="D13" s="1607">
        <f>'Expenditures 15-22'!K129</f>
        <v>527657</v>
      </c>
      <c r="E13" s="1576" t="s">
        <v>1159</v>
      </c>
      <c r="F13" s="1607">
        <f>'Expenditures 15-22'!K184</f>
        <v>424359</v>
      </c>
      <c r="G13" s="1607">
        <f>'Expenditures 15-22'!K279</f>
        <v>178243</v>
      </c>
      <c r="H13" s="1607">
        <f>'Expenditures 15-22'!K303</f>
        <v>682143</v>
      </c>
      <c r="I13" s="1575" t="s">
        <v>1159</v>
      </c>
      <c r="J13" s="1607">
        <f>'Expenditures 15-22'!K330</f>
        <v>585111</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193860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800689</v>
      </c>
      <c r="F16" s="1607">
        <f>'Expenditures 15-22'!K208</f>
        <v>33327</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3931727</v>
      </c>
      <c r="D17" s="1594">
        <f t="shared" si="2"/>
        <v>527657</v>
      </c>
      <c r="E17" s="1594">
        <f t="shared" si="2"/>
        <v>800689</v>
      </c>
      <c r="F17" s="1594">
        <f t="shared" si="2"/>
        <v>457686</v>
      </c>
      <c r="G17" s="1594">
        <f t="shared" si="2"/>
        <v>225620</v>
      </c>
      <c r="H17" s="1594">
        <f t="shared" si="2"/>
        <v>682143</v>
      </c>
      <c r="I17" s="1575"/>
      <c r="J17" s="1594">
        <f>SUM(J12:J16)</f>
        <v>585111</v>
      </c>
      <c r="K17" s="1594">
        <f>SUM(K12:K16)</f>
        <v>0</v>
      </c>
      <c r="L17" s="325"/>
    </row>
    <row r="18" spans="1:12" ht="15" customHeight="1" thickTop="1" x14ac:dyDescent="0.2">
      <c r="A18" s="1430" t="s">
        <v>1635</v>
      </c>
      <c r="B18" s="1431">
        <v>4180</v>
      </c>
      <c r="C18" s="1606">
        <f t="shared" ref="C18:H18" si="3">C9</f>
        <v>1821460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5753187</v>
      </c>
      <c r="D19" s="1594">
        <f t="shared" si="4"/>
        <v>527657</v>
      </c>
      <c r="E19" s="1594">
        <f t="shared" si="4"/>
        <v>800689</v>
      </c>
      <c r="F19" s="1594">
        <f t="shared" si="4"/>
        <v>457686</v>
      </c>
      <c r="G19" s="1594">
        <f t="shared" si="4"/>
        <v>225620</v>
      </c>
      <c r="H19" s="1594">
        <f t="shared" si="4"/>
        <v>682143</v>
      </c>
      <c r="I19" s="1575"/>
      <c r="J19" s="1594">
        <f>SUM(J17:J18)</f>
        <v>585111</v>
      </c>
      <c r="K19" s="1594">
        <f>SUM(K17:K18)</f>
        <v>0</v>
      </c>
      <c r="L19" s="325"/>
    </row>
    <row r="20" spans="1:12" ht="16.5" thickTop="1" thickBot="1" x14ac:dyDescent="0.25">
      <c r="A20" s="2231" t="s">
        <v>1636</v>
      </c>
      <c r="B20" s="2232"/>
      <c r="C20" s="1622">
        <f>C8-C17</f>
        <v>-705326</v>
      </c>
      <c r="D20" s="1622">
        <f t="shared" ref="D20:K20" si="5">D8-D17</f>
        <v>94015</v>
      </c>
      <c r="E20" s="1622">
        <f t="shared" si="5"/>
        <v>-95438</v>
      </c>
      <c r="F20" s="1622">
        <f t="shared" si="5"/>
        <v>-101153</v>
      </c>
      <c r="G20" s="1622">
        <f t="shared" si="5"/>
        <v>15593</v>
      </c>
      <c r="H20" s="1622">
        <f t="shared" si="5"/>
        <v>-400741</v>
      </c>
      <c r="I20" s="1622">
        <f t="shared" si="5"/>
        <v>47899</v>
      </c>
      <c r="J20" s="1622">
        <f t="shared" si="5"/>
        <v>-101356</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786985</v>
      </c>
      <c r="D25" s="1574"/>
      <c r="E25" s="1574"/>
      <c r="F25" s="1574">
        <v>75000</v>
      </c>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520000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v>150144</v>
      </c>
      <c r="G43" s="1574"/>
      <c r="H43" s="1574"/>
      <c r="I43" s="1574"/>
      <c r="J43" s="1574"/>
      <c r="K43" s="1574"/>
      <c r="L43" s="453"/>
    </row>
    <row r="44" spans="1:12" s="433" customFormat="1" ht="13.5" customHeight="1" thickBot="1" x14ac:dyDescent="0.25">
      <c r="A44" s="2245" t="s">
        <v>371</v>
      </c>
      <c r="B44" s="2246"/>
      <c r="C44" s="1624">
        <f>SUM(C24:C43)</f>
        <v>786985</v>
      </c>
      <c r="D44" s="1624">
        <f t="shared" ref="D44:K44" si="6">SUM(D24:D43)</f>
        <v>0</v>
      </c>
      <c r="E44" s="1624">
        <f t="shared" si="6"/>
        <v>0</v>
      </c>
      <c r="F44" s="1624">
        <f t="shared" si="6"/>
        <v>225144</v>
      </c>
      <c r="G44" s="1624">
        <f t="shared" si="6"/>
        <v>0</v>
      </c>
      <c r="H44" s="1624">
        <f t="shared" si="6"/>
        <v>0</v>
      </c>
      <c r="I44" s="1624">
        <f t="shared" si="6"/>
        <v>520000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861985</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20000</v>
      </c>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881985</v>
      </c>
      <c r="J76" s="1624">
        <f t="shared" si="7"/>
        <v>0</v>
      </c>
      <c r="K76" s="1624">
        <f t="shared" si="7"/>
        <v>0</v>
      </c>
      <c r="L76" s="453"/>
    </row>
    <row r="77" spans="1:12" ht="14.25" thickTop="1" thickBot="1" x14ac:dyDescent="0.25">
      <c r="A77" s="2223" t="s">
        <v>1167</v>
      </c>
      <c r="B77" s="2224"/>
      <c r="C77" s="1624">
        <f t="shared" ref="C77:K77" si="8">C44-C76</f>
        <v>786985</v>
      </c>
      <c r="D77" s="1624">
        <f t="shared" si="8"/>
        <v>0</v>
      </c>
      <c r="E77" s="1624">
        <f t="shared" si="8"/>
        <v>0</v>
      </c>
      <c r="F77" s="1624">
        <f t="shared" si="8"/>
        <v>225144</v>
      </c>
      <c r="G77" s="1624">
        <f t="shared" si="8"/>
        <v>0</v>
      </c>
      <c r="H77" s="1624">
        <f t="shared" si="8"/>
        <v>0</v>
      </c>
      <c r="I77" s="1624">
        <f t="shared" si="8"/>
        <v>-361985</v>
      </c>
      <c r="J77" s="1624">
        <f t="shared" si="8"/>
        <v>0</v>
      </c>
      <c r="K77" s="1624">
        <f t="shared" si="8"/>
        <v>0</v>
      </c>
      <c r="L77" s="325"/>
    </row>
    <row r="78" spans="1:12" ht="21.75" customHeight="1" thickTop="1" thickBot="1" x14ac:dyDescent="0.25">
      <c r="A78" s="2227" t="s">
        <v>593</v>
      </c>
      <c r="B78" s="2228"/>
      <c r="C78" s="1629">
        <f t="shared" ref="C78:K78" si="9">C20+C77</f>
        <v>81659</v>
      </c>
      <c r="D78" s="1629">
        <f t="shared" si="9"/>
        <v>94015</v>
      </c>
      <c r="E78" s="1629">
        <f t="shared" si="9"/>
        <v>-95438</v>
      </c>
      <c r="F78" s="1629">
        <f t="shared" si="9"/>
        <v>123991</v>
      </c>
      <c r="G78" s="1629">
        <f t="shared" si="9"/>
        <v>15593</v>
      </c>
      <c r="H78" s="1629">
        <f t="shared" si="9"/>
        <v>-400741</v>
      </c>
      <c r="I78" s="1629">
        <f t="shared" si="9"/>
        <v>-314086</v>
      </c>
      <c r="J78" s="1629">
        <f t="shared" si="9"/>
        <v>-101356</v>
      </c>
      <c r="K78" s="1629">
        <f t="shared" si="9"/>
        <v>0</v>
      </c>
      <c r="L78" s="457"/>
    </row>
    <row r="79" spans="1:12" ht="13.5" thickTop="1" x14ac:dyDescent="0.2">
      <c r="A79" s="1844" t="str">
        <f>"Fund Balances - July 1, "&amp;'AFR20'!E2-1</f>
        <v>Fund Balances - July 1, 2019</v>
      </c>
      <c r="B79" s="458"/>
      <c r="C79" s="1583">
        <v>720179</v>
      </c>
      <c r="D79" s="1630">
        <v>582113</v>
      </c>
      <c r="E79" s="1630">
        <v>59946</v>
      </c>
      <c r="F79" s="1630">
        <v>284473</v>
      </c>
      <c r="G79" s="1630">
        <v>150710</v>
      </c>
      <c r="H79" s="1630">
        <v>490624</v>
      </c>
      <c r="I79" s="1630">
        <v>1471593</v>
      </c>
      <c r="J79" s="1630">
        <v>518395</v>
      </c>
      <c r="K79" s="1630"/>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801838</v>
      </c>
      <c r="D81" s="1594">
        <f>SUM(D78:D80)</f>
        <v>676128</v>
      </c>
      <c r="E81" s="1594">
        <f t="shared" ref="E81:K81" si="10">SUM(E78:E80)</f>
        <v>-35492</v>
      </c>
      <c r="F81" s="1594">
        <f t="shared" si="10"/>
        <v>408464</v>
      </c>
      <c r="G81" s="1594">
        <f t="shared" si="10"/>
        <v>166303</v>
      </c>
      <c r="H81" s="1594">
        <f t="shared" si="10"/>
        <v>89883</v>
      </c>
      <c r="I81" s="1594">
        <f t="shared" si="10"/>
        <v>1157507</v>
      </c>
      <c r="J81" s="1594">
        <f t="shared" si="10"/>
        <v>417039</v>
      </c>
      <c r="K81" s="1594">
        <f t="shared" si="10"/>
        <v>0</v>
      </c>
      <c r="L81" s="325"/>
    </row>
    <row r="82" spans="1:12" ht="0.75" customHeight="1" thickTop="1" thickBot="1" x14ac:dyDescent="0.25">
      <c r="A82" s="459" t="s">
        <v>340</v>
      </c>
      <c r="B82" s="460"/>
      <c r="C82" s="461">
        <f>(C81-C79)</f>
        <v>81659</v>
      </c>
      <c r="D82" s="461">
        <f t="shared" ref="D82:K82" si="11">(D81-D79)</f>
        <v>94015</v>
      </c>
      <c r="E82" s="461">
        <f t="shared" si="11"/>
        <v>-95438</v>
      </c>
      <c r="F82" s="461">
        <f t="shared" si="11"/>
        <v>123991</v>
      </c>
      <c r="G82" s="461">
        <f t="shared" si="11"/>
        <v>15593</v>
      </c>
      <c r="H82" s="461">
        <f t="shared" si="11"/>
        <v>-400741</v>
      </c>
      <c r="I82" s="461">
        <f t="shared" si="11"/>
        <v>-314086</v>
      </c>
      <c r="J82" s="461">
        <f t="shared" si="11"/>
        <v>-101356</v>
      </c>
      <c r="K82" s="461">
        <f t="shared" si="11"/>
        <v>0</v>
      </c>
    </row>
    <row r="83" spans="1:12" ht="14.25" hidden="1" thickTop="1" thickBot="1" x14ac:dyDescent="0.25">
      <c r="A83" s="462" t="s">
        <v>341</v>
      </c>
      <c r="B83" s="428"/>
      <c r="C83" s="463">
        <f>C82/C81</f>
        <v>0.10183977312125392</v>
      </c>
      <c r="D83" s="463">
        <f t="shared" ref="D83:K83" si="12">D82/D81</f>
        <v>0.13904911496048086</v>
      </c>
      <c r="E83" s="463">
        <f t="shared" si="12"/>
        <v>2.6890003381043615</v>
      </c>
      <c r="F83" s="463">
        <f t="shared" si="12"/>
        <v>0.30355429119824512</v>
      </c>
      <c r="G83" s="463">
        <f t="shared" si="12"/>
        <v>9.3762589971317409E-2</v>
      </c>
      <c r="H83" s="463">
        <f t="shared" si="12"/>
        <v>-4.4584737937096</v>
      </c>
      <c r="I83" s="463">
        <f t="shared" si="12"/>
        <v>-0.27134695513720436</v>
      </c>
      <c r="J83" s="463">
        <f t="shared" si="12"/>
        <v>-0.24303722193847577</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1972684</v>
      </c>
      <c r="D5" s="1586">
        <v>411018</v>
      </c>
      <c r="E5" s="1573">
        <v>704723</v>
      </c>
      <c r="F5" s="1631">
        <v>164419</v>
      </c>
      <c r="G5" s="1573">
        <v>118193</v>
      </c>
      <c r="H5" s="1573"/>
      <c r="I5" s="1573">
        <v>41151</v>
      </c>
      <c r="J5" s="1574">
        <v>481445</v>
      </c>
      <c r="K5" s="1573"/>
    </row>
    <row r="6" spans="1:12" ht="15" x14ac:dyDescent="0.2">
      <c r="A6" s="427" t="s">
        <v>1643</v>
      </c>
      <c r="B6" s="429">
        <v>1130</v>
      </c>
      <c r="C6" s="1573">
        <v>41151</v>
      </c>
      <c r="D6" s="1573"/>
      <c r="E6" s="1580"/>
      <c r="F6" s="1580"/>
      <c r="G6" s="1575"/>
      <c r="H6" s="1575"/>
      <c r="I6" s="1575"/>
      <c r="J6" s="1575"/>
      <c r="K6" s="1575"/>
    </row>
    <row r="7" spans="1:12" x14ac:dyDescent="0.2">
      <c r="A7" s="427" t="s">
        <v>110</v>
      </c>
      <c r="B7" s="471">
        <v>1140</v>
      </c>
      <c r="C7" s="1573">
        <v>32896</v>
      </c>
      <c r="D7" s="1573"/>
      <c r="E7" s="1575"/>
      <c r="F7" s="1574"/>
      <c r="G7" s="1574"/>
      <c r="H7" s="1574"/>
      <c r="I7" s="1575"/>
      <c r="J7" s="1575"/>
      <c r="K7" s="1575"/>
    </row>
    <row r="8" spans="1:12" x14ac:dyDescent="0.2">
      <c r="A8" s="427" t="s">
        <v>410</v>
      </c>
      <c r="B8" s="429">
        <v>1150</v>
      </c>
      <c r="C8" s="1580"/>
      <c r="D8" s="1580"/>
      <c r="E8" s="1582"/>
      <c r="F8" s="1582"/>
      <c r="G8" s="1586">
        <v>118193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2046731</v>
      </c>
      <c r="D12" s="1633">
        <f t="shared" si="0"/>
        <v>411018</v>
      </c>
      <c r="E12" s="1633">
        <f t="shared" si="0"/>
        <v>704723</v>
      </c>
      <c r="F12" s="1633">
        <f t="shared" si="0"/>
        <v>164419</v>
      </c>
      <c r="G12" s="1633">
        <f t="shared" si="0"/>
        <v>236386</v>
      </c>
      <c r="H12" s="1633">
        <f t="shared" si="0"/>
        <v>0</v>
      </c>
      <c r="I12" s="1633">
        <f t="shared" si="0"/>
        <v>41151</v>
      </c>
      <c r="J12" s="1633">
        <f t="shared" si="0"/>
        <v>481445</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v>132268</v>
      </c>
      <c r="E16" s="1573"/>
      <c r="F16" s="1573"/>
      <c r="G16" s="1573">
        <v>3698</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132268</v>
      </c>
      <c r="E18" s="1635">
        <f t="shared" si="1"/>
        <v>0</v>
      </c>
      <c r="F18" s="1635">
        <f t="shared" si="1"/>
        <v>0</v>
      </c>
      <c r="G18" s="1635">
        <f t="shared" si="1"/>
        <v>3698</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3232</v>
      </c>
      <c r="D65" s="1573">
        <v>2837</v>
      </c>
      <c r="E65" s="1573">
        <v>528</v>
      </c>
      <c r="F65" s="1574">
        <v>1286</v>
      </c>
      <c r="G65" s="1573">
        <v>1129</v>
      </c>
      <c r="H65" s="1573">
        <v>381</v>
      </c>
      <c r="I65" s="1573">
        <v>6748</v>
      </c>
      <c r="J65" s="1574">
        <v>2310</v>
      </c>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3232</v>
      </c>
      <c r="D67" s="1594">
        <f t="shared" ref="D67:K67" si="2">SUM(D65:D66)</f>
        <v>2837</v>
      </c>
      <c r="E67" s="1594">
        <f t="shared" si="2"/>
        <v>528</v>
      </c>
      <c r="F67" s="1594">
        <f t="shared" si="2"/>
        <v>1286</v>
      </c>
      <c r="G67" s="1594">
        <f t="shared" si="2"/>
        <v>1129</v>
      </c>
      <c r="H67" s="1594">
        <f t="shared" si="2"/>
        <v>381</v>
      </c>
      <c r="I67" s="1594">
        <f t="shared" si="2"/>
        <v>6748</v>
      </c>
      <c r="J67" s="1594">
        <f t="shared" si="2"/>
        <v>2310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28853</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3239</v>
      </c>
      <c r="D72" s="1575"/>
      <c r="E72" s="1575"/>
      <c r="F72" s="1575"/>
      <c r="G72" s="1575"/>
      <c r="H72" s="1575"/>
      <c r="I72" s="1575"/>
      <c r="J72" s="1575"/>
      <c r="K72" s="1575"/>
    </row>
    <row r="73" spans="1:11" ht="12.75" customHeight="1" x14ac:dyDescent="0.2">
      <c r="A73" s="427" t="s">
        <v>991</v>
      </c>
      <c r="B73" s="429">
        <v>1620</v>
      </c>
      <c r="C73" s="1632">
        <v>1527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33619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12313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4040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16353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15916</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15916</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19320</v>
      </c>
      <c r="D98" s="1573"/>
      <c r="E98" s="1612"/>
      <c r="F98" s="1573"/>
      <c r="G98" s="1612"/>
      <c r="H98" s="1612"/>
      <c r="I98" s="1610"/>
      <c r="J98" s="1612"/>
      <c r="K98" s="1612"/>
    </row>
    <row r="99" spans="1:12" ht="12.75" customHeight="1" x14ac:dyDescent="0.2">
      <c r="A99" s="427" t="s">
        <v>816</v>
      </c>
      <c r="B99" s="429">
        <v>1950</v>
      </c>
      <c r="C99" s="1598">
        <v>1323</v>
      </c>
      <c r="D99" s="1573"/>
      <c r="E99" s="1573"/>
      <c r="F99" s="1573"/>
      <c r="G99" s="1573"/>
      <c r="H99" s="1573"/>
      <c r="I99" s="1575"/>
      <c r="J99" s="1574"/>
      <c r="K99" s="1573"/>
    </row>
    <row r="100" spans="1:12" ht="12.75" customHeight="1" x14ac:dyDescent="0.2">
      <c r="A100" s="427" t="s">
        <v>243</v>
      </c>
      <c r="B100" s="429">
        <v>1960</v>
      </c>
      <c r="C100" s="1598"/>
      <c r="D100" s="1598">
        <v>25000</v>
      </c>
      <c r="E100" s="1598"/>
      <c r="F100" s="1598"/>
      <c r="G100" s="1598"/>
      <c r="H100" s="1598"/>
      <c r="I100" s="1574"/>
      <c r="J100" s="1598"/>
      <c r="K100" s="1574"/>
    </row>
    <row r="101" spans="1:12" ht="12.75" customHeight="1" x14ac:dyDescent="0.2">
      <c r="A101" s="427" t="s">
        <v>244</v>
      </c>
      <c r="B101" s="429">
        <v>1970</v>
      </c>
      <c r="C101" s="1598">
        <v>2868</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281021</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19878</v>
      </c>
      <c r="D107" s="1573">
        <v>549</v>
      </c>
      <c r="E107" s="1573"/>
      <c r="F107" s="1573">
        <v>40576</v>
      </c>
      <c r="G107" s="1573"/>
      <c r="H107" s="1573"/>
      <c r="I107" s="1573"/>
      <c r="J107" s="1574"/>
      <c r="K107" s="1573"/>
    </row>
    <row r="108" spans="1:12" ht="12.75" customHeight="1" thickBot="1" x14ac:dyDescent="0.25">
      <c r="A108" s="1406" t="s">
        <v>484</v>
      </c>
      <c r="B108" s="1408"/>
      <c r="C108" s="1633">
        <f>SUM(C95:C107)</f>
        <v>43389</v>
      </c>
      <c r="D108" s="1633">
        <f t="shared" ref="D108:K108" si="3">SUM(D95:D107)</f>
        <v>25549</v>
      </c>
      <c r="E108" s="1633">
        <f t="shared" si="3"/>
        <v>0</v>
      </c>
      <c r="F108" s="1633">
        <f t="shared" si="3"/>
        <v>40576</v>
      </c>
      <c r="G108" s="1633">
        <f t="shared" si="3"/>
        <v>0</v>
      </c>
      <c r="H108" s="1633">
        <f t="shared" si="3"/>
        <v>281021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2159240</v>
      </c>
      <c r="D109" s="1641">
        <f t="shared" si="4"/>
        <v>571672</v>
      </c>
      <c r="E109" s="1641">
        <f t="shared" si="4"/>
        <v>705251</v>
      </c>
      <c r="F109" s="1641">
        <f t="shared" si="4"/>
        <v>206281</v>
      </c>
      <c r="G109" s="1641">
        <f t="shared" si="4"/>
        <v>241213</v>
      </c>
      <c r="H109" s="1641">
        <f t="shared" si="4"/>
        <v>281402</v>
      </c>
      <c r="I109" s="1641">
        <f t="shared" si="4"/>
        <v>47899</v>
      </c>
      <c r="J109" s="1641">
        <f t="shared" si="4"/>
        <v>483755</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637943</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637943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20494</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20494</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2348</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10224</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12572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1063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4329</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128812</v>
      </c>
      <c r="G152" s="1574"/>
      <c r="H152" s="1575"/>
      <c r="I152" s="1575"/>
      <c r="J152" s="1575"/>
      <c r="K152" s="1575"/>
    </row>
    <row r="153" spans="1:11" ht="12.75" customHeight="1" x14ac:dyDescent="0.2">
      <c r="A153" s="427" t="s">
        <v>1048</v>
      </c>
      <c r="B153" s="478">
        <v>3510</v>
      </c>
      <c r="C153" s="1632"/>
      <c r="D153" s="1573"/>
      <c r="E153" s="1640"/>
      <c r="F153" s="1573">
        <v>21440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150252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1500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39958</v>
      </c>
      <c r="D169" s="1658">
        <f t="shared" si="6"/>
        <v>50000</v>
      </c>
      <c r="E169" s="1658">
        <f t="shared" si="6"/>
        <v>0</v>
      </c>
      <c r="F169" s="1658">
        <f t="shared" si="6"/>
        <v>150252</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677901</v>
      </c>
      <c r="D170" s="1641">
        <f t="shared" si="7"/>
        <v>50000</v>
      </c>
      <c r="E170" s="1641">
        <f t="shared" si="7"/>
        <v>0</v>
      </c>
      <c r="F170" s="1641">
        <f t="shared" si="7"/>
        <v>150252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55545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15234</v>
      </c>
      <c r="D193" s="1575"/>
      <c r="E193" s="1640"/>
      <c r="F193" s="1575"/>
      <c r="G193" s="1664"/>
      <c r="H193" s="1575"/>
      <c r="I193" s="1575"/>
      <c r="J193" s="1575"/>
      <c r="K193" s="1575"/>
    </row>
    <row r="194" spans="1:11" ht="12.75" customHeight="1" x14ac:dyDescent="0.2">
      <c r="A194" s="427" t="s">
        <v>1434</v>
      </c>
      <c r="B194" s="429">
        <v>4225</v>
      </c>
      <c r="C194" s="1632">
        <v>22637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93416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110156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110156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20572</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20572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6304</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93398</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99702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15267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3590</v>
      </c>
      <c r="D263" s="1651"/>
      <c r="E263" s="1575"/>
      <c r="F263" s="1651"/>
      <c r="G263" s="1651"/>
      <c r="H263" s="1575"/>
      <c r="I263" s="1575"/>
      <c r="J263" s="1575"/>
      <c r="K263" s="1575"/>
    </row>
    <row r="264" spans="1:11" ht="12.75" customHeight="1" thickTop="1" thickBot="1" x14ac:dyDescent="0.25">
      <c r="A264" s="427" t="s">
        <v>374</v>
      </c>
      <c r="B264" s="429">
        <v>4992</v>
      </c>
      <c r="C264" s="1650">
        <v>13356</v>
      </c>
      <c r="D264" s="1651"/>
      <c r="E264" s="1575"/>
      <c r="F264" s="1651"/>
      <c r="G264" s="1651"/>
      <c r="H264" s="1575"/>
      <c r="I264" s="1575"/>
      <c r="J264" s="1575"/>
      <c r="K264" s="1575"/>
    </row>
    <row r="265" spans="1:11" s="489" customFormat="1" ht="12.75" customHeight="1" thickTop="1" thickBot="1" x14ac:dyDescent="0.25">
      <c r="A265" s="479" t="s">
        <v>75</v>
      </c>
      <c r="B265" s="475">
        <v>4998</v>
      </c>
      <c r="C265" s="1650">
        <v>33201</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389260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389260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3226401</v>
      </c>
      <c r="D268" s="1641">
        <f t="shared" si="12"/>
        <v>621672</v>
      </c>
      <c r="E268" s="1641">
        <f t="shared" si="12"/>
        <v>705251</v>
      </c>
      <c r="F268" s="1641">
        <f t="shared" si="12"/>
        <v>356533</v>
      </c>
      <c r="G268" s="1641">
        <f t="shared" si="12"/>
        <v>241213</v>
      </c>
      <c r="H268" s="1641">
        <f t="shared" si="12"/>
        <v>281402</v>
      </c>
      <c r="I268" s="1641">
        <f t="shared" si="12"/>
        <v>47899</v>
      </c>
      <c r="J268" s="1641">
        <f t="shared" si="12"/>
        <v>483755</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1576557</v>
      </c>
      <c r="D5" s="1573">
        <v>216725</v>
      </c>
      <c r="E5" s="1573">
        <v>60689</v>
      </c>
      <c r="F5" s="1573">
        <v>217382</v>
      </c>
      <c r="G5" s="1573">
        <v>139505</v>
      </c>
      <c r="H5" s="1573">
        <v>3992</v>
      </c>
      <c r="I5" s="1574">
        <v>8891</v>
      </c>
      <c r="J5" s="1574"/>
      <c r="K5" s="1672">
        <f>SUM(C5:J5)</f>
        <v>2223741</v>
      </c>
      <c r="L5" s="1573">
        <v>1972620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210826</v>
      </c>
      <c r="D8" s="1573">
        <v>22497</v>
      </c>
      <c r="E8" s="1573">
        <v>3881</v>
      </c>
      <c r="F8" s="1573">
        <v>5238</v>
      </c>
      <c r="G8" s="1573"/>
      <c r="H8" s="1573"/>
      <c r="I8" s="1574"/>
      <c r="J8" s="1574"/>
      <c r="K8" s="1672">
        <f t="shared" si="0"/>
        <v>242442</v>
      </c>
      <c r="L8" s="1573">
        <v>228900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87472</v>
      </c>
      <c r="D10" s="1573">
        <v>17342</v>
      </c>
      <c r="E10" s="1573"/>
      <c r="F10" s="1573">
        <v>194</v>
      </c>
      <c r="G10" s="1573"/>
      <c r="H10" s="1573"/>
      <c r="I10" s="1574"/>
      <c r="J10" s="1574"/>
      <c r="K10" s="1672">
        <f t="shared" si="0"/>
        <v>105008</v>
      </c>
      <c r="L10" s="1573">
        <v>86200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56555</v>
      </c>
      <c r="D14" s="1573">
        <v>2172</v>
      </c>
      <c r="E14" s="1573">
        <v>100745</v>
      </c>
      <c r="F14" s="1573">
        <v>35549</v>
      </c>
      <c r="G14" s="1573"/>
      <c r="H14" s="1573"/>
      <c r="I14" s="1574"/>
      <c r="J14" s="1574"/>
      <c r="K14" s="1672">
        <f t="shared" si="0"/>
        <v>195021</v>
      </c>
      <c r="L14" s="1573">
        <v>139600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20713</v>
      </c>
      <c r="D17" s="1574">
        <v>2453</v>
      </c>
      <c r="E17" s="1574">
        <v>6977</v>
      </c>
      <c r="F17" s="1574">
        <v>504</v>
      </c>
      <c r="G17" s="1574"/>
      <c r="H17" s="1574"/>
      <c r="I17" s="1574"/>
      <c r="J17" s="1574"/>
      <c r="K17" s="1672">
        <f t="shared" si="0"/>
        <v>30647</v>
      </c>
      <c r="L17" s="1573">
        <v>28300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509</v>
      </c>
      <c r="I22" s="1673"/>
      <c r="J22" s="1582"/>
      <c r="K22" s="1672">
        <f t="shared" si="0"/>
        <v>509</v>
      </c>
      <c r="L22" s="1577">
        <v>1000</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1952123</v>
      </c>
      <c r="D33" s="1674">
        <f t="shared" ref="D33:L33" si="1">SUM(D5:D32)</f>
        <v>261189</v>
      </c>
      <c r="E33" s="1674">
        <f t="shared" si="1"/>
        <v>172292</v>
      </c>
      <c r="F33" s="1674">
        <f t="shared" si="1"/>
        <v>258867</v>
      </c>
      <c r="G33" s="1674">
        <f t="shared" si="1"/>
        <v>139505</v>
      </c>
      <c r="H33" s="1674">
        <f t="shared" si="1"/>
        <v>4501</v>
      </c>
      <c r="I33" s="1674">
        <f t="shared" si="1"/>
        <v>8891</v>
      </c>
      <c r="J33" s="1674">
        <f t="shared" si="1"/>
        <v>0</v>
      </c>
      <c r="K33" s="1674">
        <f t="shared" si="1"/>
        <v>2797368</v>
      </c>
      <c r="L33" s="1674">
        <f t="shared" si="1"/>
        <v>2456620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57259</v>
      </c>
      <c r="D37" s="1573">
        <v>6810</v>
      </c>
      <c r="E37" s="1573">
        <v>660</v>
      </c>
      <c r="F37" s="1573">
        <v>1042</v>
      </c>
      <c r="G37" s="1573"/>
      <c r="H37" s="1573"/>
      <c r="I37" s="1574"/>
      <c r="J37" s="1574"/>
      <c r="K37" s="1672">
        <f t="shared" si="2"/>
        <v>65771</v>
      </c>
      <c r="L37" s="1573">
        <v>68650</v>
      </c>
    </row>
    <row r="38" spans="1:14" x14ac:dyDescent="0.2">
      <c r="A38" s="1274" t="s">
        <v>196</v>
      </c>
      <c r="B38" s="503">
        <v>2130</v>
      </c>
      <c r="C38" s="1573">
        <v>19800</v>
      </c>
      <c r="D38" s="1573">
        <v>3911</v>
      </c>
      <c r="E38" s="1573">
        <v>327</v>
      </c>
      <c r="F38" s="1573">
        <v>314</v>
      </c>
      <c r="G38" s="1573"/>
      <c r="H38" s="1573"/>
      <c r="I38" s="1574"/>
      <c r="J38" s="1574"/>
      <c r="K38" s="1672">
        <f t="shared" si="2"/>
        <v>24352</v>
      </c>
      <c r="L38" s="1573">
        <v>30250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102889</v>
      </c>
      <c r="F40" s="1573"/>
      <c r="G40" s="1573"/>
      <c r="H40" s="1573"/>
      <c r="I40" s="1574"/>
      <c r="J40" s="1574"/>
      <c r="K40" s="1672">
        <f t="shared" si="2"/>
        <v>102889</v>
      </c>
      <c r="L40" s="1573">
        <v>93000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77059</v>
      </c>
      <c r="D42" s="1674">
        <f t="shared" ref="D42:L42" si="3">SUM(D36:D41)</f>
        <v>10721</v>
      </c>
      <c r="E42" s="1674">
        <f t="shared" si="3"/>
        <v>103876</v>
      </c>
      <c r="F42" s="1674">
        <f t="shared" si="3"/>
        <v>1356</v>
      </c>
      <c r="G42" s="1674">
        <f t="shared" si="3"/>
        <v>0</v>
      </c>
      <c r="H42" s="1674">
        <f t="shared" si="3"/>
        <v>0</v>
      </c>
      <c r="I42" s="1674">
        <f t="shared" si="3"/>
        <v>0</v>
      </c>
      <c r="J42" s="1674">
        <f t="shared" si="3"/>
        <v>0</v>
      </c>
      <c r="K42" s="1674">
        <f t="shared" si="3"/>
        <v>193012</v>
      </c>
      <c r="L42" s="1674">
        <f t="shared" si="3"/>
        <v>191900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13728</v>
      </c>
      <c r="D44" s="1586">
        <v>187</v>
      </c>
      <c r="E44" s="1586">
        <v>4223</v>
      </c>
      <c r="F44" s="1586"/>
      <c r="G44" s="1586"/>
      <c r="H44" s="1586"/>
      <c r="I44" s="1574"/>
      <c r="J44" s="1574"/>
      <c r="K44" s="1678">
        <f>SUM(C44:J44)</f>
        <v>18138</v>
      </c>
      <c r="L44" s="1586">
        <v>51740</v>
      </c>
    </row>
    <row r="45" spans="1:14" x14ac:dyDescent="0.2">
      <c r="A45" s="1274" t="s">
        <v>810</v>
      </c>
      <c r="B45" s="503">
        <v>2220</v>
      </c>
      <c r="C45" s="1573">
        <v>23302</v>
      </c>
      <c r="D45" s="1573">
        <v>3063</v>
      </c>
      <c r="E45" s="1573">
        <v>2058</v>
      </c>
      <c r="F45" s="1573">
        <v>3163</v>
      </c>
      <c r="G45" s="1573"/>
      <c r="H45" s="1573"/>
      <c r="I45" s="1574"/>
      <c r="J45" s="1574"/>
      <c r="K45" s="1678">
        <f>SUM(C45:J45)</f>
        <v>31586</v>
      </c>
      <c r="L45" s="1573">
        <v>34960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37030</v>
      </c>
      <c r="D47" s="1674">
        <f t="shared" ref="D47:K47" si="4">SUM(D44:D46)</f>
        <v>3250</v>
      </c>
      <c r="E47" s="1674">
        <f t="shared" si="4"/>
        <v>6281</v>
      </c>
      <c r="F47" s="1674">
        <f t="shared" si="4"/>
        <v>3163</v>
      </c>
      <c r="G47" s="1674">
        <f t="shared" si="4"/>
        <v>0</v>
      </c>
      <c r="H47" s="1674">
        <f t="shared" si="4"/>
        <v>0</v>
      </c>
      <c r="I47" s="1674">
        <f t="shared" si="4"/>
        <v>0</v>
      </c>
      <c r="J47" s="1674">
        <f t="shared" si="4"/>
        <v>0</v>
      </c>
      <c r="K47" s="1674">
        <f t="shared" si="4"/>
        <v>49724</v>
      </c>
      <c r="L47" s="1674">
        <f>SUM(L44:L46)</f>
        <v>86700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2874</v>
      </c>
      <c r="D49" s="1586"/>
      <c r="E49" s="1586">
        <v>6477</v>
      </c>
      <c r="F49" s="1586">
        <v>1373</v>
      </c>
      <c r="G49" s="1586"/>
      <c r="H49" s="1586">
        <v>3797</v>
      </c>
      <c r="I49" s="1574"/>
      <c r="J49" s="1574"/>
      <c r="K49" s="1678">
        <f>SUM(C49:J49)</f>
        <v>14521</v>
      </c>
      <c r="L49" s="1586">
        <v>19150</v>
      </c>
    </row>
    <row r="50" spans="1:14" x14ac:dyDescent="0.2">
      <c r="A50" s="1274" t="s">
        <v>813</v>
      </c>
      <c r="B50" s="503">
        <v>2320</v>
      </c>
      <c r="C50" s="1573">
        <v>100622</v>
      </c>
      <c r="D50" s="1573">
        <v>20141</v>
      </c>
      <c r="E50" s="1573">
        <v>6534</v>
      </c>
      <c r="F50" s="1573"/>
      <c r="G50" s="1573"/>
      <c r="H50" s="1573">
        <v>930</v>
      </c>
      <c r="I50" s="1574"/>
      <c r="J50" s="1574"/>
      <c r="K50" s="1678">
        <f>SUM(C50:J50)</f>
        <v>128227</v>
      </c>
      <c r="L50" s="1573">
        <v>126750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103496</v>
      </c>
      <c r="D53" s="1674">
        <f t="shared" ref="D53:L53" si="5">SUM(D49:D52)</f>
        <v>20141</v>
      </c>
      <c r="E53" s="1674">
        <f t="shared" si="5"/>
        <v>13011</v>
      </c>
      <c r="F53" s="1674">
        <f t="shared" si="5"/>
        <v>1373</v>
      </c>
      <c r="G53" s="1674">
        <f t="shared" si="5"/>
        <v>0</v>
      </c>
      <c r="H53" s="1674">
        <f t="shared" si="5"/>
        <v>4727</v>
      </c>
      <c r="I53" s="1674">
        <f t="shared" si="5"/>
        <v>0</v>
      </c>
      <c r="J53" s="1674">
        <f t="shared" si="5"/>
        <v>0</v>
      </c>
      <c r="K53" s="1674">
        <f t="shared" si="5"/>
        <v>142748</v>
      </c>
      <c r="L53" s="1674">
        <f t="shared" si="5"/>
        <v>145900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260003</v>
      </c>
      <c r="D55" s="1586">
        <v>39962</v>
      </c>
      <c r="E55" s="1586">
        <v>10697</v>
      </c>
      <c r="F55" s="1586">
        <v>8577</v>
      </c>
      <c r="G55" s="1586"/>
      <c r="H55" s="1586">
        <v>716</v>
      </c>
      <c r="I55" s="1574">
        <v>738</v>
      </c>
      <c r="J55" s="1574"/>
      <c r="K55" s="1678">
        <f>SUM(C55:J55)</f>
        <v>320693</v>
      </c>
      <c r="L55" s="1586">
        <v>309300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260003</v>
      </c>
      <c r="D57" s="1679">
        <f t="shared" ref="D57:K57" si="6">SUM(D55:D56)</f>
        <v>39962</v>
      </c>
      <c r="E57" s="1679">
        <f t="shared" si="6"/>
        <v>10697</v>
      </c>
      <c r="F57" s="1679">
        <f t="shared" si="6"/>
        <v>8577</v>
      </c>
      <c r="G57" s="1679">
        <f t="shared" si="6"/>
        <v>0</v>
      </c>
      <c r="H57" s="1679">
        <f t="shared" si="6"/>
        <v>716</v>
      </c>
      <c r="I57" s="1679">
        <f t="shared" si="6"/>
        <v>738</v>
      </c>
      <c r="J57" s="1679">
        <f t="shared" si="6"/>
        <v>0</v>
      </c>
      <c r="K57" s="1679">
        <f t="shared" si="6"/>
        <v>320693</v>
      </c>
      <c r="L57" s="1674">
        <f>SUM(L55:L56)</f>
        <v>309300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57616</v>
      </c>
      <c r="D60" s="1573">
        <v>7711</v>
      </c>
      <c r="E60" s="1573">
        <v>18380</v>
      </c>
      <c r="F60" s="1573">
        <v>1951</v>
      </c>
      <c r="G60" s="1573"/>
      <c r="H60" s="1573">
        <v>200</v>
      </c>
      <c r="I60" s="1574"/>
      <c r="J60" s="1574"/>
      <c r="K60" s="1678">
        <f t="shared" si="7"/>
        <v>85858</v>
      </c>
      <c r="L60" s="1573">
        <v>102650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70991</v>
      </c>
      <c r="D63" s="1573">
        <v>15049</v>
      </c>
      <c r="E63" s="1573">
        <v>3075</v>
      </c>
      <c r="F63" s="1573">
        <v>58417</v>
      </c>
      <c r="G63" s="1573"/>
      <c r="H63" s="1573"/>
      <c r="I63" s="1574"/>
      <c r="J63" s="1574"/>
      <c r="K63" s="1678">
        <f t="shared" si="7"/>
        <v>147532</v>
      </c>
      <c r="L63" s="1573">
        <v>175050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128607</v>
      </c>
      <c r="D65" s="1674">
        <f t="shared" ref="D65:L65" si="8">SUM(D59:D64)</f>
        <v>22760</v>
      </c>
      <c r="E65" s="1674">
        <f t="shared" si="8"/>
        <v>21455</v>
      </c>
      <c r="F65" s="1674">
        <f t="shared" si="8"/>
        <v>60368</v>
      </c>
      <c r="G65" s="1674">
        <f t="shared" si="8"/>
        <v>0</v>
      </c>
      <c r="H65" s="1674">
        <f t="shared" si="8"/>
        <v>200</v>
      </c>
      <c r="I65" s="1674">
        <f t="shared" si="8"/>
        <v>0</v>
      </c>
      <c r="J65" s="1674">
        <f t="shared" si="8"/>
        <v>0</v>
      </c>
      <c r="K65" s="1674">
        <f t="shared" si="8"/>
        <v>233390</v>
      </c>
      <c r="L65" s="1674">
        <f t="shared" si="8"/>
        <v>277700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932</v>
      </c>
      <c r="F69" s="1573"/>
      <c r="G69" s="1573"/>
      <c r="H69" s="1573"/>
      <c r="I69" s="1574"/>
      <c r="J69" s="1574"/>
      <c r="K69" s="1678">
        <f>SUM(C69:J69)</f>
        <v>932</v>
      </c>
      <c r="L69" s="1573">
        <v>5000</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932</v>
      </c>
      <c r="F72" s="1674">
        <f t="shared" si="9"/>
        <v>0</v>
      </c>
      <c r="G72" s="1674">
        <f t="shared" si="9"/>
        <v>0</v>
      </c>
      <c r="H72" s="1674">
        <f t="shared" si="9"/>
        <v>0</v>
      </c>
      <c r="I72" s="1674">
        <f t="shared" si="9"/>
        <v>0</v>
      </c>
      <c r="J72" s="1674">
        <f t="shared" si="9"/>
        <v>0</v>
      </c>
      <c r="K72" s="1674">
        <f t="shared" si="9"/>
        <v>932</v>
      </c>
      <c r="L72" s="1674">
        <f>SUM(L67:L71)</f>
        <v>5000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606195</v>
      </c>
      <c r="D74" s="1681">
        <f t="shared" ref="D74:K74" si="10">SUM(D42,D47,D53,D57,D65,D72,D73)</f>
        <v>96834</v>
      </c>
      <c r="E74" s="1681">
        <f t="shared" si="10"/>
        <v>156252</v>
      </c>
      <c r="F74" s="1681">
        <f t="shared" si="10"/>
        <v>74837</v>
      </c>
      <c r="G74" s="1681">
        <f t="shared" si="10"/>
        <v>0</v>
      </c>
      <c r="H74" s="1681">
        <f t="shared" si="10"/>
        <v>5643</v>
      </c>
      <c r="I74" s="1681">
        <f t="shared" si="10"/>
        <v>738</v>
      </c>
      <c r="J74" s="1681">
        <f t="shared" si="10"/>
        <v>0</v>
      </c>
      <c r="K74" s="1681">
        <f t="shared" si="10"/>
        <v>940499</v>
      </c>
      <c r="L74" s="1681">
        <f>SUM(L42,L47,L53,L57,L65,L72,L73)</f>
        <v>1016500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134620</v>
      </c>
      <c r="I85" s="1582"/>
      <c r="J85" s="1582"/>
      <c r="K85" s="1681">
        <f>H85</f>
        <v>134620</v>
      </c>
      <c r="L85" s="1626"/>
    </row>
    <row r="86" spans="1:12" ht="12.75" customHeight="1" thickTop="1" thickBot="1" x14ac:dyDescent="0.25">
      <c r="A86" s="1282" t="s">
        <v>694</v>
      </c>
      <c r="B86" s="518">
        <v>4220</v>
      </c>
      <c r="C86" s="1673"/>
      <c r="D86" s="1673"/>
      <c r="E86" s="1684"/>
      <c r="F86" s="1673"/>
      <c r="G86" s="1673"/>
      <c r="H86" s="1574">
        <v>58683</v>
      </c>
      <c r="I86" s="1582"/>
      <c r="J86" s="1582"/>
      <c r="K86" s="1681">
        <f t="shared" ref="K86:K98" si="12">H86</f>
        <v>58683</v>
      </c>
      <c r="L86" s="1626">
        <v>55000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557</v>
      </c>
      <c r="I88" s="1582"/>
      <c r="J88" s="1582"/>
      <c r="K88" s="1681">
        <f t="shared" si="12"/>
        <v>557</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193860</v>
      </c>
      <c r="I92" s="1582"/>
      <c r="J92" s="1582"/>
      <c r="K92" s="1681">
        <f t="shared" si="12"/>
        <v>193860</v>
      </c>
      <c r="L92" s="1674">
        <f>SUM(L85:L91)</f>
        <v>55000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193860</v>
      </c>
      <c r="I102" s="1582"/>
      <c r="J102" s="1582"/>
      <c r="K102" s="1681">
        <f>SUM(K84,K92,K100,K101)</f>
        <v>193860</v>
      </c>
      <c r="L102" s="1681">
        <f>SUM(L84,L92,L100,L101)</f>
        <v>55000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2558318</v>
      </c>
      <c r="D114" s="1674">
        <f t="shared" ref="D114:K114" si="13">SUM(D33,D74,D75,D102,D112,D113)</f>
        <v>358023</v>
      </c>
      <c r="E114" s="1674">
        <f t="shared" si="13"/>
        <v>328544</v>
      </c>
      <c r="F114" s="1674">
        <f t="shared" si="13"/>
        <v>333704</v>
      </c>
      <c r="G114" s="1674">
        <f t="shared" si="13"/>
        <v>139505</v>
      </c>
      <c r="H114" s="1674">
        <f>SUM(H33,H74,H75,H102,H112,H113)</f>
        <v>204004</v>
      </c>
      <c r="I114" s="1674">
        <f t="shared" si="13"/>
        <v>9629</v>
      </c>
      <c r="J114" s="1674">
        <f t="shared" si="13"/>
        <v>0</v>
      </c>
      <c r="K114" s="1674">
        <f t="shared" si="13"/>
        <v>3931727</v>
      </c>
      <c r="L114" s="1674">
        <f>SUM(L33,L74,L75,L102,L112,L113)</f>
        <v>3528120</v>
      </c>
    </row>
    <row r="115" spans="1:14" ht="13.5" thickTop="1" x14ac:dyDescent="0.2">
      <c r="A115" s="2261" t="s">
        <v>989</v>
      </c>
      <c r="B115" s="2262"/>
      <c r="C115" s="1675"/>
      <c r="D115" s="1675"/>
      <c r="E115" s="1675"/>
      <c r="F115" s="1675"/>
      <c r="G115" s="1675"/>
      <c r="H115" s="1675"/>
      <c r="I115" s="1675"/>
      <c r="J115" s="1675"/>
      <c r="K115" s="1689">
        <f>'Revenues 9-14'!C268-'Expenditures 15-22'!K114</f>
        <v>-705326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234460</v>
      </c>
      <c r="D124" s="1573">
        <v>31175</v>
      </c>
      <c r="E124" s="1573">
        <v>76048</v>
      </c>
      <c r="F124" s="1573">
        <v>169051</v>
      </c>
      <c r="G124" s="1573">
        <v>11600</v>
      </c>
      <c r="H124" s="1573"/>
      <c r="I124" s="1574">
        <v>5323</v>
      </c>
      <c r="J124" s="1574"/>
      <c r="K124" s="1674">
        <f>SUM(C124:J124)</f>
        <v>527657</v>
      </c>
      <c r="L124" s="1573">
        <v>584100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234460</v>
      </c>
      <c r="D127" s="1674">
        <f t="shared" ref="D127:L127" si="14">SUM(D122:D126)</f>
        <v>31175</v>
      </c>
      <c r="E127" s="1674">
        <f t="shared" si="14"/>
        <v>76048</v>
      </c>
      <c r="F127" s="1674">
        <f t="shared" si="14"/>
        <v>169051</v>
      </c>
      <c r="G127" s="1674">
        <f t="shared" si="14"/>
        <v>11600</v>
      </c>
      <c r="H127" s="1674">
        <f t="shared" si="14"/>
        <v>0</v>
      </c>
      <c r="I127" s="1674">
        <f t="shared" si="14"/>
        <v>5323</v>
      </c>
      <c r="J127" s="1674">
        <f t="shared" si="14"/>
        <v>0</v>
      </c>
      <c r="K127" s="1674">
        <f t="shared" si="14"/>
        <v>527657</v>
      </c>
      <c r="L127" s="1674">
        <f t="shared" si="14"/>
        <v>584100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234460</v>
      </c>
      <c r="D129" s="1681">
        <f t="shared" ref="D129:L129" si="15">SUM(D120,D127,D128)</f>
        <v>31175</v>
      </c>
      <c r="E129" s="1681">
        <f t="shared" si="15"/>
        <v>76048</v>
      </c>
      <c r="F129" s="1681">
        <f t="shared" si="15"/>
        <v>169051</v>
      </c>
      <c r="G129" s="1681">
        <f t="shared" si="15"/>
        <v>11600</v>
      </c>
      <c r="H129" s="1681">
        <f t="shared" si="15"/>
        <v>0</v>
      </c>
      <c r="I129" s="1681">
        <f t="shared" si="15"/>
        <v>5323</v>
      </c>
      <c r="J129" s="1681">
        <f t="shared" si="15"/>
        <v>0</v>
      </c>
      <c r="K129" s="1681">
        <f t="shared" si="15"/>
        <v>527657</v>
      </c>
      <c r="L129" s="1681">
        <f t="shared" si="15"/>
        <v>584100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234460</v>
      </c>
      <c r="D151" s="1674">
        <f t="shared" ref="D151:K151" si="16">SUM(D129,D130,D139,D149,D150)</f>
        <v>31175</v>
      </c>
      <c r="E151" s="1674">
        <f t="shared" si="16"/>
        <v>76048</v>
      </c>
      <c r="F151" s="1674">
        <f t="shared" si="16"/>
        <v>169051</v>
      </c>
      <c r="G151" s="1674">
        <f t="shared" si="16"/>
        <v>11600</v>
      </c>
      <c r="H151" s="1674">
        <f t="shared" si="16"/>
        <v>0</v>
      </c>
      <c r="I151" s="1674">
        <f t="shared" si="16"/>
        <v>5323</v>
      </c>
      <c r="J151" s="1674">
        <f t="shared" si="16"/>
        <v>0</v>
      </c>
      <c r="K151" s="1674">
        <f t="shared" si="16"/>
        <v>527657</v>
      </c>
      <c r="L151" s="1674">
        <f>SUM(L129,L130,L139,L149,L150)</f>
        <v>584100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94015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101000</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101000</v>
      </c>
    </row>
    <row r="169" spans="1:14" ht="15.75" customHeight="1" thickTop="1" x14ac:dyDescent="0.2">
      <c r="A169" s="543" t="s">
        <v>83</v>
      </c>
      <c r="B169" s="544" t="s">
        <v>38</v>
      </c>
      <c r="C169" s="1673"/>
      <c r="D169" s="1673"/>
      <c r="E169" s="1673"/>
      <c r="F169" s="1673"/>
      <c r="G169" s="1673"/>
      <c r="H169" s="1695">
        <v>79689</v>
      </c>
      <c r="I169" s="1673"/>
      <c r="J169" s="1673"/>
      <c r="K169" s="1672">
        <f>SUM(C169:H169)</f>
        <v>79689</v>
      </c>
      <c r="L169" s="1695">
        <v>71000</v>
      </c>
    </row>
    <row r="170" spans="1:14" ht="33.75" customHeight="1" x14ac:dyDescent="0.2">
      <c r="A170" s="543" t="s">
        <v>1651</v>
      </c>
      <c r="B170" s="545" t="s">
        <v>31</v>
      </c>
      <c r="C170" s="1673"/>
      <c r="D170" s="1673"/>
      <c r="E170" s="1673"/>
      <c r="F170" s="1673"/>
      <c r="G170" s="1673"/>
      <c r="H170" s="1646">
        <v>720000</v>
      </c>
      <c r="I170" s="1673"/>
      <c r="J170" s="1673"/>
      <c r="K170" s="1672">
        <f>SUM(C170:J170)</f>
        <v>720000</v>
      </c>
      <c r="L170" s="1646"/>
    </row>
    <row r="171" spans="1:14" ht="15.75" customHeight="1" x14ac:dyDescent="0.2">
      <c r="A171" s="507" t="s">
        <v>761</v>
      </c>
      <c r="B171" s="546" t="s">
        <v>84</v>
      </c>
      <c r="C171" s="1673"/>
      <c r="D171" s="1673"/>
      <c r="E171" s="1573"/>
      <c r="F171" s="1673"/>
      <c r="G171" s="1673"/>
      <c r="H171" s="1646">
        <v>1000</v>
      </c>
      <c r="I171" s="1582"/>
      <c r="J171" s="1673"/>
      <c r="K171" s="1672">
        <f>SUM(C171:J171)</f>
        <v>1000</v>
      </c>
      <c r="L171" s="1646"/>
    </row>
    <row r="172" spans="1:14" ht="12.75" customHeight="1" thickBot="1" x14ac:dyDescent="0.25">
      <c r="A172" s="1380" t="s">
        <v>633</v>
      </c>
      <c r="B172" s="1381" t="s">
        <v>489</v>
      </c>
      <c r="C172" s="1673"/>
      <c r="D172" s="1673"/>
      <c r="E172" s="1681">
        <f>SUM(E168,E169,E170,E171)</f>
        <v>0</v>
      </c>
      <c r="F172" s="1673"/>
      <c r="G172" s="1673"/>
      <c r="H172" s="1681">
        <f>SUM(H168,H169,H170,H171)</f>
        <v>800689</v>
      </c>
      <c r="I172" s="1684"/>
      <c r="J172" s="1673"/>
      <c r="K172" s="1681">
        <f>SUM(K168,K169,K170,K171)</f>
        <v>800689</v>
      </c>
      <c r="L172" s="1681">
        <f>SUM(L168,L169,L170,L171)</f>
        <v>172000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800689</v>
      </c>
      <c r="I174" s="1684"/>
      <c r="J174" s="1673"/>
      <c r="K174" s="1681">
        <f>SUM(K160,K172,K173)</f>
        <v>800689</v>
      </c>
      <c r="L174" s="1681">
        <f>SUM(L160,L172,L173)</f>
        <v>172000</v>
      </c>
    </row>
    <row r="175" spans="1:14" ht="13.5" thickTop="1" x14ac:dyDescent="0.2">
      <c r="A175" s="2261" t="s">
        <v>989</v>
      </c>
      <c r="B175" s="2262"/>
      <c r="C175" s="1673"/>
      <c r="D175" s="1673"/>
      <c r="E175" s="1673"/>
      <c r="F175" s="1673"/>
      <c r="G175" s="1673"/>
      <c r="H175" s="1675"/>
      <c r="I175" s="1673"/>
      <c r="J175" s="1673"/>
      <c r="K175" s="1689">
        <f>'Revenues 9-14'!E268-'Expenditures 15-22'!K174</f>
        <v>-95438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156174</v>
      </c>
      <c r="D182" s="1573">
        <v>29742</v>
      </c>
      <c r="E182" s="1573">
        <v>33567</v>
      </c>
      <c r="F182" s="1573">
        <v>49028</v>
      </c>
      <c r="G182" s="1573">
        <v>154909</v>
      </c>
      <c r="H182" s="1573">
        <v>939</v>
      </c>
      <c r="I182" s="1574"/>
      <c r="J182" s="1574"/>
      <c r="K182" s="1672">
        <f>SUM(C182:J182)</f>
        <v>424359</v>
      </c>
      <c r="L182" s="1573">
        <v>367500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156174</v>
      </c>
      <c r="D184" s="1681">
        <f t="shared" ref="D184:J184" si="17">SUM(D180,D182,D183)</f>
        <v>29742</v>
      </c>
      <c r="E184" s="1681">
        <f t="shared" si="17"/>
        <v>33567</v>
      </c>
      <c r="F184" s="1681">
        <f t="shared" si="17"/>
        <v>49028</v>
      </c>
      <c r="G184" s="1681">
        <f t="shared" si="17"/>
        <v>154909</v>
      </c>
      <c r="H184" s="1681">
        <f t="shared" si="17"/>
        <v>939</v>
      </c>
      <c r="I184" s="1681">
        <f t="shared" si="17"/>
        <v>0</v>
      </c>
      <c r="J184" s="1681">
        <f t="shared" si="17"/>
        <v>0</v>
      </c>
      <c r="K184" s="1681">
        <f>SUM(K180,K182,K183)</f>
        <v>424359</v>
      </c>
      <c r="L184" s="1681">
        <f>SUM(L180, L182:L183)</f>
        <v>367500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314</v>
      </c>
      <c r="I205" s="1673"/>
      <c r="J205" s="1673"/>
      <c r="K205" s="1696">
        <f>SUM(H205)</f>
        <v>314</v>
      </c>
      <c r="L205" s="1630"/>
    </row>
    <row r="206" spans="1:14" ht="30" customHeight="1" x14ac:dyDescent="0.2">
      <c r="A206" s="555" t="s">
        <v>1652</v>
      </c>
      <c r="B206" s="546" t="s">
        <v>31</v>
      </c>
      <c r="C206" s="1673"/>
      <c r="D206" s="1673"/>
      <c r="E206" s="1673"/>
      <c r="F206" s="1673"/>
      <c r="G206" s="1673"/>
      <c r="H206" s="1573">
        <v>33013</v>
      </c>
      <c r="I206" s="1673"/>
      <c r="J206" s="1673"/>
      <c r="K206" s="1672">
        <f>SUM(H206)</f>
        <v>33013</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33327</v>
      </c>
      <c r="I208" s="1673"/>
      <c r="J208" s="1673"/>
      <c r="K208" s="1681">
        <f>SUM(K204,K205,K206,K207)</f>
        <v>33327</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156174</v>
      </c>
      <c r="D210" s="1674">
        <f>SUM(D184,D185)</f>
        <v>29742</v>
      </c>
      <c r="E210" s="1674">
        <f>SUM(E184,E185,E196)</f>
        <v>33567</v>
      </c>
      <c r="F210" s="1674">
        <f>SUM(F184,F185)</f>
        <v>49028</v>
      </c>
      <c r="G210" s="1674">
        <f>SUM(G184,G185)</f>
        <v>154909</v>
      </c>
      <c r="H210" s="1674">
        <f>SUM(H184,H185,H196,H208,H209)</f>
        <v>34266</v>
      </c>
      <c r="I210" s="1674">
        <f>SUM(I184,I185)</f>
        <v>0</v>
      </c>
      <c r="J210" s="1674">
        <f>SUM(J184,J185)</f>
        <v>0</v>
      </c>
      <c r="K210" s="1672">
        <f>SUM(K184,K185,K196,K208,K209)</f>
        <v>457686</v>
      </c>
      <c r="L210" s="1674">
        <f>SUM(L184,L185,L196,L208,L209)</f>
        <v>367500</v>
      </c>
    </row>
    <row r="211" spans="1:14" ht="13.5" thickTop="1" x14ac:dyDescent="0.2">
      <c r="A211" s="2261" t="s">
        <v>989</v>
      </c>
      <c r="B211" s="2262"/>
      <c r="C211" s="1675"/>
      <c r="D211" s="1675"/>
      <c r="E211" s="1675"/>
      <c r="F211" s="1675"/>
      <c r="G211" s="1675"/>
      <c r="H211" s="1675"/>
      <c r="I211" s="1673"/>
      <c r="J211" s="1673"/>
      <c r="K211" s="1689">
        <f>'Revenues 9-14'!F268-'Expenditures 15-22'!K210</f>
        <v>-101153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33980</v>
      </c>
      <c r="E215" s="1673"/>
      <c r="F215" s="1673"/>
      <c r="G215" s="1673"/>
      <c r="H215" s="1673"/>
      <c r="I215" s="1673"/>
      <c r="J215" s="1673"/>
      <c r="K215" s="1672">
        <f>D215</f>
        <v>33980</v>
      </c>
      <c r="L215" s="1573">
        <v>40000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5360</v>
      </c>
      <c r="E217" s="1673"/>
      <c r="F217" s="1673"/>
      <c r="G217" s="1673"/>
      <c r="H217" s="1673"/>
      <c r="I217" s="1673"/>
      <c r="J217" s="1673"/>
      <c r="K217" s="1672">
        <f t="shared" si="19"/>
        <v>5360</v>
      </c>
      <c r="L217" s="1573">
        <v>7000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4847</v>
      </c>
      <c r="E219" s="1673"/>
      <c r="F219" s="1673"/>
      <c r="G219" s="1673"/>
      <c r="H219" s="1673"/>
      <c r="I219" s="1673"/>
      <c r="J219" s="1673"/>
      <c r="K219" s="1672">
        <f t="shared" si="19"/>
        <v>4847</v>
      </c>
      <c r="L219" s="1573">
        <v>4100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2957</v>
      </c>
      <c r="E223" s="1673"/>
      <c r="F223" s="1673"/>
      <c r="G223" s="1673"/>
      <c r="H223" s="1673"/>
      <c r="I223" s="1673"/>
      <c r="J223" s="1673"/>
      <c r="K223" s="1672">
        <f t="shared" si="19"/>
        <v>2957</v>
      </c>
      <c r="L223" s="1573">
        <v>6000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233</v>
      </c>
      <c r="E226" s="1673"/>
      <c r="F226" s="1673"/>
      <c r="G226" s="1673"/>
      <c r="H226" s="1673"/>
      <c r="I226" s="1673"/>
      <c r="J226" s="1673"/>
      <c r="K226" s="1672">
        <f t="shared" si="19"/>
        <v>233</v>
      </c>
      <c r="L226" s="1573">
        <v>1000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47377</v>
      </c>
      <c r="E229" s="1673"/>
      <c r="F229" s="1673"/>
      <c r="G229" s="1673"/>
      <c r="H229" s="1673"/>
      <c r="I229" s="1673"/>
      <c r="J229" s="1673"/>
      <c r="K229" s="1674">
        <f>SUM(K215:K228)</f>
        <v>47377</v>
      </c>
      <c r="L229" s="1674">
        <f>SUM(L215:L228)</f>
        <v>58100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806</v>
      </c>
      <c r="E233" s="1673"/>
      <c r="F233" s="1673"/>
      <c r="G233" s="1673"/>
      <c r="H233" s="1673"/>
      <c r="I233" s="1673"/>
      <c r="J233" s="1673"/>
      <c r="K233" s="1672">
        <f t="shared" si="20"/>
        <v>806</v>
      </c>
      <c r="L233" s="1573">
        <v>1000</v>
      </c>
    </row>
    <row r="234" spans="1:12" x14ac:dyDescent="0.2">
      <c r="A234" s="1274" t="s">
        <v>196</v>
      </c>
      <c r="B234" s="503">
        <v>2130</v>
      </c>
      <c r="C234" s="1673"/>
      <c r="D234" s="1573">
        <v>4001</v>
      </c>
      <c r="E234" s="1673"/>
      <c r="F234" s="1673"/>
      <c r="G234" s="1673"/>
      <c r="H234" s="1673"/>
      <c r="I234" s="1673"/>
      <c r="J234" s="1673"/>
      <c r="K234" s="1672">
        <f t="shared" si="20"/>
        <v>4001</v>
      </c>
      <c r="L234" s="1573">
        <v>5000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4807</v>
      </c>
      <c r="E238" s="1673"/>
      <c r="F238" s="1673"/>
      <c r="G238" s="1673"/>
      <c r="H238" s="1673"/>
      <c r="I238" s="1673"/>
      <c r="J238" s="1673"/>
      <c r="K238" s="1674">
        <f>SUM(K232:K237)</f>
        <v>4807</v>
      </c>
      <c r="L238" s="1674">
        <f>SUM(L232:L237)</f>
        <v>6000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2209</v>
      </c>
      <c r="E240" s="1673"/>
      <c r="F240" s="1673"/>
      <c r="G240" s="1673"/>
      <c r="H240" s="1673"/>
      <c r="I240" s="1673"/>
      <c r="J240" s="1673"/>
      <c r="K240" s="1678">
        <f>D240</f>
        <v>2209</v>
      </c>
      <c r="L240" s="1586">
        <v>7000</v>
      </c>
    </row>
    <row r="241" spans="1:12" x14ac:dyDescent="0.2">
      <c r="A241" s="1274" t="s">
        <v>810</v>
      </c>
      <c r="B241" s="503">
        <v>2220</v>
      </c>
      <c r="C241" s="1673"/>
      <c r="D241" s="1573">
        <v>4250</v>
      </c>
      <c r="E241" s="1673"/>
      <c r="F241" s="1673"/>
      <c r="G241" s="1673"/>
      <c r="H241" s="1673"/>
      <c r="I241" s="1673"/>
      <c r="J241" s="1673"/>
      <c r="K241" s="1678">
        <f>D241</f>
        <v>4250</v>
      </c>
      <c r="L241" s="1573">
        <v>5000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6459</v>
      </c>
      <c r="E243" s="1673"/>
      <c r="F243" s="1673"/>
      <c r="G243" s="1673"/>
      <c r="H243" s="1673"/>
      <c r="I243" s="1673"/>
      <c r="J243" s="1673"/>
      <c r="K243" s="1674">
        <f>SUM(K240:K242)</f>
        <v>6459</v>
      </c>
      <c r="L243" s="1674">
        <f>SUM(L240:L242)</f>
        <v>12000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267</v>
      </c>
      <c r="E245" s="1673"/>
      <c r="F245" s="1673"/>
      <c r="G245" s="1673"/>
      <c r="H245" s="1673"/>
      <c r="I245" s="1673"/>
      <c r="J245" s="1673"/>
      <c r="K245" s="1678">
        <f>D245</f>
        <v>267</v>
      </c>
      <c r="L245" s="1586">
        <v>2000</v>
      </c>
    </row>
    <row r="246" spans="1:12" x14ac:dyDescent="0.2">
      <c r="A246" s="1274" t="s">
        <v>813</v>
      </c>
      <c r="B246" s="503">
        <v>2320</v>
      </c>
      <c r="C246" s="1673"/>
      <c r="D246" s="1573">
        <v>1459</v>
      </c>
      <c r="E246" s="1673"/>
      <c r="F246" s="1673"/>
      <c r="G246" s="1673"/>
      <c r="H246" s="1673"/>
      <c r="I246" s="1673"/>
      <c r="J246" s="1673"/>
      <c r="K246" s="1678">
        <f t="shared" ref="K246:K256" si="21">D246</f>
        <v>1459</v>
      </c>
      <c r="L246" s="1573">
        <v>2000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40338</v>
      </c>
      <c r="E254" s="1673"/>
      <c r="F254" s="1673"/>
      <c r="G254" s="1673"/>
      <c r="H254" s="1673"/>
      <c r="I254" s="1673"/>
      <c r="J254" s="1673"/>
      <c r="K254" s="1678">
        <f t="shared" si="21"/>
        <v>40338</v>
      </c>
      <c r="L254" s="1573">
        <v>41000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42064</v>
      </c>
      <c r="E257" s="1673"/>
      <c r="F257" s="1673"/>
      <c r="G257" s="1673"/>
      <c r="H257" s="1673"/>
      <c r="I257" s="1673"/>
      <c r="J257" s="1673"/>
      <c r="K257" s="1674">
        <f>SUM(K245:K256)</f>
        <v>42064</v>
      </c>
      <c r="L257" s="1674">
        <f>SUM(L245:L256)</f>
        <v>45000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24099</v>
      </c>
      <c r="E259" s="1673"/>
      <c r="F259" s="1673"/>
      <c r="G259" s="1673"/>
      <c r="H259" s="1673"/>
      <c r="I259" s="1673"/>
      <c r="J259" s="1673"/>
      <c r="K259" s="1678">
        <f>D259</f>
        <v>24099</v>
      </c>
      <c r="L259" s="1586">
        <v>24000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24099</v>
      </c>
      <c r="E261" s="1673"/>
      <c r="F261" s="1673"/>
      <c r="G261" s="1673"/>
      <c r="H261" s="1673"/>
      <c r="I261" s="1673"/>
      <c r="J261" s="1673"/>
      <c r="K261" s="1674">
        <f>SUM(K259:K260)</f>
        <v>24099</v>
      </c>
      <c r="L261" s="1674">
        <f>SUM(L259:L260)</f>
        <v>24000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10962</v>
      </c>
      <c r="E264" s="1673"/>
      <c r="F264" s="1673"/>
      <c r="G264" s="1673"/>
      <c r="H264" s="1673"/>
      <c r="I264" s="1673"/>
      <c r="J264" s="1673"/>
      <c r="K264" s="1678">
        <f t="shared" ref="K264:K269" si="22">D264</f>
        <v>10962</v>
      </c>
      <c r="L264" s="1573">
        <v>11000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45408</v>
      </c>
      <c r="E266" s="1673"/>
      <c r="F266" s="1673"/>
      <c r="G266" s="1673"/>
      <c r="H266" s="1673"/>
      <c r="I266" s="1673"/>
      <c r="J266" s="1673"/>
      <c r="K266" s="1678">
        <f t="shared" si="22"/>
        <v>45408</v>
      </c>
      <c r="L266" s="1573">
        <v>44000</v>
      </c>
    </row>
    <row r="267" spans="1:14" x14ac:dyDescent="0.2">
      <c r="A267" s="1274" t="s">
        <v>947</v>
      </c>
      <c r="B267" s="503">
        <v>2550</v>
      </c>
      <c r="C267" s="1673"/>
      <c r="D267" s="1573">
        <v>29912</v>
      </c>
      <c r="E267" s="1673"/>
      <c r="F267" s="1673"/>
      <c r="G267" s="1673"/>
      <c r="H267" s="1673"/>
      <c r="I267" s="1673"/>
      <c r="J267" s="1673"/>
      <c r="K267" s="1678">
        <f t="shared" si="22"/>
        <v>29912</v>
      </c>
      <c r="L267" s="1573">
        <v>32000</v>
      </c>
    </row>
    <row r="268" spans="1:14" x14ac:dyDescent="0.2">
      <c r="A268" s="1274" t="s">
        <v>100</v>
      </c>
      <c r="B268" s="503">
        <v>2560</v>
      </c>
      <c r="C268" s="1673"/>
      <c r="D268" s="1573">
        <v>14532</v>
      </c>
      <c r="E268" s="1673"/>
      <c r="F268" s="1673"/>
      <c r="G268" s="1673"/>
      <c r="H268" s="1673"/>
      <c r="I268" s="1673"/>
      <c r="J268" s="1673"/>
      <c r="K268" s="1678">
        <f t="shared" si="22"/>
        <v>14532</v>
      </c>
      <c r="L268" s="1573">
        <v>16000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100814</v>
      </c>
      <c r="E270" s="1673"/>
      <c r="F270" s="1673"/>
      <c r="G270" s="1673"/>
      <c r="H270" s="1673"/>
      <c r="I270" s="1673"/>
      <c r="J270" s="1673"/>
      <c r="K270" s="1674">
        <f>SUM(K263:K269)</f>
        <v>100814</v>
      </c>
      <c r="L270" s="1674">
        <f>SUM(L263:L269)</f>
        <v>103000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178243</v>
      </c>
      <c r="E279" s="1673"/>
      <c r="F279" s="1673"/>
      <c r="G279" s="1673"/>
      <c r="H279" s="1673"/>
      <c r="I279" s="1673"/>
      <c r="J279" s="1673"/>
      <c r="K279" s="1681">
        <f>SUM(K238,K243,K257,K261,K270,K277,K278)</f>
        <v>178243</v>
      </c>
      <c r="L279" s="1681">
        <f>SUM(L238,L243,L257,L261,L270,L277,L278)</f>
        <v>190000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225620</v>
      </c>
      <c r="E295" s="1673"/>
      <c r="F295" s="1673"/>
      <c r="G295" s="1673"/>
      <c r="H295" s="1674">
        <f>H293</f>
        <v>0</v>
      </c>
      <c r="I295" s="1673"/>
      <c r="J295" s="1673"/>
      <c r="K295" s="1674">
        <f>SUM(K229,K279,K280,K285,K293,K294)</f>
        <v>225620</v>
      </c>
      <c r="L295" s="1674">
        <f>SUM(L229,L279,L280,L285,L293,L294)</f>
        <v>248100</v>
      </c>
    </row>
    <row r="296" spans="1:14" ht="13.5" thickTop="1" x14ac:dyDescent="0.2">
      <c r="A296" s="2261" t="s">
        <v>989</v>
      </c>
      <c r="B296" s="2262"/>
      <c r="C296" s="1673"/>
      <c r="D296" s="1675"/>
      <c r="E296" s="1673"/>
      <c r="F296" s="1673"/>
      <c r="G296" s="1673"/>
      <c r="H296" s="1707"/>
      <c r="I296" s="1673"/>
      <c r="J296" s="1673"/>
      <c r="K296" s="1689">
        <f>'Revenues 9-14'!G268-'Expenditures 15-22'!K295</f>
        <v>15593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82343</v>
      </c>
      <c r="F301" s="1573">
        <v>14336</v>
      </c>
      <c r="G301" s="1573">
        <v>583792</v>
      </c>
      <c r="H301" s="1573"/>
      <c r="I301" s="1574">
        <v>1672</v>
      </c>
      <c r="J301" s="1574"/>
      <c r="K301" s="1672">
        <f>SUM(C301:J301)</f>
        <v>682143</v>
      </c>
      <c r="L301" s="1574">
        <v>415500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82343</v>
      </c>
      <c r="F303" s="1681">
        <f t="shared" si="23"/>
        <v>14336</v>
      </c>
      <c r="G303" s="1681">
        <f t="shared" si="23"/>
        <v>583792</v>
      </c>
      <c r="H303" s="1681">
        <f t="shared" si="23"/>
        <v>0</v>
      </c>
      <c r="I303" s="1681">
        <f t="shared" si="23"/>
        <v>1672</v>
      </c>
      <c r="J303" s="1681">
        <f t="shared" si="23"/>
        <v>0</v>
      </c>
      <c r="K303" s="1681">
        <f t="shared" si="23"/>
        <v>682143</v>
      </c>
      <c r="L303" s="1681">
        <f t="shared" si="23"/>
        <v>415500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82343</v>
      </c>
      <c r="F312" s="1674">
        <f>SUM(F303)</f>
        <v>14336</v>
      </c>
      <c r="G312" s="1674">
        <f>SUM(G303)</f>
        <v>583792</v>
      </c>
      <c r="H312" s="1674">
        <f>SUM(H303,H310)</f>
        <v>0</v>
      </c>
      <c r="I312" s="1674">
        <f>SUM(I303)</f>
        <v>1672</v>
      </c>
      <c r="J312" s="1674">
        <f>SUM(J303)</f>
        <v>0</v>
      </c>
      <c r="K312" s="1674">
        <f>SUM(K303,K310,K311)</f>
        <v>682143</v>
      </c>
      <c r="L312" s="1674">
        <f>SUM(L303,L310,L311)</f>
        <v>415500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-400741</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v>75000</v>
      </c>
      <c r="M320" s="539"/>
      <c r="N320" s="539"/>
    </row>
    <row r="321" spans="1:14" s="548" customFormat="1" x14ac:dyDescent="0.2">
      <c r="A321" s="1289" t="s">
        <v>297</v>
      </c>
      <c r="B321" s="567" t="s">
        <v>281</v>
      </c>
      <c r="C321" s="1574"/>
      <c r="D321" s="1574"/>
      <c r="E321" s="1574">
        <v>198</v>
      </c>
      <c r="F321" s="1574"/>
      <c r="G321" s="1574"/>
      <c r="H321" s="1574"/>
      <c r="I321" s="1574"/>
      <c r="J321" s="1574"/>
      <c r="K321" s="1672">
        <f t="shared" si="24"/>
        <v>198</v>
      </c>
      <c r="L321" s="1574"/>
      <c r="M321" s="539"/>
      <c r="N321" s="539"/>
    </row>
    <row r="322" spans="1:14" s="548" customFormat="1" x14ac:dyDescent="0.2">
      <c r="A322" s="1289" t="s">
        <v>236</v>
      </c>
      <c r="B322" s="567" t="s">
        <v>282</v>
      </c>
      <c r="C322" s="1574"/>
      <c r="D322" s="1574"/>
      <c r="E322" s="1574">
        <v>78271</v>
      </c>
      <c r="F322" s="1574"/>
      <c r="G322" s="1574"/>
      <c r="H322" s="1574"/>
      <c r="I322" s="1574"/>
      <c r="J322" s="1574"/>
      <c r="K322" s="1672">
        <f t="shared" si="24"/>
        <v>78271</v>
      </c>
      <c r="L322" s="1574">
        <v>60000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400972</v>
      </c>
      <c r="D325" s="1574">
        <v>58121</v>
      </c>
      <c r="E325" s="1574"/>
      <c r="F325" s="1574">
        <v>4008</v>
      </c>
      <c r="G325" s="1574"/>
      <c r="H325" s="1574"/>
      <c r="I325" s="1574"/>
      <c r="J325" s="1574"/>
      <c r="K325" s="1672">
        <f t="shared" si="24"/>
        <v>463101</v>
      </c>
      <c r="L325" s="1574">
        <v>541100</v>
      </c>
      <c r="M325" s="539"/>
      <c r="N325" s="539"/>
    </row>
    <row r="326" spans="1:14" s="548" customFormat="1" x14ac:dyDescent="0.2">
      <c r="A326" s="1289" t="s">
        <v>1023</v>
      </c>
      <c r="B326" s="567" t="s">
        <v>286</v>
      </c>
      <c r="C326" s="1574"/>
      <c r="D326" s="1574"/>
      <c r="E326" s="1574">
        <v>37434</v>
      </c>
      <c r="F326" s="1574"/>
      <c r="G326" s="1574"/>
      <c r="H326" s="1574"/>
      <c r="I326" s="1574"/>
      <c r="J326" s="1574"/>
      <c r="K326" s="1672">
        <f t="shared" si="24"/>
        <v>37434</v>
      </c>
      <c r="L326" s="1574">
        <v>20100</v>
      </c>
      <c r="M326" s="539"/>
      <c r="N326" s="539"/>
    </row>
    <row r="327" spans="1:14" s="548" customFormat="1" x14ac:dyDescent="0.2">
      <c r="A327" s="1289" t="s">
        <v>965</v>
      </c>
      <c r="B327" s="567" t="s">
        <v>287</v>
      </c>
      <c r="C327" s="1574"/>
      <c r="D327" s="1574"/>
      <c r="E327" s="1574">
        <v>6107</v>
      </c>
      <c r="F327" s="1574"/>
      <c r="G327" s="1574"/>
      <c r="H327" s="1574"/>
      <c r="I327" s="1574"/>
      <c r="J327" s="1574"/>
      <c r="K327" s="1672">
        <f t="shared" si="24"/>
        <v>6107</v>
      </c>
      <c r="L327" s="1574">
        <v>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400972</v>
      </c>
      <c r="D330" s="1674">
        <f t="shared" ref="D330:J330" si="25">SUM(D319:D329)</f>
        <v>58121</v>
      </c>
      <c r="E330" s="1674">
        <f t="shared" si="25"/>
        <v>122010</v>
      </c>
      <c r="F330" s="1674">
        <f t="shared" si="25"/>
        <v>4008</v>
      </c>
      <c r="G330" s="1674">
        <f t="shared" si="25"/>
        <v>0</v>
      </c>
      <c r="H330" s="1674">
        <f t="shared" si="25"/>
        <v>0</v>
      </c>
      <c r="I330" s="1674">
        <f t="shared" si="25"/>
        <v>0</v>
      </c>
      <c r="J330" s="1674">
        <f t="shared" si="25"/>
        <v>0</v>
      </c>
      <c r="K330" s="1674">
        <f>SUM(K319:K329)</f>
        <v>585111</v>
      </c>
      <c r="L330" s="1674">
        <f>SUM(L319:L329)</f>
        <v>701200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400972</v>
      </c>
      <c r="D342" s="1674">
        <f>SUM(D330)</f>
        <v>58121</v>
      </c>
      <c r="E342" s="1674">
        <f>SUM(E330)</f>
        <v>122010</v>
      </c>
      <c r="F342" s="1674">
        <f>SUM(F330)</f>
        <v>4008</v>
      </c>
      <c r="G342" s="1674">
        <f>SUM(G330)</f>
        <v>0</v>
      </c>
      <c r="H342" s="1674">
        <f>SUM(H330,H334,H340)</f>
        <v>0</v>
      </c>
      <c r="I342" s="1674">
        <f>SUM(I330)</f>
        <v>0</v>
      </c>
      <c r="J342" s="1674">
        <f>SUM(J330)</f>
        <v>0</v>
      </c>
      <c r="K342" s="1674">
        <f>SUM(K330,K334,K340)</f>
        <v>585111</v>
      </c>
      <c r="L342" s="1681">
        <f>SUM(L330,L334,L340,L341)</f>
        <v>701200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-101356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1972684</v>
      </c>
      <c r="C4" s="1722">
        <v>100073</v>
      </c>
      <c r="D4" s="1723">
        <f>B4-C4</f>
        <v>1872611</v>
      </c>
      <c r="E4" s="1722">
        <v>2347482</v>
      </c>
      <c r="F4" s="1723">
        <f>E4-C4</f>
        <v>2247409</v>
      </c>
    </row>
    <row r="5" spans="1:8" ht="13.7" customHeight="1" x14ac:dyDescent="0.2">
      <c r="A5" s="579" t="s">
        <v>865</v>
      </c>
      <c r="B5" s="1724">
        <f>'Revenues 9-14'!D5</f>
        <v>411018</v>
      </c>
      <c r="C5" s="1664">
        <v>20849</v>
      </c>
      <c r="D5" s="1725">
        <f t="shared" ref="D5:D18" si="0">B5-C5</f>
        <v>390169</v>
      </c>
      <c r="E5" s="1664">
        <v>489059</v>
      </c>
      <c r="F5" s="1725">
        <f>E5-C5</f>
        <v>468210</v>
      </c>
    </row>
    <row r="6" spans="1:8" ht="13.7" customHeight="1" x14ac:dyDescent="0.2">
      <c r="A6" s="579" t="s">
        <v>408</v>
      </c>
      <c r="B6" s="1724">
        <f>'Revenues 9-14'!E5</f>
        <v>704723</v>
      </c>
      <c r="C6" s="1664">
        <v>33733</v>
      </c>
      <c r="D6" s="1725">
        <f t="shared" si="0"/>
        <v>670990</v>
      </c>
      <c r="E6" s="1664">
        <v>790691</v>
      </c>
      <c r="F6" s="1725">
        <f t="shared" ref="F6:F18" si="1">E6-C6</f>
        <v>756958</v>
      </c>
    </row>
    <row r="7" spans="1:8" ht="13.7" customHeight="1" x14ac:dyDescent="0.2">
      <c r="A7" s="579" t="s">
        <v>154</v>
      </c>
      <c r="B7" s="1724">
        <f>'Revenues 9-14'!F5</f>
        <v>164419</v>
      </c>
      <c r="C7" s="1664">
        <v>8340</v>
      </c>
      <c r="D7" s="1725">
        <f t="shared" si="0"/>
        <v>156079</v>
      </c>
      <c r="E7" s="1664">
        <v>195623</v>
      </c>
      <c r="F7" s="1725">
        <f t="shared" si="1"/>
        <v>187283</v>
      </c>
    </row>
    <row r="8" spans="1:8" ht="13.7" customHeight="1" x14ac:dyDescent="0.2">
      <c r="A8" s="579" t="s">
        <v>1169</v>
      </c>
      <c r="B8" s="1724">
        <f>'Revenues 9-14'!G5</f>
        <v>118193</v>
      </c>
      <c r="C8" s="1664">
        <v>5763</v>
      </c>
      <c r="D8" s="1725">
        <f t="shared" si="0"/>
        <v>112430</v>
      </c>
      <c r="E8" s="1664">
        <v>135000</v>
      </c>
      <c r="F8" s="1725">
        <f t="shared" si="1"/>
        <v>129237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41151</v>
      </c>
      <c r="C10" s="1664">
        <v>2085</v>
      </c>
      <c r="D10" s="1725">
        <f t="shared" si="0"/>
        <v>39066</v>
      </c>
      <c r="E10" s="1664">
        <v>48906</v>
      </c>
      <c r="F10" s="1725">
        <f t="shared" si="1"/>
        <v>46821</v>
      </c>
    </row>
    <row r="11" spans="1:8" x14ac:dyDescent="0.2">
      <c r="A11" s="579" t="s">
        <v>406</v>
      </c>
      <c r="B11" s="1724">
        <f>'Revenues 9-14'!J5</f>
        <v>481445</v>
      </c>
      <c r="C11" s="1664">
        <v>23467</v>
      </c>
      <c r="D11" s="1725">
        <f t="shared" si="0"/>
        <v>457978</v>
      </c>
      <c r="E11" s="1664">
        <v>549995</v>
      </c>
      <c r="F11" s="1725">
        <f t="shared" si="1"/>
        <v>526528</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41151</v>
      </c>
      <c r="C13" s="1664">
        <v>2085</v>
      </c>
      <c r="D13" s="1725">
        <f t="shared" si="0"/>
        <v>39066</v>
      </c>
      <c r="E13" s="1664">
        <v>48906</v>
      </c>
      <c r="F13" s="1725">
        <f t="shared" si="1"/>
        <v>46821</v>
      </c>
    </row>
    <row r="14" spans="1:8" ht="13.7" customHeight="1" x14ac:dyDescent="0.2">
      <c r="A14" s="579" t="s">
        <v>407</v>
      </c>
      <c r="B14" s="1724">
        <f>SUM('Revenues 9-14'!C7:D7,'Revenues 9-14'!F7:H7)</f>
        <v>32896</v>
      </c>
      <c r="C14" s="1664">
        <v>1667</v>
      </c>
      <c r="D14" s="1725">
        <f t="shared" si="0"/>
        <v>31229</v>
      </c>
      <c r="E14" s="1664">
        <v>39124</v>
      </c>
      <c r="F14" s="1725">
        <f t="shared" si="1"/>
        <v>37457</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118193</v>
      </c>
      <c r="C16" s="1664">
        <v>5763</v>
      </c>
      <c r="D16" s="1725">
        <f t="shared" si="0"/>
        <v>112430</v>
      </c>
      <c r="E16" s="1664">
        <v>135000</v>
      </c>
      <c r="F16" s="1725">
        <f t="shared" si="1"/>
        <v>129237</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4085873</v>
      </c>
      <c r="C19" s="1726">
        <f>SUM(C4:C18)</f>
        <v>203825</v>
      </c>
      <c r="D19" s="1726">
        <f>SUM(D4:D18)</f>
        <v>3882048</v>
      </c>
      <c r="E19" s="1726">
        <f>SUM(E4:E18)</f>
        <v>4779786</v>
      </c>
      <c r="F19" s="1726">
        <f>SUM(F4:F18)</f>
        <v>4575961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2106</v>
      </c>
      <c r="B31" s="595">
        <v>40118</v>
      </c>
      <c r="C31" s="1734">
        <v>2500000</v>
      </c>
      <c r="D31" s="1735">
        <v>2</v>
      </c>
      <c r="E31" s="1734">
        <v>10000</v>
      </c>
      <c r="F31" s="1734"/>
      <c r="G31" s="1734"/>
      <c r="H31" s="1734">
        <v>10000</v>
      </c>
      <c r="I31" s="1736">
        <f t="shared" ref="I31:I40" si="1">((E31+F31)-H31)+G31</f>
        <v>0</v>
      </c>
      <c r="J31" s="1734"/>
      <c r="K31" s="596"/>
    </row>
    <row r="32" spans="1:11" ht="12" customHeight="1" x14ac:dyDescent="0.2">
      <c r="A32" s="594" t="s">
        <v>2068</v>
      </c>
      <c r="B32" s="595">
        <v>38899</v>
      </c>
      <c r="C32" s="1734">
        <v>5035000</v>
      </c>
      <c r="D32" s="1735">
        <v>3</v>
      </c>
      <c r="E32" s="1734">
        <v>4390000</v>
      </c>
      <c r="F32" s="1734"/>
      <c r="G32" s="1734"/>
      <c r="H32" s="1734">
        <v>430000</v>
      </c>
      <c r="I32" s="1736">
        <f t="shared" si="1"/>
        <v>3960000</v>
      </c>
      <c r="J32" s="1734">
        <v>3960000</v>
      </c>
      <c r="K32" s="596"/>
    </row>
    <row r="33" spans="1:11" ht="12" customHeight="1" x14ac:dyDescent="0.2">
      <c r="A33" s="594" t="s">
        <v>2069</v>
      </c>
      <c r="B33" s="595">
        <v>43132</v>
      </c>
      <c r="C33" s="1734">
        <v>535000</v>
      </c>
      <c r="D33" s="1735">
        <v>1</v>
      </c>
      <c r="E33" s="1734">
        <v>280000</v>
      </c>
      <c r="F33" s="1734"/>
      <c r="G33" s="1734"/>
      <c r="H33" s="1734">
        <v>280000</v>
      </c>
      <c r="I33" s="1736">
        <f t="shared" si="1"/>
        <v>0</v>
      </c>
      <c r="J33" s="1734">
        <v>0</v>
      </c>
      <c r="K33" s="596"/>
    </row>
    <row r="34" spans="1:11" ht="12" customHeight="1" x14ac:dyDescent="0.2">
      <c r="A34" s="594" t="s">
        <v>2070</v>
      </c>
      <c r="B34" s="595">
        <v>43642</v>
      </c>
      <c r="C34" s="1734">
        <v>56197</v>
      </c>
      <c r="D34" s="1735">
        <v>7</v>
      </c>
      <c r="E34" s="1734"/>
      <c r="F34" s="1734">
        <v>56197</v>
      </c>
      <c r="G34" s="1734"/>
      <c r="H34" s="1734">
        <v>12357</v>
      </c>
      <c r="I34" s="1736">
        <f t="shared" si="1"/>
        <v>43840</v>
      </c>
      <c r="J34" s="1734">
        <v>43840</v>
      </c>
      <c r="K34" s="597"/>
    </row>
    <row r="35" spans="1:11" ht="12" customHeight="1" x14ac:dyDescent="0.2">
      <c r="A35" s="594" t="s">
        <v>2070</v>
      </c>
      <c r="B35" s="595">
        <v>43642</v>
      </c>
      <c r="C35" s="1734">
        <v>93947</v>
      </c>
      <c r="D35" s="1735">
        <v>7</v>
      </c>
      <c r="E35" s="1734"/>
      <c r="F35" s="1734">
        <v>93947</v>
      </c>
      <c r="G35" s="1734"/>
      <c r="H35" s="1734">
        <v>20656</v>
      </c>
      <c r="I35" s="1736">
        <f t="shared" si="1"/>
        <v>73291</v>
      </c>
      <c r="J35" s="1737">
        <v>73291</v>
      </c>
      <c r="K35" s="597"/>
    </row>
    <row r="36" spans="1:11" ht="12" customHeight="1" x14ac:dyDescent="0.2">
      <c r="A36" s="594" t="s">
        <v>2071</v>
      </c>
      <c r="B36" s="595">
        <v>43810</v>
      </c>
      <c r="C36" s="1737">
        <v>520000</v>
      </c>
      <c r="D36" s="1735">
        <v>1</v>
      </c>
      <c r="E36" s="1737"/>
      <c r="F36" s="1737">
        <v>520000</v>
      </c>
      <c r="G36" s="1737"/>
      <c r="H36" s="1737"/>
      <c r="I36" s="1736">
        <f t="shared" si="1"/>
        <v>520000</v>
      </c>
      <c r="J36" s="1734">
        <v>520000</v>
      </c>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ref="I41:I48" si="2">((E41+F41)-H41)+G41</f>
        <v>0</v>
      </c>
      <c r="J41" s="1741"/>
      <c r="K41" s="599"/>
    </row>
    <row r="42" spans="1:11" ht="12" customHeight="1" x14ac:dyDescent="0.2">
      <c r="A42" s="594"/>
      <c r="B42" s="595"/>
      <c r="C42" s="1734"/>
      <c r="D42" s="1739"/>
      <c r="E42" s="1740"/>
      <c r="F42" s="1740"/>
      <c r="G42" s="1740"/>
      <c r="H42" s="1740"/>
      <c r="I42" s="1736">
        <f t="shared" si="2"/>
        <v>0</v>
      </c>
      <c r="J42" s="1741"/>
      <c r="K42" s="599"/>
    </row>
    <row r="43" spans="1:11" ht="12" customHeight="1" x14ac:dyDescent="0.2">
      <c r="A43" s="594"/>
      <c r="B43" s="595"/>
      <c r="C43" s="1734"/>
      <c r="D43" s="1739"/>
      <c r="E43" s="1740"/>
      <c r="F43" s="1740"/>
      <c r="G43" s="1740"/>
      <c r="H43" s="1740"/>
      <c r="I43" s="1736">
        <f t="shared" si="2"/>
        <v>0</v>
      </c>
      <c r="J43" s="1741"/>
      <c r="K43" s="599"/>
    </row>
    <row r="44" spans="1:11" ht="12" customHeight="1" x14ac:dyDescent="0.2">
      <c r="A44" s="594"/>
      <c r="B44" s="595"/>
      <c r="C44" s="1734"/>
      <c r="D44" s="1735"/>
      <c r="E44" s="1734"/>
      <c r="F44" s="1734"/>
      <c r="G44" s="1734"/>
      <c r="H44" s="1734"/>
      <c r="I44" s="1736">
        <f t="shared" si="2"/>
        <v>0</v>
      </c>
      <c r="J44" s="1734"/>
      <c r="K44" s="597"/>
    </row>
    <row r="45" spans="1:11" ht="12" customHeight="1" x14ac:dyDescent="0.2">
      <c r="A45" s="594"/>
      <c r="B45" s="595"/>
      <c r="C45" s="1734"/>
      <c r="D45" s="1735"/>
      <c r="E45" s="1734"/>
      <c r="F45" s="1734"/>
      <c r="G45" s="1734"/>
      <c r="H45" s="1734"/>
      <c r="I45" s="1736">
        <f t="shared" si="2"/>
        <v>0</v>
      </c>
      <c r="J45" s="1734"/>
      <c r="K45" s="597"/>
    </row>
    <row r="46" spans="1:11" ht="12" customHeight="1" x14ac:dyDescent="0.2">
      <c r="A46" s="594"/>
      <c r="B46" s="595"/>
      <c r="C46" s="1734"/>
      <c r="D46" s="1735"/>
      <c r="E46" s="1734"/>
      <c r="F46" s="1734"/>
      <c r="G46" s="1734"/>
      <c r="H46" s="1734"/>
      <c r="I46" s="1736">
        <f t="shared" si="2"/>
        <v>0</v>
      </c>
      <c r="J46" s="1734"/>
      <c r="K46" s="597"/>
    </row>
    <row r="47" spans="1:11" ht="12" customHeight="1" x14ac:dyDescent="0.2">
      <c r="A47" s="594"/>
      <c r="B47" s="595"/>
      <c r="C47" s="1737"/>
      <c r="D47" s="1735"/>
      <c r="E47" s="1737"/>
      <c r="F47" s="1737"/>
      <c r="G47" s="1737"/>
      <c r="H47" s="1737"/>
      <c r="I47" s="1736">
        <f t="shared" si="2"/>
        <v>0</v>
      </c>
      <c r="J47" s="1737"/>
      <c r="K47" s="597"/>
    </row>
    <row r="48" spans="1:11" ht="12" customHeight="1" x14ac:dyDescent="0.2">
      <c r="A48" s="594"/>
      <c r="B48" s="595"/>
      <c r="C48" s="1734"/>
      <c r="D48" s="1735"/>
      <c r="E48" s="1734"/>
      <c r="F48" s="1734"/>
      <c r="G48" s="1734"/>
      <c r="H48" s="1734"/>
      <c r="I48" s="1736">
        <f t="shared" si="2"/>
        <v>0</v>
      </c>
      <c r="J48" s="1734"/>
      <c r="K48" s="597"/>
    </row>
    <row r="49" spans="1:11" ht="12" customHeight="1" x14ac:dyDescent="0.2">
      <c r="A49" s="594"/>
      <c r="B49" s="595"/>
      <c r="C49" s="1736">
        <f>SUM(C31:C48)</f>
        <v>8740144</v>
      </c>
      <c r="D49" s="1742"/>
      <c r="E49" s="1736">
        <f>SUM(E31:E48)</f>
        <v>4680000</v>
      </c>
      <c r="F49" s="1736">
        <f>SUM(F31:F48)</f>
        <v>670144</v>
      </c>
      <c r="G49" s="1736">
        <f>SUM(G31:G48)</f>
        <v>0</v>
      </c>
      <c r="H49" s="1736">
        <f>SUM(H31:H48)</f>
        <v>753013</v>
      </c>
      <c r="I49" s="1736">
        <f t="shared" ref="I49:J49" si="3">SUM(I31:I48)</f>
        <v>4597131</v>
      </c>
      <c r="J49" s="1736">
        <f t="shared" si="3"/>
        <v>4597131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2072</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128288</v>
      </c>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32896</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2868</v>
      </c>
    </row>
    <row r="8" spans="1:11" x14ac:dyDescent="0.2">
      <c r="A8" s="629" t="s">
        <v>342</v>
      </c>
      <c r="B8" s="630"/>
      <c r="C8" s="630"/>
      <c r="D8" s="630"/>
      <c r="E8" s="631"/>
      <c r="F8" s="622" t="s">
        <v>846</v>
      </c>
      <c r="G8" s="1753"/>
      <c r="H8" s="1753"/>
      <c r="I8" s="1753"/>
      <c r="J8" s="1745">
        <v>281021</v>
      </c>
      <c r="K8" s="1748"/>
    </row>
    <row r="9" spans="1:11" x14ac:dyDescent="0.2">
      <c r="A9" s="629" t="s">
        <v>137</v>
      </c>
      <c r="B9" s="630"/>
      <c r="C9" s="630"/>
      <c r="D9" s="630"/>
      <c r="E9" s="631"/>
      <c r="F9" s="628" t="s">
        <v>848</v>
      </c>
      <c r="G9" s="1753"/>
      <c r="H9" s="1749"/>
      <c r="I9" s="1749"/>
      <c r="J9" s="1752"/>
      <c r="K9" s="1745">
        <v>4329</v>
      </c>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32896</v>
      </c>
      <c r="I12" s="1755">
        <f>SUM(I5:I11)</f>
        <v>0</v>
      </c>
      <c r="J12" s="1755">
        <f>SUM(J5:J11)</f>
        <v>281021</v>
      </c>
      <c r="K12" s="1755">
        <f>SUM(K5:K11)</f>
        <v>7197</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32896</v>
      </c>
      <c r="I14" s="1749"/>
      <c r="J14" s="1751"/>
      <c r="K14" s="1745">
        <v>7197</v>
      </c>
    </row>
    <row r="15" spans="1:11" x14ac:dyDescent="0.2">
      <c r="A15" s="2323" t="s">
        <v>4</v>
      </c>
      <c r="B15" s="2323"/>
      <c r="C15" s="2323"/>
      <c r="D15" s="2323"/>
      <c r="E15" s="2324"/>
      <c r="F15" s="635" t="s">
        <v>850</v>
      </c>
      <c r="G15" s="1749"/>
      <c r="H15" s="1744"/>
      <c r="I15" s="1744"/>
      <c r="J15" s="1745">
        <v>409309</v>
      </c>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32896</v>
      </c>
      <c r="I23" s="1755">
        <f>SUM(I14:I16,I21,I22)</f>
        <v>0</v>
      </c>
      <c r="J23" s="1755">
        <f>SUM(J14:J16,J21,J22)</f>
        <v>409309</v>
      </c>
      <c r="K23" s="1755">
        <f>SUM(K14:K16,K21,K22)</f>
        <v>7197</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85250</v>
      </c>
      <c r="D5" s="1770"/>
      <c r="E5" s="1770"/>
      <c r="F5" s="1765">
        <f>(C5+D5)-E5</f>
        <v>85250</v>
      </c>
      <c r="G5" s="676"/>
      <c r="H5" s="680"/>
      <c r="I5" s="680"/>
      <c r="J5" s="680"/>
      <c r="K5" s="637"/>
      <c r="L5" s="1442">
        <f>F5-K5</f>
        <v>85250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9477737</v>
      </c>
      <c r="D8" s="1771"/>
      <c r="E8" s="1771"/>
      <c r="F8" s="1765">
        <f>(C8+D8)-E8</f>
        <v>9477737</v>
      </c>
      <c r="G8" s="681">
        <v>50</v>
      </c>
      <c r="H8" s="619">
        <v>5257723</v>
      </c>
      <c r="I8" s="619">
        <v>189554</v>
      </c>
      <c r="J8" s="619"/>
      <c r="K8" s="1442">
        <f>(H8+I8)-J8</f>
        <v>5447277</v>
      </c>
      <c r="L8" s="1442">
        <f>F8-K8</f>
        <v>4030460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784906</v>
      </c>
      <c r="D10" s="1772">
        <v>595392</v>
      </c>
      <c r="E10" s="1772"/>
      <c r="F10" s="1773">
        <f>(C10+D10)-E10</f>
        <v>1380298</v>
      </c>
      <c r="G10" s="681">
        <v>20</v>
      </c>
      <c r="H10" s="683">
        <v>179442</v>
      </c>
      <c r="I10" s="683">
        <v>69015</v>
      </c>
      <c r="J10" s="683"/>
      <c r="K10" s="1442">
        <f>(H10+I10)-J10</f>
        <v>248457</v>
      </c>
      <c r="L10" s="1442">
        <f>F10-K10</f>
        <v>1131841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2162084</v>
      </c>
      <c r="D12" s="1771">
        <v>139505</v>
      </c>
      <c r="E12" s="1771"/>
      <c r="F12" s="1765">
        <f>(C12+D12)-E12</f>
        <v>2301589</v>
      </c>
      <c r="G12" s="681">
        <v>10</v>
      </c>
      <c r="H12" s="619">
        <v>2034485</v>
      </c>
      <c r="I12" s="619">
        <v>33245</v>
      </c>
      <c r="J12" s="619"/>
      <c r="K12" s="1442">
        <f>(H12+I12)-J12</f>
        <v>2067730</v>
      </c>
      <c r="L12" s="1442">
        <f>F12-K12</f>
        <v>233859</v>
      </c>
    </row>
    <row r="13" spans="1:14" ht="14.25" thickTop="1" thickBot="1" x14ac:dyDescent="0.25">
      <c r="A13" s="684" t="s">
        <v>1112</v>
      </c>
      <c r="B13" s="679">
        <v>252</v>
      </c>
      <c r="C13" s="1771">
        <v>1810684</v>
      </c>
      <c r="D13" s="1771">
        <v>154909</v>
      </c>
      <c r="E13" s="1771"/>
      <c r="F13" s="1765">
        <f>(C13+D13)-E13</f>
        <v>1965593</v>
      </c>
      <c r="G13" s="681">
        <v>5</v>
      </c>
      <c r="H13" s="619">
        <v>1666683</v>
      </c>
      <c r="I13" s="619">
        <v>44819</v>
      </c>
      <c r="J13" s="619"/>
      <c r="K13" s="1442">
        <f>(H13+I13)-J13</f>
        <v>1711502</v>
      </c>
      <c r="L13" s="1442">
        <f>F13-K13</f>
        <v>254091</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14320661</v>
      </c>
      <c r="D16" s="1765">
        <f>SUM(D3,D5:D6,D8:D10,D12:D15)</f>
        <v>889806</v>
      </c>
      <c r="E16" s="1765">
        <f>SUM(E3,E5:E6,E8:E10,E12:E15)</f>
        <v>0</v>
      </c>
      <c r="F16" s="1765">
        <f>SUM(F3,F5:F6,F8:F10,F12:F15)</f>
        <v>15210467</v>
      </c>
      <c r="G16" s="681"/>
      <c r="H16" s="1435">
        <f>SUM(H3,H6,H8:H10,H12:H14,)</f>
        <v>9138333</v>
      </c>
      <c r="I16" s="1435">
        <f>SUM(I3,I6,I8:I10,I12:I14,)</f>
        <v>336633</v>
      </c>
      <c r="J16" s="1435">
        <f>SUM(J3,J6,J8:J10,J12:J14,)</f>
        <v>0</v>
      </c>
      <c r="K16" s="1435">
        <f>(H16+I16)-J16</f>
        <v>9474966</v>
      </c>
      <c r="L16" s="1435">
        <f>F16-K16</f>
        <v>5735501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16624</v>
      </c>
      <c r="G17" s="676">
        <v>10</v>
      </c>
      <c r="H17" s="621"/>
      <c r="I17" s="1442">
        <f>F17/G17</f>
        <v>1662.4</v>
      </c>
      <c r="J17" s="621"/>
      <c r="K17" s="638"/>
      <c r="L17" s="638"/>
    </row>
    <row r="18" spans="1:12" ht="14.25" thickTop="1" thickBot="1" x14ac:dyDescent="0.25">
      <c r="A18" s="1440" t="s">
        <v>680</v>
      </c>
      <c r="B18" s="1441"/>
      <c r="C18" s="623"/>
      <c r="D18" s="623"/>
      <c r="E18" s="623"/>
      <c r="F18" s="686"/>
      <c r="G18" s="687"/>
      <c r="H18" s="624"/>
      <c r="I18" s="1435">
        <f>SUM(I16,I17)</f>
        <v>338295.4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3931727</v>
      </c>
      <c r="G8" s="701"/>
    </row>
    <row r="9" spans="1:9" x14ac:dyDescent="0.2">
      <c r="A9" s="705" t="s">
        <v>457</v>
      </c>
      <c r="B9" s="706" t="s">
        <v>1848</v>
      </c>
      <c r="C9" s="707"/>
      <c r="D9" s="705" t="s">
        <v>498</v>
      </c>
      <c r="E9" s="704"/>
      <c r="F9" s="1775">
        <f>'Expenditures 15-22'!K151</f>
        <v>527657</v>
      </c>
      <c r="G9" s="708"/>
    </row>
    <row r="10" spans="1:9" x14ac:dyDescent="0.2">
      <c r="A10" s="705" t="s">
        <v>496</v>
      </c>
      <c r="B10" s="706" t="s">
        <v>1849</v>
      </c>
      <c r="C10" s="707"/>
      <c r="D10" s="705" t="s">
        <v>498</v>
      </c>
      <c r="E10" s="704"/>
      <c r="F10" s="1775">
        <f>'Expenditures 15-22'!K174</f>
        <v>800689</v>
      </c>
      <c r="G10" s="708"/>
    </row>
    <row r="11" spans="1:9" x14ac:dyDescent="0.2">
      <c r="A11" s="705" t="s">
        <v>458</v>
      </c>
      <c r="B11" s="706" t="s">
        <v>1850</v>
      </c>
      <c r="C11" s="707"/>
      <c r="D11" s="705" t="s">
        <v>498</v>
      </c>
      <c r="E11" s="704"/>
      <c r="F11" s="1775">
        <f>'Expenditures 15-22'!K210</f>
        <v>457686</v>
      </c>
      <c r="G11" s="708"/>
    </row>
    <row r="12" spans="1:9" x14ac:dyDescent="0.2">
      <c r="A12" s="705" t="s">
        <v>459</v>
      </c>
      <c r="B12" s="706" t="s">
        <v>1851</v>
      </c>
      <c r="C12" s="707"/>
      <c r="D12" s="705" t="s">
        <v>498</v>
      </c>
      <c r="E12" s="704"/>
      <c r="F12" s="1775">
        <f>'Expenditures 15-22'!K295</f>
        <v>225620</v>
      </c>
      <c r="G12" s="708"/>
    </row>
    <row r="13" spans="1:9" x14ac:dyDescent="0.2">
      <c r="A13" s="705" t="s">
        <v>106</v>
      </c>
      <c r="B13" s="706" t="s">
        <v>1852</v>
      </c>
      <c r="C13" s="707"/>
      <c r="D13" s="705" t="s">
        <v>498</v>
      </c>
      <c r="E13" s="704"/>
      <c r="F13" s="1775">
        <f>'Expenditures 15-22'!K342</f>
        <v>585111</v>
      </c>
      <c r="G13" s="709"/>
    </row>
    <row r="14" spans="1:9" ht="12" customHeight="1" thickBot="1" x14ac:dyDescent="0.25">
      <c r="A14" s="1443"/>
      <c r="B14" s="1444"/>
      <c r="C14" s="1445"/>
      <c r="D14" s="1446" t="s">
        <v>498</v>
      </c>
      <c r="E14" s="1447" t="s">
        <v>952</v>
      </c>
      <c r="F14" s="1776">
        <f>SUM(F8:F13)</f>
        <v>6528490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509</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193860</v>
      </c>
      <c r="G53" s="701"/>
    </row>
    <row r="54" spans="1:7" x14ac:dyDescent="0.2">
      <c r="A54" s="705" t="s">
        <v>456</v>
      </c>
      <c r="B54" s="705" t="s">
        <v>1459</v>
      </c>
      <c r="C54" s="724" t="s">
        <v>975</v>
      </c>
      <c r="D54" s="720" t="s">
        <v>1086</v>
      </c>
      <c r="E54" s="704"/>
      <c r="F54" s="1782">
        <f>'Expenditures 15-22'!G114</f>
        <v>139505</v>
      </c>
      <c r="G54" s="701"/>
    </row>
    <row r="55" spans="1:7" x14ac:dyDescent="0.2">
      <c r="A55" s="705" t="s">
        <v>456</v>
      </c>
      <c r="B55" s="705" t="s">
        <v>1460</v>
      </c>
      <c r="C55" s="724" t="s">
        <v>975</v>
      </c>
      <c r="D55" s="720" t="s">
        <v>288</v>
      </c>
      <c r="E55" s="704"/>
      <c r="F55" s="1782">
        <f>'Expenditures 15-22'!I114</f>
        <v>9629</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11600</v>
      </c>
      <c r="G58" s="701"/>
    </row>
    <row r="59" spans="1:7" x14ac:dyDescent="0.2">
      <c r="A59" s="728" t="s">
        <v>457</v>
      </c>
      <c r="B59" s="692" t="s">
        <v>1855</v>
      </c>
      <c r="C59" s="729" t="s">
        <v>975</v>
      </c>
      <c r="D59" s="692" t="s">
        <v>288</v>
      </c>
      <c r="F59" s="1785">
        <f>'Expenditures 15-22'!I151</f>
        <v>5323</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720000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33013</v>
      </c>
      <c r="G64" s="701"/>
    </row>
    <row r="65" spans="1:9" x14ac:dyDescent="0.2">
      <c r="A65" s="705" t="s">
        <v>458</v>
      </c>
      <c r="B65" s="705" t="s">
        <v>1861</v>
      </c>
      <c r="C65" s="721" t="s">
        <v>975</v>
      </c>
      <c r="D65" s="720" t="s">
        <v>1086</v>
      </c>
      <c r="E65" s="704"/>
      <c r="F65" s="1782">
        <f>'Expenditures 15-22'!G210</f>
        <v>154909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1268348</v>
      </c>
      <c r="G77" s="701"/>
    </row>
    <row r="78" spans="1:9" s="728" customFormat="1" ht="12" customHeight="1" thickTop="1" thickBot="1" x14ac:dyDescent="0.25">
      <c r="A78" s="1450"/>
      <c r="B78" s="1448"/>
      <c r="C78" s="1445"/>
      <c r="D78" s="1449" t="s">
        <v>2012</v>
      </c>
      <c r="E78" s="1447"/>
      <c r="F78" s="1788">
        <f>(F14-F77)</f>
        <v>5260142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404.4</v>
      </c>
      <c r="G79" s="733"/>
      <c r="H79" s="705"/>
      <c r="I79" s="705"/>
    </row>
    <row r="80" spans="1:9" s="728" customFormat="1" ht="12" customHeight="1" thickBot="1" x14ac:dyDescent="0.25">
      <c r="A80" s="1452"/>
      <c r="B80" s="1448"/>
      <c r="C80" s="1445"/>
      <c r="D80" s="1449" t="s">
        <v>2013</v>
      </c>
      <c r="E80" s="1447" t="s">
        <v>952</v>
      </c>
      <c r="F80" s="1790">
        <f>IF(F79&gt;0,F78/F79," Complete Line 79")</f>
        <v>13007.274975272008</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33619</v>
      </c>
      <c r="G95" s="745"/>
    </row>
    <row r="96" spans="1:7" x14ac:dyDescent="0.2">
      <c r="A96" s="741" t="s">
        <v>139</v>
      </c>
      <c r="B96" s="741" t="s">
        <v>174</v>
      </c>
      <c r="C96" s="743">
        <v>1700</v>
      </c>
      <c r="D96" s="751" t="str">
        <f>'Revenues 9-14'!A82</f>
        <v>Total District/School Activity Income</v>
      </c>
      <c r="E96" s="739"/>
      <c r="F96" s="1793">
        <f>SUM('Revenues 9-14'!C82,'Revenues 9-14'!D82)</f>
        <v>16353</v>
      </c>
      <c r="G96" s="745"/>
    </row>
    <row r="97" spans="1:7" x14ac:dyDescent="0.2">
      <c r="A97" s="741" t="s">
        <v>456</v>
      </c>
      <c r="B97" s="741" t="s">
        <v>175</v>
      </c>
      <c r="C97" s="743">
        <f>'Revenues 9-14'!B84</f>
        <v>1811</v>
      </c>
      <c r="D97" s="744" t="str">
        <f>'Revenues 9-14'!A84</f>
        <v>Rentals - Regular Textbooks</v>
      </c>
      <c r="E97" s="739"/>
      <c r="F97" s="1793">
        <f>'Revenues 9-14'!C84</f>
        <v>15916</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19320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20494</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12572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1063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4329</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150252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1500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93416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110156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20572</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93398</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15267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3590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13356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33201</v>
      </c>
      <c r="G171" s="760"/>
    </row>
    <row r="172" spans="1:7" x14ac:dyDescent="0.2">
      <c r="A172" s="1529" t="s">
        <v>5</v>
      </c>
      <c r="B172" s="1530" t="s">
        <v>1885</v>
      </c>
      <c r="C172" s="1531">
        <v>3100</v>
      </c>
      <c r="D172" s="1532" t="s">
        <v>1887</v>
      </c>
      <c r="E172" s="739"/>
      <c r="F172" s="1794">
        <v>153646</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862020</v>
      </c>
    </row>
    <row r="176" spans="1:7" ht="12" customHeight="1" x14ac:dyDescent="0.2">
      <c r="A176" s="1443"/>
      <c r="B176" s="1453"/>
      <c r="C176" s="1454"/>
      <c r="D176" s="1455" t="s">
        <v>2014</v>
      </c>
      <c r="E176" s="1456"/>
      <c r="F176" s="1793">
        <f>'PCTC-OEPP 27-28'!F78-F175</f>
        <v>4398122</v>
      </c>
    </row>
    <row r="177" spans="1:9" ht="12" customHeight="1" x14ac:dyDescent="0.2">
      <c r="A177" s="1443"/>
      <c r="B177" s="1453"/>
      <c r="C177" s="1454"/>
      <c r="D177" s="1455" t="s">
        <v>1794</v>
      </c>
      <c r="E177" s="1456"/>
      <c r="F177" s="1793">
        <f>'Cap Outlay Deprec 26'!I18</f>
        <v>338295.4</v>
      </c>
    </row>
    <row r="178" spans="1:9" ht="12" customHeight="1" x14ac:dyDescent="0.2">
      <c r="A178" s="1443"/>
      <c r="B178" s="1453"/>
      <c r="C178" s="1454"/>
      <c r="D178" s="1455" t="s">
        <v>2015</v>
      </c>
      <c r="E178" s="1456"/>
      <c r="F178" s="1793">
        <f>F176+F177</f>
        <v>4736417.4000000004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404.4</v>
      </c>
      <c r="G179" s="763"/>
      <c r="I179" s="701"/>
    </row>
    <row r="180" spans="1:9" ht="12" customHeight="1" thickBot="1" x14ac:dyDescent="0.25">
      <c r="A180" s="1443"/>
      <c r="B180" s="1457"/>
      <c r="C180" s="1454"/>
      <c r="D180" s="1455" t="s">
        <v>2017</v>
      </c>
      <c r="E180" s="1456" t="s">
        <v>1528</v>
      </c>
      <c r="F180" s="1798">
        <f>F178/F179</f>
        <v>11712.209198813058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2073</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2696349</v>
      </c>
      <c r="F19" s="1802"/>
      <c r="G19" s="1804">
        <f>'Expenditures 15-22'!K33-SUM('Expenditures 15-22'!G33,'Expenditures 15-22'!I33)+'Expenditures 15-22'!D229</f>
        <v>2696349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197819</v>
      </c>
      <c r="F21" s="1805"/>
      <c r="G21" s="1808">
        <f>'Expenditures 15-22'!K42-SUM('Expenditures 15-22'!G42,'Expenditures 15-22'!I42)+'Expenditures 15-22'!K120-SUM('Expenditures 15-22'!G120,'Expenditures 15-22'!I120)+'Expenditures 15-22'!K180-SUM('Expenditures 15-22'!G180,'Expenditures 15-22'!I180)+'Expenditures 15-22'!D238</f>
        <v>197819</v>
      </c>
      <c r="H21" s="817"/>
      <c r="I21" s="157"/>
    </row>
    <row r="22" spans="1:9" s="542" customFormat="1" ht="12" customHeight="1" x14ac:dyDescent="0.2">
      <c r="A22" s="824" t="s">
        <v>560</v>
      </c>
      <c r="B22" s="825"/>
      <c r="C22" s="823">
        <v>2200</v>
      </c>
      <c r="D22" s="1805"/>
      <c r="E22" s="1807">
        <f>'Expenditures 15-22'!K47-SUM('Expenditures 15-22'!G47,'Expenditures 15-22'!I47)+'Expenditures 15-22'!D243</f>
        <v>56183</v>
      </c>
      <c r="F22" s="1805"/>
      <c r="G22" s="1808">
        <f>'Expenditures 15-22'!K47-SUM('Expenditures 15-22'!G47,'Expenditures 15-22'!I47)+'Expenditures 15-22'!D243</f>
        <v>56183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769923</v>
      </c>
      <c r="F23" s="1805"/>
      <c r="G23" s="1807">
        <f>'Expenditures 15-22'!K53-SUM('Expenditures 15-22'!G53,'Expenditures 15-22'!I53)+'Expenditures 15-22'!D257+'Expenditures 15-22'!K330-SUM('Expenditures 15-22'!G330,'Expenditures 15-22'!I330)</f>
        <v>769923</v>
      </c>
      <c r="H23" s="817"/>
      <c r="I23" s="157"/>
    </row>
    <row r="24" spans="1:9" s="542" customFormat="1" ht="12" customHeight="1" x14ac:dyDescent="0.2">
      <c r="A24" s="824" t="s">
        <v>562</v>
      </c>
      <c r="B24" s="825"/>
      <c r="C24" s="823">
        <v>2400</v>
      </c>
      <c r="D24" s="1805"/>
      <c r="E24" s="1807">
        <f>'Expenditures 15-22'!K57-SUM('Expenditures 15-22'!G57,'Expenditures 15-22'!I57)+'Expenditures 15-22'!D261</f>
        <v>344054</v>
      </c>
      <c r="F24" s="1805"/>
      <c r="G24" s="1808">
        <f>'Expenditures 15-22'!K57-SUM('Expenditures 15-22'!G57,'Expenditures 15-22'!I57)+'Expenditures 15-22'!D261</f>
        <v>344054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96820</v>
      </c>
      <c r="E27" s="1807">
        <f>E8</f>
        <v>0</v>
      </c>
      <c r="F27" s="1807">
        <f>'Expenditures 15-22'!K60-SUM('Expenditures 15-22'!G60,'Expenditures 15-22'!I60)+'Expenditures 15-22'!D264-E8</f>
        <v>96820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556142</v>
      </c>
      <c r="F28" s="1809">
        <f>'Expenditures 15-22'!K61-SUM('Expenditures 15-22'!G61,'Expenditures 15-22'!I61)+'Expenditures 15-22'!K124-SUM('Expenditures 15-22'!G124,'Expenditures 15-22'!I124)+'Expenditures 15-22'!D266-E9</f>
        <v>556142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299362</v>
      </c>
      <c r="F29" s="1805"/>
      <c r="G29" s="1808">
        <f>'Expenditures 15-22'!K62-SUM('Expenditures 15-22'!G62,'Expenditures 15-22'!I62)+'Expenditures 15-22'!K125-SUM('Expenditures 15-22'!G125,'Expenditures 15-22'!I125)+'Expenditures 15-22'!K182-SUM('Expenditures 15-22'!G182,'Expenditures 15-22'!I182)+'Expenditures 15-22'!D267</f>
        <v>299362</v>
      </c>
      <c r="H29" s="815"/>
    </row>
    <row r="30" spans="1:9" ht="12" customHeight="1" x14ac:dyDescent="0.2">
      <c r="A30" s="824" t="s">
        <v>100</v>
      </c>
      <c r="B30" s="827"/>
      <c r="C30" s="823">
        <v>2560</v>
      </c>
      <c r="D30" s="1805"/>
      <c r="E30" s="1807">
        <f>'Expenditures 15-22'!K63-SUM('Expenditures 15-22'!G63,'Expenditures 15-22'!I63)+'Expenditures 15-22'!D268-E10</f>
        <v>162064</v>
      </c>
      <c r="F30" s="1805"/>
      <c r="G30" s="1807">
        <f>'Expenditures 15-22'!K63-SUM('Expenditures 15-22'!G63,'Expenditures 15-22'!I63)+'Expenditures 15-22'!D268-E10</f>
        <v>162064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932</v>
      </c>
      <c r="F35" s="1805"/>
      <c r="G35" s="1807">
        <f>'Expenditures 15-22'!K69-SUM('Expenditures 15-22'!G69,'Expenditures 15-22'!I69)+'Expenditures 15-22'!D274</f>
        <v>932</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96820</v>
      </c>
      <c r="E41" s="1809">
        <f>SUM(E19:E40)</f>
        <v>5082828</v>
      </c>
      <c r="F41" s="1809">
        <f>SUM(F19:F39)</f>
        <v>652962</v>
      </c>
      <c r="G41" s="1809">
        <f>SUM(G19:G40)</f>
        <v>4526686</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96820</v>
      </c>
      <c r="F43" s="1458" t="s">
        <v>470</v>
      </c>
      <c r="G43" s="1810">
        <f>F41</f>
        <v>652962</v>
      </c>
    </row>
    <row r="44" spans="1:7" ht="12" customHeight="1" x14ac:dyDescent="0.2">
      <c r="A44" s="817"/>
      <c r="B44" s="157"/>
      <c r="C44" s="831"/>
      <c r="D44" s="1458" t="s">
        <v>471</v>
      </c>
      <c r="E44" s="1810">
        <f>E41</f>
        <v>5082828</v>
      </c>
      <c r="F44" s="1458" t="s">
        <v>471</v>
      </c>
      <c r="G44" s="1810">
        <f>G41</f>
        <v>4526686</v>
      </c>
    </row>
    <row r="45" spans="1:7" ht="12" customHeight="1" x14ac:dyDescent="0.2">
      <c r="A45" s="817"/>
      <c r="B45" s="157"/>
      <c r="C45" s="157"/>
      <c r="D45" s="1459" t="s">
        <v>999</v>
      </c>
      <c r="E45" s="1811">
        <f>(E43/E44)</f>
        <v>1.9048450980438447E-2</v>
      </c>
      <c r="F45" s="1459" t="s">
        <v>999</v>
      </c>
      <c r="G45" s="1811">
        <f>(G43/G44)</f>
        <v>0.14424724842854131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Heritage SD 8</v>
      </c>
      <c r="D6" s="2415"/>
      <c r="E6" s="2415"/>
      <c r="F6" s="1482"/>
      <c r="G6" s="1507"/>
      <c r="L6" s="1507"/>
      <c r="M6" s="1855"/>
      <c r="N6" s="1855"/>
      <c r="O6" s="1855"/>
    </row>
    <row r="7" spans="1:15" ht="11.25" customHeight="1" thickBot="1" x14ac:dyDescent="0.3">
      <c r="A7" s="1480"/>
      <c r="B7" s="1481"/>
      <c r="C7" s="2416">
        <f>COVER!A13</f>
        <v>9010008026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2076</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t="s">
        <v>2051</v>
      </c>
      <c r="F32" s="1497" t="s">
        <v>2075</v>
      </c>
      <c r="G32" s="1507"/>
      <c r="H32" s="1507">
        <f t="shared" si="0"/>
        <v>5</v>
      </c>
      <c r="I32" s="1507">
        <f t="shared" si="1"/>
        <v>5</v>
      </c>
      <c r="J32" s="1507">
        <f t="shared" si="2"/>
        <v>5</v>
      </c>
      <c r="L32" s="1507"/>
      <c r="M32" s="1855"/>
      <c r="N32" s="1855"/>
      <c r="O32" s="1855"/>
    </row>
    <row r="33" spans="1:15" ht="12" customHeight="1" x14ac:dyDescent="0.2">
      <c r="A33" s="1493" t="s">
        <v>1524</v>
      </c>
      <c r="B33" s="1494"/>
      <c r="C33" s="1495" t="s">
        <v>2051</v>
      </c>
      <c r="D33" s="1495" t="s">
        <v>2051</v>
      </c>
      <c r="E33" s="1498" t="s">
        <v>2051</v>
      </c>
      <c r="F33" s="1497" t="s">
        <v>2074</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Heritage SD 8</v>
      </c>
      <c r="K6" s="2437"/>
      <c r="L6" s="2451"/>
      <c r="M6" s="838"/>
      <c r="N6" s="1999"/>
    </row>
    <row r="7" spans="1:14" x14ac:dyDescent="0.2">
      <c r="A7" s="2452" t="s">
        <v>864</v>
      </c>
      <c r="B7" s="2453"/>
      <c r="C7" s="2453"/>
      <c r="D7" s="2453"/>
      <c r="E7" s="2454"/>
      <c r="F7" s="839"/>
      <c r="G7" s="838"/>
      <c r="H7" s="838"/>
      <c r="I7" s="1925" t="s">
        <v>369</v>
      </c>
      <c r="J7" s="2439">
        <f>COVER!A13</f>
        <v>9010008026</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128227</v>
      </c>
      <c r="F12" s="1943"/>
      <c r="G12" s="1969">
        <f>G68</f>
        <v>13545</v>
      </c>
      <c r="H12" s="1945">
        <f t="shared" ref="H12:H18" si="0">SUM(E12:G12)</f>
        <v>141772</v>
      </c>
      <c r="I12" s="1944">
        <v>129034</v>
      </c>
      <c r="J12" s="1943"/>
      <c r="K12" s="1944"/>
      <c r="L12" s="1945">
        <f t="shared" ref="L12:L18" si="1">SUM(I12:K12)</f>
        <v>129034</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128227</v>
      </c>
      <c r="F19" s="1951">
        <f t="shared" si="2"/>
        <v>0</v>
      </c>
      <c r="G19" s="1951">
        <f t="shared" ref="G19" si="3">SUM(G12:G17)-G18</f>
        <v>13545</v>
      </c>
      <c r="H19" s="1951">
        <f t="shared" si="2"/>
        <v>141772</v>
      </c>
      <c r="I19" s="1951">
        <f t="shared" si="2"/>
        <v>129034</v>
      </c>
      <c r="J19" s="1951">
        <f t="shared" si="2"/>
        <v>0</v>
      </c>
      <c r="K19" s="1951">
        <f t="shared" si="2"/>
        <v>0</v>
      </c>
      <c r="L19" s="1951">
        <f t="shared" si="2"/>
        <v>129034</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-8.9848489123381198E-2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Heritage SD 8</v>
      </c>
      <c r="M52" s="2437"/>
      <c r="N52" s="2438"/>
    </row>
    <row r="53" spans="1:14" x14ac:dyDescent="0.2">
      <c r="A53" s="1983"/>
      <c r="B53" s="1984"/>
      <c r="C53" s="1984"/>
      <c r="D53" s="1984"/>
      <c r="E53" s="1984"/>
      <c r="F53" s="1984"/>
      <c r="G53" s="1984"/>
      <c r="H53" s="1984"/>
      <c r="I53" s="1984"/>
      <c r="J53" s="1984"/>
      <c r="K53" s="1925" t="s">
        <v>369</v>
      </c>
      <c r="L53" s="2439">
        <f>J7</f>
        <v>9010008026</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19" t="s">
        <v>297</v>
      </c>
      <c r="B59" s="2420"/>
      <c r="C59" s="2420"/>
      <c r="D59" s="1968">
        <v>2363</v>
      </c>
      <c r="E59" s="1978">
        <f>'Expenditures 15-22'!K321</f>
        <v>198</v>
      </c>
      <c r="F59" s="1973"/>
      <c r="G59" s="2032"/>
      <c r="H59" s="2033"/>
      <c r="I59" s="2033"/>
      <c r="J59" s="2033"/>
      <c r="K59" s="2033"/>
      <c r="L59" s="2033"/>
      <c r="M59" s="2033">
        <v>198</v>
      </c>
      <c r="N59" s="1976">
        <f>IF((SUM(G59:M59))=E59,SUM(G59:M59),"Column N does not agree with Column E")</f>
        <v>198</v>
      </c>
    </row>
    <row r="60" spans="1:14" ht="24" customHeight="1" x14ac:dyDescent="0.2">
      <c r="A60" s="2419" t="s">
        <v>236</v>
      </c>
      <c r="B60" s="2420"/>
      <c r="C60" s="2420"/>
      <c r="D60" s="1968">
        <v>2364</v>
      </c>
      <c r="E60" s="1978">
        <f>'Expenditures 15-22'!K322</f>
        <v>78271</v>
      </c>
      <c r="F60" s="1973"/>
      <c r="G60" s="2032"/>
      <c r="H60" s="2033"/>
      <c r="I60" s="2033"/>
      <c r="J60" s="2033"/>
      <c r="K60" s="2033"/>
      <c r="L60" s="2033"/>
      <c r="M60" s="2033">
        <v>78271</v>
      </c>
      <c r="N60" s="1976">
        <f t="shared" ref="N60:N67" si="4">IF((SUM(G60:M60))=E60,SUM(G60:M60),"Column N does not agree with Column E")</f>
        <v>78271</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463101</v>
      </c>
      <c r="F63" s="1973"/>
      <c r="G63" s="2032">
        <v>13545</v>
      </c>
      <c r="H63" s="2033"/>
      <c r="I63" s="2033"/>
      <c r="J63" s="2033"/>
      <c r="K63" s="2033"/>
      <c r="L63" s="2033"/>
      <c r="M63" s="2033">
        <v>449556</v>
      </c>
      <c r="N63" s="1976">
        <f t="shared" si="4"/>
        <v>463101</v>
      </c>
    </row>
    <row r="64" spans="1:14" ht="24" customHeight="1" x14ac:dyDescent="0.2">
      <c r="A64" s="2419" t="s">
        <v>1023</v>
      </c>
      <c r="B64" s="2420"/>
      <c r="C64" s="2420"/>
      <c r="D64" s="1968">
        <v>2368</v>
      </c>
      <c r="E64" s="1978">
        <f>'Expenditures 15-22'!K326</f>
        <v>37434</v>
      </c>
      <c r="F64" s="1973"/>
      <c r="G64" s="2032"/>
      <c r="H64" s="2033"/>
      <c r="I64" s="2033"/>
      <c r="J64" s="2033"/>
      <c r="K64" s="2033"/>
      <c r="L64" s="2033"/>
      <c r="M64" s="2033">
        <v>37434</v>
      </c>
      <c r="N64" s="1976">
        <f t="shared" si="4"/>
        <v>37434</v>
      </c>
    </row>
    <row r="65" spans="1:14" ht="24" customHeight="1" x14ac:dyDescent="0.2">
      <c r="A65" s="2419" t="s">
        <v>965</v>
      </c>
      <c r="B65" s="2420"/>
      <c r="C65" s="2420"/>
      <c r="D65" s="1968">
        <v>2369</v>
      </c>
      <c r="E65" s="1978">
        <f>'Expenditures 15-22'!K327</f>
        <v>6107</v>
      </c>
      <c r="F65" s="1973"/>
      <c r="G65" s="2032"/>
      <c r="H65" s="2033"/>
      <c r="I65" s="2033"/>
      <c r="J65" s="2033"/>
      <c r="K65" s="2033"/>
      <c r="L65" s="2033"/>
      <c r="M65" s="2033">
        <v>6107</v>
      </c>
      <c r="N65" s="1976">
        <f t="shared" si="4"/>
        <v>6107</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585111</v>
      </c>
      <c r="F68" s="1974"/>
      <c r="G68" s="1975">
        <f t="shared" ref="G68:N68" si="5">SUM(G57:G67)</f>
        <v>13545</v>
      </c>
      <c r="H68" s="1975">
        <f t="shared" si="5"/>
        <v>0</v>
      </c>
      <c r="I68" s="1975">
        <f t="shared" si="5"/>
        <v>0</v>
      </c>
      <c r="J68" s="1975">
        <f t="shared" si="5"/>
        <v>0</v>
      </c>
      <c r="K68" s="1975">
        <f t="shared" si="5"/>
        <v>0</v>
      </c>
      <c r="L68" s="1975">
        <f t="shared" si="5"/>
        <v>0</v>
      </c>
      <c r="M68" s="1975">
        <f t="shared" si="5"/>
        <v>571566</v>
      </c>
      <c r="N68" s="1989">
        <f t="shared" si="5"/>
        <v>585111</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2077</v>
      </c>
    </row>
    <row r="6" spans="1:2" x14ac:dyDescent="0.2">
      <c r="A6" s="847"/>
      <c r="B6" s="307" t="s">
        <v>2078</v>
      </c>
    </row>
    <row r="7" spans="1:2" x14ac:dyDescent="0.2">
      <c r="A7" s="847"/>
      <c r="B7" s="307" t="s">
        <v>2079</v>
      </c>
    </row>
    <row r="8" spans="1:2" x14ac:dyDescent="0.2">
      <c r="A8" s="847"/>
      <c r="B8" s="307" t="s">
        <v>2080</v>
      </c>
    </row>
    <row r="9" spans="1:2" x14ac:dyDescent="0.2">
      <c r="A9" s="847"/>
      <c r="B9" s="307" t="s">
        <v>2081</v>
      </c>
    </row>
    <row r="10" spans="1:2" x14ac:dyDescent="0.2">
      <c r="A10" s="847"/>
      <c r="B10" s="307" t="s">
        <v>2082</v>
      </c>
    </row>
    <row r="11" spans="1:2" x14ac:dyDescent="0.2">
      <c r="A11" s="847"/>
    </row>
    <row r="12" spans="1:2" x14ac:dyDescent="0.2">
      <c r="A12" s="847">
        <v>2</v>
      </c>
      <c r="B12" s="307" t="s">
        <v>2086</v>
      </c>
    </row>
    <row r="13" spans="1:2" x14ac:dyDescent="0.2">
      <c r="A13" s="847"/>
      <c r="B13" s="307" t="s">
        <v>2087</v>
      </c>
    </row>
    <row r="14" spans="1:2" x14ac:dyDescent="0.2">
      <c r="A14" s="847"/>
      <c r="B14" s="307" t="s">
        <v>2088</v>
      </c>
    </row>
    <row r="15" spans="1:2" x14ac:dyDescent="0.2">
      <c r="A15" s="847"/>
    </row>
    <row r="16" spans="1:2" x14ac:dyDescent="0.2">
      <c r="A16" s="847">
        <v>3</v>
      </c>
      <c r="B16" s="307" t="s">
        <v>2089</v>
      </c>
    </row>
    <row r="17" spans="1:2" x14ac:dyDescent="0.2">
      <c r="A17" s="847"/>
      <c r="B17" s="307" t="s">
        <v>2090</v>
      </c>
    </row>
    <row r="18" spans="1:2" x14ac:dyDescent="0.2">
      <c r="A18" s="847"/>
      <c r="B18" s="307" t="s">
        <v>2091</v>
      </c>
    </row>
    <row r="19" spans="1:2" x14ac:dyDescent="0.2">
      <c r="A19" s="847"/>
    </row>
    <row r="20" spans="1:2" x14ac:dyDescent="0.2">
      <c r="A20" s="847">
        <v>4</v>
      </c>
      <c r="B20" s="307" t="s">
        <v>2083</v>
      </c>
    </row>
    <row r="21" spans="1:2" x14ac:dyDescent="0.2">
      <c r="A21" s="848"/>
      <c r="B21" s="307" t="s">
        <v>2084</v>
      </c>
    </row>
    <row r="22" spans="1:2" x14ac:dyDescent="0.2">
      <c r="A22" s="848"/>
      <c r="B22" s="307" t="s">
        <v>2085</v>
      </c>
    </row>
    <row r="23" spans="1:2" x14ac:dyDescent="0.2">
      <c r="A23" s="848"/>
    </row>
    <row r="24" spans="1:2" x14ac:dyDescent="0.2">
      <c r="A24" s="847">
        <v>5</v>
      </c>
      <c r="B24" s="307" t="s">
        <v>2092</v>
      </c>
    </row>
    <row r="25" spans="1:2" x14ac:dyDescent="0.2">
      <c r="A25" s="848"/>
      <c r="B25" s="307" t="s">
        <v>2084</v>
      </c>
    </row>
    <row r="26" spans="1:2" x14ac:dyDescent="0.2">
      <c r="A26" s="848"/>
      <c r="B26" s="307" t="s">
        <v>2093</v>
      </c>
    </row>
    <row r="27" spans="1:2" x14ac:dyDescent="0.2">
      <c r="A27" s="848"/>
    </row>
    <row r="28" spans="1:2" x14ac:dyDescent="0.2">
      <c r="A28" s="848"/>
      <c r="B28" s="307" t="s">
        <v>2094</v>
      </c>
    </row>
    <row r="29" spans="1:2" x14ac:dyDescent="0.2">
      <c r="A29" s="848"/>
      <c r="B29" s="307" t="s">
        <v>2095</v>
      </c>
    </row>
    <row r="30" spans="1:2" x14ac:dyDescent="0.2">
      <c r="A30" s="848"/>
    </row>
    <row r="31" spans="1:2" x14ac:dyDescent="0.2">
      <c r="A31" s="848"/>
      <c r="B31" s="307" t="s">
        <v>2087</v>
      </c>
    </row>
    <row r="32" spans="1:2" x14ac:dyDescent="0.2">
      <c r="A32" s="848"/>
      <c r="B32" s="307" t="s">
        <v>2096</v>
      </c>
    </row>
    <row r="33" spans="1:2" x14ac:dyDescent="0.2">
      <c r="A33" s="848"/>
    </row>
    <row r="34" spans="1:2" x14ac:dyDescent="0.2">
      <c r="A34" s="847">
        <v>6</v>
      </c>
      <c r="B34" s="307" t="s">
        <v>2097</v>
      </c>
    </row>
    <row r="35" spans="1:2" x14ac:dyDescent="0.2">
      <c r="A35" s="848"/>
      <c r="B35" s="307" t="s">
        <v>2084</v>
      </c>
    </row>
    <row r="36" spans="1:2" x14ac:dyDescent="0.2">
      <c r="A36" s="848"/>
      <c r="B36" s="307" t="s">
        <v>2098</v>
      </c>
    </row>
    <row r="37" spans="1:2" x14ac:dyDescent="0.2">
      <c r="A37" s="848"/>
    </row>
    <row r="38" spans="1:2" x14ac:dyDescent="0.2">
      <c r="A38" s="847">
        <v>7</v>
      </c>
      <c r="B38" s="307" t="s">
        <v>2099</v>
      </c>
    </row>
    <row r="39" spans="1:2" x14ac:dyDescent="0.2">
      <c r="A39" s="848"/>
      <c r="B39" s="307" t="s">
        <v>2084</v>
      </c>
    </row>
    <row r="40" spans="1:2" x14ac:dyDescent="0.2">
      <c r="A40" s="848"/>
      <c r="B40" s="307" t="s">
        <v>2100</v>
      </c>
    </row>
    <row r="41" spans="1:2" x14ac:dyDescent="0.2">
      <c r="A41" s="848"/>
    </row>
    <row r="42" spans="1:2" x14ac:dyDescent="0.2">
      <c r="A42" s="847">
        <v>8</v>
      </c>
      <c r="B42" s="307" t="s">
        <v>2101</v>
      </c>
    </row>
    <row r="43" spans="1:2" x14ac:dyDescent="0.2">
      <c r="A43" s="848"/>
      <c r="B43" s="307" t="s">
        <v>2102</v>
      </c>
    </row>
    <row r="44" spans="1:2" x14ac:dyDescent="0.2">
      <c r="A44" s="848"/>
    </row>
    <row r="45" spans="1:2" x14ac:dyDescent="0.2">
      <c r="A45" s="847">
        <v>9</v>
      </c>
      <c r="B45" s="307" t="s">
        <v>2103</v>
      </c>
    </row>
    <row r="46" spans="1:2" x14ac:dyDescent="0.2">
      <c r="A46" s="848"/>
      <c r="B46" s="307" t="s">
        <v>2104</v>
      </c>
    </row>
    <row r="47" spans="1:2" x14ac:dyDescent="0.2">
      <c r="A47" s="848"/>
    </row>
    <row r="48" spans="1:2" x14ac:dyDescent="0.2">
      <c r="A48" s="848"/>
      <c r="B48" s="307" t="s">
        <v>2105</v>
      </c>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c r="B75" s="253" t="str">
        <f>COVER!A17</f>
        <v xml:space="preserve"> Heritage SD 8</v>
      </c>
    </row>
    <row r="76" spans="1:2" x14ac:dyDescent="0.2">
      <c r="B76" s="849">
        <f>COVER!A13</f>
        <v>9010008026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3226401</v>
      </c>
      <c r="C8" s="1813">
        <f>'Acct Summary 7-8'!D8</f>
        <v>621672</v>
      </c>
      <c r="D8" s="1813">
        <f>'Acct Summary 7-8'!F8</f>
        <v>356533</v>
      </c>
      <c r="E8" s="1813">
        <f>'Acct Summary 7-8'!I8</f>
        <v>47899</v>
      </c>
      <c r="F8" s="1813">
        <f>SUM(B8:E8)</f>
        <v>4252505</v>
      </c>
    </row>
    <row r="9" spans="1:8" s="858" customFormat="1" ht="14.25" customHeight="1" thickBot="1" x14ac:dyDescent="0.25">
      <c r="A9" s="857" t="s">
        <v>1353</v>
      </c>
      <c r="B9" s="1814">
        <f>'Acct Summary 7-8'!C17</f>
        <v>3931727</v>
      </c>
      <c r="C9" s="1814">
        <f>'Acct Summary 7-8'!D17</f>
        <v>527657</v>
      </c>
      <c r="D9" s="1814">
        <f>'Acct Summary 7-8'!F17</f>
        <v>457686</v>
      </c>
      <c r="E9" s="1813"/>
      <c r="F9" s="1813">
        <f>SUM(B9:E9)</f>
        <v>4917070</v>
      </c>
    </row>
    <row r="10" spans="1:8" s="858" customFormat="1" ht="14.25" thickTop="1" thickBot="1" x14ac:dyDescent="0.25">
      <c r="A10" s="859" t="s">
        <v>1354</v>
      </c>
      <c r="B10" s="1815">
        <f>(B8-B9)</f>
        <v>-705326</v>
      </c>
      <c r="C10" s="1815">
        <f>(C8-C9)</f>
        <v>94015</v>
      </c>
      <c r="D10" s="1815">
        <f>(D8-D9)</f>
        <v>-101153</v>
      </c>
      <c r="E10" s="1814">
        <f>(E8-E9)</f>
        <v>47899</v>
      </c>
      <c r="F10" s="1816">
        <f>SUM(F8-F9)</f>
        <v>-664565</v>
      </c>
    </row>
    <row r="11" spans="1:8" s="858" customFormat="1" ht="14.25" thickTop="1" thickBot="1" x14ac:dyDescent="0.25">
      <c r="A11" s="860" t="s">
        <v>1903</v>
      </c>
      <c r="B11" s="1817">
        <f>'Acct Summary 7-8'!C81</f>
        <v>801838</v>
      </c>
      <c r="C11" s="1817">
        <f>'Acct Summary 7-8'!D81</f>
        <v>676128</v>
      </c>
      <c r="D11" s="1817">
        <f>'Acct Summary 7-8'!F81</f>
        <v>408464</v>
      </c>
      <c r="E11" s="1817">
        <f>'Acct Summary 7-8'!I81</f>
        <v>1157507</v>
      </c>
      <c r="F11" s="1818">
        <f>SUM(B11:E11)</f>
        <v>3043937</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9010008026</v>
      </c>
      <c r="E2" s="1542">
        <v>2020</v>
      </c>
      <c r="F2" s="1542">
        <v>1</v>
      </c>
      <c r="G2" s="1899">
        <v>101000300</v>
      </c>
    </row>
    <row r="3" spans="1:7" ht="15" x14ac:dyDescent="0.25">
      <c r="A3" t="s">
        <v>950</v>
      </c>
      <c r="B3" s="135" t="str">
        <f>COVER!A15</f>
        <v>CHAMPAIGN</v>
      </c>
      <c r="E3" s="1830" t="s">
        <v>1971</v>
      </c>
      <c r="F3" s="1830" t="s">
        <v>1970</v>
      </c>
      <c r="G3" s="1899">
        <v>101000400</v>
      </c>
    </row>
    <row r="4" spans="1:7" ht="15" x14ac:dyDescent="0.25">
      <c r="A4" t="s">
        <v>1000</v>
      </c>
      <c r="B4" s="135" t="str">
        <f>COVER!A17</f>
        <v xml:space="preserve"> Heritage SD 8</v>
      </c>
      <c r="E4" s="1828">
        <v>44119</v>
      </c>
      <c r="F4" s="1829">
        <v>44151</v>
      </c>
      <c r="G4" s="1899">
        <v>101000600</v>
      </c>
    </row>
    <row r="5" spans="1:7" ht="15" x14ac:dyDescent="0.25">
      <c r="A5" t="s">
        <v>699</v>
      </c>
      <c r="B5" s="135" t="str">
        <f>COVER!A38</f>
        <v>Tom Davis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520000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806894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5056</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5056</v>
      </c>
      <c r="C91" s="2" t="s">
        <v>569</v>
      </c>
      <c r="D91" s="2" t="str">
        <f t="shared" si="0"/>
        <v>Error?</v>
      </c>
      <c r="G91" s="1899">
        <v>102640400</v>
      </c>
    </row>
    <row r="92" spans="1:7" ht="15" x14ac:dyDescent="0.25">
      <c r="A92" s="5">
        <v>31</v>
      </c>
      <c r="B92" s="1832">
        <f>'Assets-Liab 5-6'!C39</f>
        <v>801838</v>
      </c>
      <c r="D92" s="2" t="str">
        <f t="shared" si="0"/>
        <v>Error?</v>
      </c>
      <c r="G92" s="1899">
        <v>102640600</v>
      </c>
    </row>
    <row r="93" spans="1:7" ht="15" x14ac:dyDescent="0.25">
      <c r="A93" s="5">
        <v>32</v>
      </c>
      <c r="B93" s="1832">
        <f>'Assets-Liab 5-6'!C41</f>
        <v>806894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676128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626128</v>
      </c>
      <c r="D123" s="2" t="str">
        <f t="shared" si="0"/>
        <v>Error?</v>
      </c>
      <c r="G123" s="1899">
        <v>203000400</v>
      </c>
    </row>
    <row r="124" spans="1:7" ht="15" x14ac:dyDescent="0.25">
      <c r="A124" s="5">
        <v>63</v>
      </c>
      <c r="B124" s="1832">
        <f>'Assets-Liab 5-6'!D41</f>
        <v>676128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35492</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35492</v>
      </c>
      <c r="C139" s="2" t="s">
        <v>569</v>
      </c>
      <c r="D139" s="2" t="str">
        <f t="shared" si="1"/>
        <v>Error?</v>
      </c>
    </row>
    <row r="140" spans="1:7" x14ac:dyDescent="0.2">
      <c r="A140" s="5">
        <v>79</v>
      </c>
      <c r="B140" s="1832">
        <f>'Assets-Liab 5-6'!E39</f>
        <v>-35492</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408464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408464</v>
      </c>
      <c r="D170" s="2" t="str">
        <f t="shared" si="1"/>
        <v>Error?</v>
      </c>
    </row>
    <row r="171" spans="1:4" x14ac:dyDescent="0.2">
      <c r="A171" s="5">
        <v>110</v>
      </c>
      <c r="B171" s="1832">
        <f>'Assets-Liab 5-6'!F41</f>
        <v>408464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166303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166303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89883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89883</v>
      </c>
      <c r="D212" s="2" t="str">
        <f t="shared" si="2"/>
        <v>Error?</v>
      </c>
    </row>
    <row r="213" spans="1:4" x14ac:dyDescent="0.2">
      <c r="A213" s="12">
        <v>152</v>
      </c>
      <c r="B213" s="1832">
        <f>'Assets-Liab 5-6'!H41</f>
        <v>89883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85250</v>
      </c>
      <c r="D273" s="2" t="str">
        <f t="shared" si="3"/>
        <v>Error?</v>
      </c>
    </row>
    <row r="274" spans="1:4" x14ac:dyDescent="0.2">
      <c r="A274" s="5">
        <v>213</v>
      </c>
      <c r="B274" s="1832">
        <f>'Assets-Liab 5-6'!M17</f>
        <v>9477737</v>
      </c>
      <c r="D274" s="2" t="str">
        <f t="shared" si="3"/>
        <v>Error?</v>
      </c>
    </row>
    <row r="275" spans="1:4" x14ac:dyDescent="0.2">
      <c r="A275" s="5">
        <v>214</v>
      </c>
      <c r="B275" s="1832">
        <f>'Assets-Liab 5-6'!M18</f>
        <v>1380298</v>
      </c>
      <c r="D275" s="2" t="str">
        <f t="shared" si="3"/>
        <v>Error?</v>
      </c>
    </row>
    <row r="276" spans="1:4" x14ac:dyDescent="0.2">
      <c r="A276" s="5">
        <v>215</v>
      </c>
      <c r="B276" s="1832">
        <f>'Assets-Liab 5-6'!M19</f>
        <v>4267182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15210467</v>
      </c>
      <c r="C279" s="2" t="s">
        <v>569</v>
      </c>
      <c r="D279" s="2" t="str">
        <f t="shared" si="3"/>
        <v>Error?</v>
      </c>
    </row>
    <row r="280" spans="1:4" x14ac:dyDescent="0.2">
      <c r="A280" s="5">
        <v>219</v>
      </c>
      <c r="B280" s="1832">
        <f>'Assets-Liab 5-6'!M40</f>
        <v>15210467</v>
      </c>
      <c r="D280" s="2" t="str">
        <f t="shared" si="3"/>
        <v>Error?</v>
      </c>
    </row>
    <row r="281" spans="1:4" x14ac:dyDescent="0.2">
      <c r="A281" s="5">
        <v>220</v>
      </c>
      <c r="B281" s="1832">
        <f>'Assets-Liab 5-6'!M41</f>
        <v>15210467</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4597131</v>
      </c>
      <c r="D283" s="2" t="str">
        <f t="shared" si="3"/>
        <v>Error?</v>
      </c>
    </row>
    <row r="284" spans="1:4" x14ac:dyDescent="0.2">
      <c r="A284" s="5">
        <v>223</v>
      </c>
      <c r="B284" s="1832">
        <f>'Assets-Liab 5-6'!N23</f>
        <v>4597131</v>
      </c>
      <c r="C284" s="2" t="s">
        <v>569</v>
      </c>
      <c r="D284" s="2" t="str">
        <f t="shared" si="3"/>
        <v>Error?</v>
      </c>
    </row>
    <row r="285" spans="1:4" x14ac:dyDescent="0.2">
      <c r="A285" s="5">
        <v>224</v>
      </c>
      <c r="B285" s="1832">
        <f>'Assets-Liab 5-6'!N36</f>
        <v>4597131</v>
      </c>
      <c r="D285" s="2" t="str">
        <f t="shared" si="3"/>
        <v>Error?</v>
      </c>
    </row>
    <row r="286" spans="1:4" x14ac:dyDescent="0.2">
      <c r="A286" s="10">
        <v>225</v>
      </c>
      <c r="B286" s="1832"/>
      <c r="D286" s="2" t="str">
        <f t="shared" si="3"/>
        <v>OK</v>
      </c>
    </row>
    <row r="287" spans="1:4" x14ac:dyDescent="0.2">
      <c r="A287" s="5">
        <v>226</v>
      </c>
      <c r="B287" s="1832">
        <f>'Assets-Liab 5-6'!N37</f>
        <v>4597131</v>
      </c>
      <c r="C287" s="2" t="s">
        <v>569</v>
      </c>
      <c r="D287" s="2" t="str">
        <f t="shared" si="3"/>
        <v>Error?</v>
      </c>
    </row>
    <row r="288" spans="1:4" x14ac:dyDescent="0.2">
      <c r="A288" s="5">
        <v>227</v>
      </c>
      <c r="B288" s="1832">
        <f>'Assets-Liab 5-6'!N41</f>
        <v>4597131</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520000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1576557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56555</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1952123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57259</v>
      </c>
      <c r="D722" s="2" t="str">
        <f t="shared" si="10"/>
        <v>Error?</v>
      </c>
    </row>
    <row r="723" spans="1:4" x14ac:dyDescent="0.2">
      <c r="A723" s="5">
        <v>662</v>
      </c>
      <c r="B723" s="1832">
        <f>'Expenditures 15-22'!C38</f>
        <v>19800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77059</v>
      </c>
      <c r="C727" s="2" t="s">
        <v>569</v>
      </c>
      <c r="D727" s="2" t="str">
        <f t="shared" si="10"/>
        <v>Error?</v>
      </c>
    </row>
    <row r="728" spans="1:4" x14ac:dyDescent="0.2">
      <c r="A728" s="5">
        <v>667</v>
      </c>
      <c r="B728" s="1832">
        <f>'Expenditures 15-22'!C44</f>
        <v>13728</v>
      </c>
      <c r="D728" s="2" t="str">
        <f t="shared" si="10"/>
        <v>Error?</v>
      </c>
    </row>
    <row r="729" spans="1:4" x14ac:dyDescent="0.2">
      <c r="A729" s="5">
        <v>668</v>
      </c>
      <c r="B729" s="1832">
        <f>'Expenditures 15-22'!C45</f>
        <v>23302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37030</v>
      </c>
      <c r="C731" s="2" t="s">
        <v>569</v>
      </c>
      <c r="D731" s="2" t="str">
        <f t="shared" si="10"/>
        <v>Error?</v>
      </c>
    </row>
    <row r="732" spans="1:4" x14ac:dyDescent="0.2">
      <c r="A732" s="5">
        <v>671</v>
      </c>
      <c r="B732" s="1832">
        <f>'Expenditures 15-22'!C49</f>
        <v>2874</v>
      </c>
      <c r="D732" s="2" t="str">
        <f t="shared" si="10"/>
        <v>Error?</v>
      </c>
    </row>
    <row r="733" spans="1:4" x14ac:dyDescent="0.2">
      <c r="A733" s="5">
        <v>672</v>
      </c>
      <c r="B733" s="1832">
        <f>'Expenditures 15-22'!C50</f>
        <v>100622</v>
      </c>
      <c r="D733" s="2" t="str">
        <f t="shared" si="10"/>
        <v>Error?</v>
      </c>
    </row>
    <row r="734" spans="1:4" x14ac:dyDescent="0.2">
      <c r="A734" s="5">
        <v>673</v>
      </c>
      <c r="B734" s="1832">
        <f>'Expenditures 15-22'!C53</f>
        <v>103496</v>
      </c>
      <c r="C734" s="2" t="s">
        <v>569</v>
      </c>
      <c r="D734" s="2" t="str">
        <f t="shared" si="10"/>
        <v>Error?</v>
      </c>
    </row>
    <row r="735" spans="1:4" x14ac:dyDescent="0.2">
      <c r="A735" s="5">
        <v>674</v>
      </c>
      <c r="B735" s="1832">
        <f>'Expenditures 15-22'!C55</f>
        <v>260003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260003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57616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70991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128607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606195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2558318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216725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2172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261189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6810</v>
      </c>
      <c r="D780" s="2" t="str">
        <f t="shared" si="11"/>
        <v>Error?</v>
      </c>
    </row>
    <row r="781" spans="1:4" x14ac:dyDescent="0.2">
      <c r="A781" s="5">
        <v>720</v>
      </c>
      <c r="B781" s="1832">
        <f>'Expenditures 15-22'!D38</f>
        <v>3911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10721</v>
      </c>
      <c r="C785" s="2" t="s">
        <v>569</v>
      </c>
      <c r="D785" s="2" t="str">
        <f t="shared" si="11"/>
        <v>Error?</v>
      </c>
    </row>
    <row r="786" spans="1:4" x14ac:dyDescent="0.2">
      <c r="A786" s="5">
        <v>725</v>
      </c>
      <c r="B786" s="1832">
        <f>'Expenditures 15-22'!D44</f>
        <v>187</v>
      </c>
      <c r="D786" s="2" t="str">
        <f t="shared" si="11"/>
        <v>Error?</v>
      </c>
    </row>
    <row r="787" spans="1:4" x14ac:dyDescent="0.2">
      <c r="A787" s="5">
        <v>726</v>
      </c>
      <c r="B787" s="1832">
        <f>'Expenditures 15-22'!D45</f>
        <v>3063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3250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20141</v>
      </c>
      <c r="D791" s="2" t="str">
        <f t="shared" si="11"/>
        <v>Error?</v>
      </c>
    </row>
    <row r="792" spans="1:4" x14ac:dyDescent="0.2">
      <c r="A792" s="5">
        <v>731</v>
      </c>
      <c r="B792" s="1832">
        <f>'Expenditures 15-22'!D53</f>
        <v>20141</v>
      </c>
      <c r="C792" s="2" t="s">
        <v>569</v>
      </c>
      <c r="D792" s="2" t="str">
        <f t="shared" si="11"/>
        <v>Error?</v>
      </c>
    </row>
    <row r="793" spans="1:4" x14ac:dyDescent="0.2">
      <c r="A793" s="5">
        <v>732</v>
      </c>
      <c r="B793" s="1832">
        <f>'Expenditures 15-22'!D55</f>
        <v>39962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39962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7711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15049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22760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96834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358023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60689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100745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172292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660</v>
      </c>
      <c r="D838" s="2" t="str">
        <f t="shared" si="12"/>
        <v>Error?</v>
      </c>
    </row>
    <row r="839" spans="1:4" x14ac:dyDescent="0.2">
      <c r="A839" s="5">
        <v>778</v>
      </c>
      <c r="B839" s="1832">
        <f>'Expenditures 15-22'!E38</f>
        <v>327</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102889</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103876</v>
      </c>
      <c r="C843" s="2" t="s">
        <v>569</v>
      </c>
      <c r="D843" s="2" t="str">
        <f t="shared" si="12"/>
        <v>Error?</v>
      </c>
    </row>
    <row r="844" spans="1:4" x14ac:dyDescent="0.2">
      <c r="A844" s="5">
        <v>783</v>
      </c>
      <c r="B844" s="1832">
        <f>'Expenditures 15-22'!E44</f>
        <v>4223</v>
      </c>
      <c r="D844" s="2" t="str">
        <f t="shared" si="12"/>
        <v>Error?</v>
      </c>
    </row>
    <row r="845" spans="1:4" x14ac:dyDescent="0.2">
      <c r="A845" s="5">
        <v>784</v>
      </c>
      <c r="B845" s="1832">
        <f>'Expenditures 15-22'!E45</f>
        <v>2058</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6281</v>
      </c>
      <c r="C847" s="2" t="s">
        <v>569</v>
      </c>
      <c r="D847" s="2" t="str">
        <f t="shared" si="12"/>
        <v>Error?</v>
      </c>
    </row>
    <row r="848" spans="1:4" x14ac:dyDescent="0.2">
      <c r="A848" s="5">
        <v>787</v>
      </c>
      <c r="B848" s="1832">
        <f>'Expenditures 15-22'!E49</f>
        <v>6477</v>
      </c>
      <c r="D848" s="2" t="str">
        <f t="shared" si="12"/>
        <v>Error?</v>
      </c>
    </row>
    <row r="849" spans="1:4" x14ac:dyDescent="0.2">
      <c r="A849" s="5">
        <v>788</v>
      </c>
      <c r="B849" s="1832">
        <f>'Expenditures 15-22'!E50</f>
        <v>6534</v>
      </c>
      <c r="D849" s="2" t="str">
        <f t="shared" si="12"/>
        <v>Error?</v>
      </c>
    </row>
    <row r="850" spans="1:4" x14ac:dyDescent="0.2">
      <c r="A850" s="5">
        <v>789</v>
      </c>
      <c r="B850" s="1832">
        <f>'Expenditures 15-22'!E53</f>
        <v>13011</v>
      </c>
      <c r="C850" s="2" t="s">
        <v>569</v>
      </c>
      <c r="D850" s="2" t="str">
        <f t="shared" si="12"/>
        <v>Error?</v>
      </c>
    </row>
    <row r="851" spans="1:4" x14ac:dyDescent="0.2">
      <c r="A851" s="5">
        <v>790</v>
      </c>
      <c r="B851" s="1832">
        <f>'Expenditures 15-22'!E55</f>
        <v>10697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10697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18380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3075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21455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932</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932</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156252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328544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217382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35549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258867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1042</v>
      </c>
      <c r="D896" s="2" t="str">
        <f t="shared" si="13"/>
        <v>Error?</v>
      </c>
    </row>
    <row r="897" spans="1:4" x14ac:dyDescent="0.2">
      <c r="A897" s="5">
        <v>836</v>
      </c>
      <c r="B897" s="1832">
        <f>'Expenditures 15-22'!F38</f>
        <v>314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1356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3163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3163</v>
      </c>
      <c r="C905" s="2" t="s">
        <v>569</v>
      </c>
      <c r="D905" s="2" t="str">
        <f t="shared" si="13"/>
        <v>Error?</v>
      </c>
    </row>
    <row r="906" spans="1:4" x14ac:dyDescent="0.2">
      <c r="A906" s="5">
        <v>845</v>
      </c>
      <c r="B906" s="1832">
        <f>'Expenditures 15-22'!F49</f>
        <v>1373</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1373</v>
      </c>
      <c r="C908" s="2" t="s">
        <v>569</v>
      </c>
      <c r="D908" s="2" t="str">
        <f t="shared" si="13"/>
        <v>Error?</v>
      </c>
    </row>
    <row r="909" spans="1:4" x14ac:dyDescent="0.2">
      <c r="A909" s="5">
        <v>848</v>
      </c>
      <c r="B909" s="1832">
        <f>'Expenditures 15-22'!F55</f>
        <v>8577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8577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1951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58417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60368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74837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333704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139505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139505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139505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3992</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4501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3797</v>
      </c>
      <c r="D1022" s="2" t="str">
        <f t="shared" si="14"/>
        <v>Error?</v>
      </c>
    </row>
    <row r="1023" spans="1:4" x14ac:dyDescent="0.2">
      <c r="A1023" s="5">
        <v>962</v>
      </c>
      <c r="B1023" s="1832">
        <f>'Expenditures 15-22'!H50</f>
        <v>930</v>
      </c>
      <c r="D1023" s="2" t="str">
        <f t="shared" ref="D1023:D1086" si="15">IF(ISBLANK(B1023),"OK",IF(A1023-B1023=0,"OK","Error?"))</f>
        <v>Error?</v>
      </c>
    </row>
    <row r="1024" spans="1:4" x14ac:dyDescent="0.2">
      <c r="A1024" s="5">
        <v>963</v>
      </c>
      <c r="B1024" s="1832">
        <f>'Expenditures 15-22'!H53</f>
        <v>4727</v>
      </c>
      <c r="C1024" s="2" t="s">
        <v>569</v>
      </c>
      <c r="D1024" s="2" t="str">
        <f t="shared" si="15"/>
        <v>Error?</v>
      </c>
    </row>
    <row r="1025" spans="1:4" x14ac:dyDescent="0.2">
      <c r="A1025" s="5">
        <v>964</v>
      </c>
      <c r="B1025" s="1832">
        <f>'Expenditures 15-22'!H55</f>
        <v>716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716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200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200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5643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193860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204004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2223741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195021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2797368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65771</v>
      </c>
      <c r="C1110" s="2" t="s">
        <v>569</v>
      </c>
      <c r="D1110" s="2" t="str">
        <f t="shared" si="16"/>
        <v>Error?</v>
      </c>
    </row>
    <row r="1111" spans="1:4" x14ac:dyDescent="0.2">
      <c r="A1111" s="5">
        <v>1050</v>
      </c>
      <c r="B1111" s="1832">
        <f>'Expenditures 15-22'!K38</f>
        <v>24352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102889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193012</v>
      </c>
      <c r="C1115" s="2" t="s">
        <v>569</v>
      </c>
      <c r="D1115" s="2" t="str">
        <f t="shared" si="16"/>
        <v>Error?</v>
      </c>
    </row>
    <row r="1116" spans="1:4" x14ac:dyDescent="0.2">
      <c r="A1116" s="5">
        <v>1055</v>
      </c>
      <c r="B1116" s="1832">
        <f>'Expenditures 15-22'!K44</f>
        <v>18138</v>
      </c>
      <c r="C1116" s="2" t="s">
        <v>569</v>
      </c>
      <c r="D1116" s="2" t="str">
        <f t="shared" si="16"/>
        <v>Error?</v>
      </c>
    </row>
    <row r="1117" spans="1:4" x14ac:dyDescent="0.2">
      <c r="A1117" s="5">
        <v>1056</v>
      </c>
      <c r="B1117" s="1832">
        <f>'Expenditures 15-22'!K45</f>
        <v>31586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49724</v>
      </c>
      <c r="C1119" s="2" t="s">
        <v>569</v>
      </c>
      <c r="D1119" s="2" t="str">
        <f t="shared" si="16"/>
        <v>Error?</v>
      </c>
    </row>
    <row r="1120" spans="1:4" x14ac:dyDescent="0.2">
      <c r="A1120" s="5">
        <v>1059</v>
      </c>
      <c r="B1120" s="1832">
        <f>'Expenditures 15-22'!K49</f>
        <v>14521</v>
      </c>
      <c r="C1120" s="2" t="s">
        <v>569</v>
      </c>
      <c r="D1120" s="2" t="str">
        <f t="shared" si="16"/>
        <v>Error?</v>
      </c>
    </row>
    <row r="1121" spans="1:4" x14ac:dyDescent="0.2">
      <c r="A1121" s="5">
        <v>1060</v>
      </c>
      <c r="B1121" s="1832">
        <f>'Expenditures 15-22'!K50</f>
        <v>128227</v>
      </c>
      <c r="C1121" s="2" t="s">
        <v>569</v>
      </c>
      <c r="D1121" s="2" t="str">
        <f t="shared" si="16"/>
        <v>Error?</v>
      </c>
    </row>
    <row r="1122" spans="1:4" x14ac:dyDescent="0.2">
      <c r="A1122" s="5">
        <v>1061</v>
      </c>
      <c r="B1122" s="1832">
        <f>'Expenditures 15-22'!K53</f>
        <v>142748</v>
      </c>
      <c r="C1122" s="2" t="s">
        <v>569</v>
      </c>
      <c r="D1122" s="2" t="str">
        <f t="shared" si="16"/>
        <v>Error?</v>
      </c>
    </row>
    <row r="1123" spans="1:4" x14ac:dyDescent="0.2">
      <c r="A1123" s="5">
        <v>1062</v>
      </c>
      <c r="B1123" s="1832">
        <f>'Expenditures 15-22'!K55</f>
        <v>320693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320693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85858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147532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233390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932</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932</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940499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193860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3931727</v>
      </c>
      <c r="C1152" s="2" t="s">
        <v>569</v>
      </c>
      <c r="D1152" s="2" t="str">
        <f t="shared" si="17"/>
        <v>Error?</v>
      </c>
    </row>
    <row r="1153" spans="1:4" x14ac:dyDescent="0.2">
      <c r="A1153" s="5">
        <v>1092</v>
      </c>
      <c r="B1153" s="1832">
        <f>'Expenditures 15-22'!K115</f>
        <v>-705326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234460</v>
      </c>
      <c r="D1221" s="2" t="str">
        <f t="shared" si="18"/>
        <v>Error?</v>
      </c>
    </row>
    <row r="1222" spans="1:4" x14ac:dyDescent="0.2">
      <c r="A1222" s="10">
        <v>1161</v>
      </c>
      <c r="B1222" s="1832"/>
      <c r="D1222" s="2" t="str">
        <f t="shared" si="18"/>
        <v>OK</v>
      </c>
    </row>
    <row r="1223" spans="1:4" x14ac:dyDescent="0.2">
      <c r="A1223" s="5">
        <v>1162</v>
      </c>
      <c r="B1223" s="1832">
        <f>'Expenditures 15-22'!C127</f>
        <v>234460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234460</v>
      </c>
      <c r="C1225" s="2" t="s">
        <v>569</v>
      </c>
      <c r="D1225" s="2" t="str">
        <f t="shared" si="18"/>
        <v>Error?</v>
      </c>
    </row>
    <row r="1226" spans="1:4" x14ac:dyDescent="0.2">
      <c r="A1226" s="5">
        <v>1165</v>
      </c>
      <c r="B1226" s="1832">
        <f>'Expenditures 15-22'!C151</f>
        <v>234460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31175</v>
      </c>
      <c r="D1229" s="2" t="str">
        <f t="shared" si="18"/>
        <v>Error?</v>
      </c>
    </row>
    <row r="1230" spans="1:4" x14ac:dyDescent="0.2">
      <c r="A1230" s="10">
        <v>1169</v>
      </c>
      <c r="B1230" s="1832"/>
      <c r="D1230" s="2" t="str">
        <f t="shared" si="18"/>
        <v>OK</v>
      </c>
    </row>
    <row r="1231" spans="1:4" x14ac:dyDescent="0.2">
      <c r="A1231" s="5">
        <v>1170</v>
      </c>
      <c r="B1231" s="1832">
        <f>'Expenditures 15-22'!D127</f>
        <v>31175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31175</v>
      </c>
      <c r="C1233" s="2" t="s">
        <v>569</v>
      </c>
      <c r="D1233" s="2" t="str">
        <f t="shared" si="18"/>
        <v>Error?</v>
      </c>
    </row>
    <row r="1234" spans="1:4" x14ac:dyDescent="0.2">
      <c r="A1234" s="5">
        <v>1173</v>
      </c>
      <c r="B1234" s="1832">
        <f>'Expenditures 15-22'!D151</f>
        <v>31175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76048</v>
      </c>
      <c r="D1237" s="2" t="str">
        <f t="shared" si="18"/>
        <v>Error?</v>
      </c>
    </row>
    <row r="1238" spans="1:4" x14ac:dyDescent="0.2">
      <c r="A1238" s="10">
        <v>1177</v>
      </c>
      <c r="B1238" s="1832"/>
      <c r="D1238" s="2" t="str">
        <f t="shared" si="18"/>
        <v>OK</v>
      </c>
    </row>
    <row r="1239" spans="1:4" x14ac:dyDescent="0.2">
      <c r="A1239" s="5">
        <v>1178</v>
      </c>
      <c r="B1239" s="1832">
        <f>'Expenditures 15-22'!E127</f>
        <v>76048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76048</v>
      </c>
      <c r="C1241" s="2" t="s">
        <v>569</v>
      </c>
      <c r="D1241" s="2" t="str">
        <f t="shared" si="18"/>
        <v>Error?</v>
      </c>
    </row>
    <row r="1242" spans="1:4" x14ac:dyDescent="0.2">
      <c r="A1242" s="5">
        <v>1181</v>
      </c>
      <c r="B1242" s="1832">
        <f>'Expenditures 15-22'!E151</f>
        <v>76048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169051</v>
      </c>
      <c r="D1245" s="2" t="str">
        <f t="shared" si="18"/>
        <v>Error?</v>
      </c>
    </row>
    <row r="1246" spans="1:4" x14ac:dyDescent="0.2">
      <c r="A1246" s="10">
        <v>1185</v>
      </c>
      <c r="B1246" s="1832"/>
      <c r="D1246" s="2" t="str">
        <f t="shared" si="18"/>
        <v>OK</v>
      </c>
    </row>
    <row r="1247" spans="1:4" x14ac:dyDescent="0.2">
      <c r="A1247" s="5">
        <v>1186</v>
      </c>
      <c r="B1247" s="1832">
        <f>'Expenditures 15-22'!F127</f>
        <v>169051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169051</v>
      </c>
      <c r="C1249" s="2" t="s">
        <v>569</v>
      </c>
      <c r="D1249" s="2" t="str">
        <f t="shared" si="18"/>
        <v>Error?</v>
      </c>
    </row>
    <row r="1250" spans="1:4" x14ac:dyDescent="0.2">
      <c r="A1250" s="5">
        <v>1189</v>
      </c>
      <c r="B1250" s="1832">
        <f>'Expenditures 15-22'!F151</f>
        <v>169051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11600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11600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11600</v>
      </c>
      <c r="C1258" s="2" t="s">
        <v>569</v>
      </c>
      <c r="D1258" s="2" t="str">
        <f t="shared" si="18"/>
        <v>Error?</v>
      </c>
    </row>
    <row r="1259" spans="1:4" x14ac:dyDescent="0.2">
      <c r="A1259" s="5">
        <v>1198</v>
      </c>
      <c r="B1259" s="1832">
        <f>'Expenditures 15-22'!G151</f>
        <v>11600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527657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527657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527657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527657</v>
      </c>
      <c r="C1288" s="2" t="s">
        <v>569</v>
      </c>
      <c r="D1288" s="2" t="str">
        <f t="shared" si="19"/>
        <v>Error?</v>
      </c>
    </row>
    <row r="1289" spans="1:4" x14ac:dyDescent="0.2">
      <c r="A1289" s="5">
        <v>1228</v>
      </c>
      <c r="B1289" s="1832">
        <f>'Expenditures 15-22'!K152</f>
        <v>94015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79689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720000</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800689</v>
      </c>
      <c r="C1317" s="2" t="s">
        <v>569</v>
      </c>
      <c r="D1317" s="2" t="str">
        <f t="shared" si="19"/>
        <v>Error?</v>
      </c>
    </row>
    <row r="1318" spans="1:4" x14ac:dyDescent="0.2">
      <c r="A1318" s="5">
        <v>1257</v>
      </c>
      <c r="B1318" s="1832">
        <f>'Expenditures 15-22'!H174</f>
        <v>800689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79689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720000</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800689</v>
      </c>
      <c r="C1331" s="2" t="s">
        <v>569</v>
      </c>
      <c r="D1331" s="2" t="str">
        <f t="shared" si="19"/>
        <v>Error?</v>
      </c>
    </row>
    <row r="1332" spans="1:4" x14ac:dyDescent="0.2">
      <c r="A1332" s="5">
        <v>1271</v>
      </c>
      <c r="B1332" s="1832">
        <f>'Expenditures 15-22'!K174</f>
        <v>800689</v>
      </c>
      <c r="C1332" s="2" t="s">
        <v>569</v>
      </c>
      <c r="D1332" s="2" t="str">
        <f t="shared" si="19"/>
        <v>Error?</v>
      </c>
    </row>
    <row r="1333" spans="1:4" x14ac:dyDescent="0.2">
      <c r="A1333" s="5">
        <v>1272</v>
      </c>
      <c r="B1333" s="1832">
        <f>'Expenditures 15-22'!K175</f>
        <v>-95438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156174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156174</v>
      </c>
      <c r="C1339" s="2" t="s">
        <v>569</v>
      </c>
      <c r="D1339" s="2" t="str">
        <f t="shared" si="19"/>
        <v>Error?</v>
      </c>
    </row>
    <row r="1340" spans="1:4" x14ac:dyDescent="0.2">
      <c r="A1340" s="5">
        <v>1279</v>
      </c>
      <c r="B1340" s="1832">
        <f>'Expenditures 15-22'!C210</f>
        <v>156174</v>
      </c>
      <c r="C1340" s="2" t="s">
        <v>569</v>
      </c>
      <c r="D1340" s="2" t="str">
        <f t="shared" si="19"/>
        <v>Error?</v>
      </c>
    </row>
    <row r="1341" spans="1:4" x14ac:dyDescent="0.2">
      <c r="A1341" s="5">
        <v>1280</v>
      </c>
      <c r="B1341" s="1832">
        <f>'Expenditures 15-22'!D182</f>
        <v>29742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29742</v>
      </c>
      <c r="C1345" s="2" t="s">
        <v>569</v>
      </c>
      <c r="D1345" s="2" t="str">
        <f t="shared" si="20"/>
        <v>Error?</v>
      </c>
    </row>
    <row r="1346" spans="1:4" x14ac:dyDescent="0.2">
      <c r="A1346" s="5">
        <v>1285</v>
      </c>
      <c r="B1346" s="1832">
        <f>'Expenditures 15-22'!D210</f>
        <v>29742</v>
      </c>
      <c r="C1346" s="2" t="s">
        <v>569</v>
      </c>
      <c r="D1346" s="2" t="str">
        <f t="shared" si="20"/>
        <v>Error?</v>
      </c>
    </row>
    <row r="1347" spans="1:4" x14ac:dyDescent="0.2">
      <c r="A1347" s="5">
        <v>1286</v>
      </c>
      <c r="B1347" s="1832">
        <f>'Expenditures 15-22'!E182</f>
        <v>33567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33567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33567</v>
      </c>
      <c r="C1353" s="2" t="s">
        <v>569</v>
      </c>
      <c r="D1353" s="2" t="str">
        <f t="shared" si="20"/>
        <v>Error?</v>
      </c>
    </row>
    <row r="1354" spans="1:4" x14ac:dyDescent="0.2">
      <c r="A1354" s="5">
        <v>1293</v>
      </c>
      <c r="B1354" s="1832">
        <f>'Expenditures 15-22'!F182</f>
        <v>49028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49028</v>
      </c>
      <c r="C1358" s="2" t="s">
        <v>569</v>
      </c>
      <c r="D1358" s="2" t="str">
        <f t="shared" si="20"/>
        <v>Error?</v>
      </c>
    </row>
    <row r="1359" spans="1:4" x14ac:dyDescent="0.2">
      <c r="A1359" s="5">
        <v>1298</v>
      </c>
      <c r="B1359" s="1832">
        <f>'Expenditures 15-22'!F210</f>
        <v>49028</v>
      </c>
      <c r="C1359" s="2" t="s">
        <v>569</v>
      </c>
      <c r="D1359" s="2" t="str">
        <f t="shared" si="20"/>
        <v>Error?</v>
      </c>
    </row>
    <row r="1360" spans="1:4" x14ac:dyDescent="0.2">
      <c r="A1360" s="5">
        <v>1299</v>
      </c>
      <c r="B1360" s="1832">
        <f>'Expenditures 15-22'!G182</f>
        <v>154909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154909</v>
      </c>
      <c r="C1364" s="2" t="s">
        <v>569</v>
      </c>
      <c r="D1364" s="2" t="str">
        <f t="shared" si="20"/>
        <v>Error?</v>
      </c>
    </row>
    <row r="1365" spans="1:4" x14ac:dyDescent="0.2">
      <c r="A1365" s="5">
        <v>1304</v>
      </c>
      <c r="B1365" s="1832">
        <f>'Expenditures 15-22'!G210</f>
        <v>154909</v>
      </c>
      <c r="C1365" s="2" t="s">
        <v>569</v>
      </c>
      <c r="D1365" s="2" t="str">
        <f t="shared" si="20"/>
        <v>Error?</v>
      </c>
    </row>
    <row r="1366" spans="1:4" x14ac:dyDescent="0.2">
      <c r="A1366" s="5">
        <v>1305</v>
      </c>
      <c r="B1366" s="1832">
        <f>'Expenditures 15-22'!H182</f>
        <v>939</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939</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33327</v>
      </c>
      <c r="C1375" s="2" t="s">
        <v>569</v>
      </c>
      <c r="D1375" s="2" t="str">
        <f t="shared" si="20"/>
        <v>Error?</v>
      </c>
    </row>
    <row r="1376" spans="1:4" x14ac:dyDescent="0.2">
      <c r="A1376" s="5">
        <v>1315</v>
      </c>
      <c r="B1376" s="1832">
        <f>'Expenditures 15-22'!H210</f>
        <v>34266</v>
      </c>
      <c r="C1376" s="2" t="s">
        <v>569</v>
      </c>
      <c r="D1376" s="2" t="str">
        <f t="shared" si="20"/>
        <v>Error?</v>
      </c>
    </row>
    <row r="1377" spans="1:4" x14ac:dyDescent="0.2">
      <c r="A1377" s="5">
        <v>1316</v>
      </c>
      <c r="B1377" s="1832">
        <f>'Expenditures 15-22'!K182</f>
        <v>424359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424359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33327</v>
      </c>
      <c r="C1387" s="2" t="s">
        <v>569</v>
      </c>
      <c r="D1387" s="2" t="str">
        <f t="shared" si="20"/>
        <v>Error?</v>
      </c>
    </row>
    <row r="1388" spans="1:4" x14ac:dyDescent="0.2">
      <c r="A1388" s="5">
        <v>1327</v>
      </c>
      <c r="B1388" s="1832">
        <f>'Expenditures 15-22'!K210</f>
        <v>457686</v>
      </c>
      <c r="C1388" s="2" t="s">
        <v>569</v>
      </c>
      <c r="D1388" s="2" t="str">
        <f t="shared" si="20"/>
        <v>Error?</v>
      </c>
    </row>
    <row r="1389" spans="1:4" x14ac:dyDescent="0.2">
      <c r="A1389" s="5">
        <v>1328</v>
      </c>
      <c r="B1389" s="1832">
        <f>'Expenditures 15-22'!K211</f>
        <v>-101153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2957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47377</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806</v>
      </c>
      <c r="D1412" s="2" t="str">
        <f t="shared" si="21"/>
        <v>Error?</v>
      </c>
    </row>
    <row r="1413" spans="1:4" x14ac:dyDescent="0.2">
      <c r="A1413" s="5">
        <v>1352</v>
      </c>
      <c r="B1413" s="1832">
        <f>'Expenditures 15-22'!D234</f>
        <v>4001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4807</v>
      </c>
      <c r="C1417" s="2" t="s">
        <v>569</v>
      </c>
      <c r="D1417" s="2" t="str">
        <f t="shared" si="21"/>
        <v>Error?</v>
      </c>
    </row>
    <row r="1418" spans="1:4" x14ac:dyDescent="0.2">
      <c r="A1418" s="5">
        <v>1357</v>
      </c>
      <c r="B1418" s="1832">
        <f>'Expenditures 15-22'!D240</f>
        <v>2209</v>
      </c>
      <c r="D1418" s="2" t="str">
        <f t="shared" si="21"/>
        <v>Error?</v>
      </c>
    </row>
    <row r="1419" spans="1:4" x14ac:dyDescent="0.2">
      <c r="A1419" s="5">
        <v>1358</v>
      </c>
      <c r="B1419" s="1832">
        <f>'Expenditures 15-22'!D241</f>
        <v>4250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6459</v>
      </c>
      <c r="C1421" s="2" t="s">
        <v>569</v>
      </c>
      <c r="D1421" s="2" t="str">
        <f t="shared" si="21"/>
        <v>Error?</v>
      </c>
    </row>
    <row r="1422" spans="1:4" x14ac:dyDescent="0.2">
      <c r="A1422" s="5">
        <v>1361</v>
      </c>
      <c r="B1422" s="1832">
        <f>'Expenditures 15-22'!D245</f>
        <v>267</v>
      </c>
      <c r="D1422" s="2" t="str">
        <f t="shared" si="21"/>
        <v>Error?</v>
      </c>
    </row>
    <row r="1423" spans="1:4" x14ac:dyDescent="0.2">
      <c r="A1423" s="5">
        <v>1362</v>
      </c>
      <c r="B1423" s="1832">
        <f>'Expenditures 15-22'!D246</f>
        <v>1459</v>
      </c>
      <c r="D1423" s="2" t="str">
        <f t="shared" si="21"/>
        <v>Error?</v>
      </c>
    </row>
    <row r="1424" spans="1:4" x14ac:dyDescent="0.2">
      <c r="A1424" s="5">
        <v>1363</v>
      </c>
      <c r="B1424" s="1832">
        <f>'Expenditures 15-22'!D257</f>
        <v>42064</v>
      </c>
      <c r="C1424" s="2" t="s">
        <v>569</v>
      </c>
      <c r="D1424" s="2" t="str">
        <f t="shared" si="21"/>
        <v>Error?</v>
      </c>
    </row>
    <row r="1425" spans="1:4" x14ac:dyDescent="0.2">
      <c r="A1425" s="5">
        <v>1364</v>
      </c>
      <c r="B1425" s="1832">
        <f>'Expenditures 15-22'!D259</f>
        <v>24099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24099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10962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45408</v>
      </c>
      <c r="D1431" s="2" t="str">
        <f t="shared" si="21"/>
        <v>Error?</v>
      </c>
    </row>
    <row r="1432" spans="1:4" x14ac:dyDescent="0.2">
      <c r="A1432" s="5">
        <v>1371</v>
      </c>
      <c r="B1432" s="1832">
        <f>'Expenditures 15-22'!D267</f>
        <v>29912</v>
      </c>
      <c r="D1432" s="2" t="str">
        <f t="shared" si="21"/>
        <v>Error?</v>
      </c>
    </row>
    <row r="1433" spans="1:4" x14ac:dyDescent="0.2">
      <c r="A1433" s="5">
        <v>1372</v>
      </c>
      <c r="B1433" s="1832">
        <f>'Expenditures 15-22'!D268</f>
        <v>14532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100814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178243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225620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2957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47377</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806</v>
      </c>
      <c r="C1476" s="2" t="s">
        <v>569</v>
      </c>
      <c r="D1476" s="2" t="str">
        <f t="shared" si="22"/>
        <v>Error?</v>
      </c>
    </row>
    <row r="1477" spans="1:4" x14ac:dyDescent="0.2">
      <c r="A1477" s="5">
        <v>1416</v>
      </c>
      <c r="B1477" s="1832">
        <f>'Expenditures 15-22'!K234</f>
        <v>4001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4807</v>
      </c>
      <c r="C1481" s="2" t="s">
        <v>569</v>
      </c>
      <c r="D1481" s="2" t="str">
        <f t="shared" si="22"/>
        <v>Error?</v>
      </c>
    </row>
    <row r="1482" spans="1:4" x14ac:dyDescent="0.2">
      <c r="A1482" s="5">
        <v>1421</v>
      </c>
      <c r="B1482" s="1832">
        <f>'Expenditures 15-22'!K240</f>
        <v>2209</v>
      </c>
      <c r="C1482" s="2" t="s">
        <v>569</v>
      </c>
      <c r="D1482" s="2" t="str">
        <f t="shared" si="22"/>
        <v>Error?</v>
      </c>
    </row>
    <row r="1483" spans="1:4" x14ac:dyDescent="0.2">
      <c r="A1483" s="5">
        <v>1422</v>
      </c>
      <c r="B1483" s="1832">
        <f>'Expenditures 15-22'!K241</f>
        <v>4250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6459</v>
      </c>
      <c r="C1485" s="2" t="s">
        <v>569</v>
      </c>
      <c r="D1485" s="2" t="str">
        <f t="shared" si="22"/>
        <v>Error?</v>
      </c>
    </row>
    <row r="1486" spans="1:4" x14ac:dyDescent="0.2">
      <c r="A1486" s="5">
        <v>1425</v>
      </c>
      <c r="B1486" s="1832">
        <f>'Expenditures 15-22'!K245</f>
        <v>267</v>
      </c>
      <c r="C1486" s="2" t="s">
        <v>569</v>
      </c>
      <c r="D1486" s="2" t="str">
        <f t="shared" si="22"/>
        <v>Error?</v>
      </c>
    </row>
    <row r="1487" spans="1:4" x14ac:dyDescent="0.2">
      <c r="A1487" s="5">
        <v>1426</v>
      </c>
      <c r="B1487" s="1832">
        <f>'Expenditures 15-22'!K246</f>
        <v>1459</v>
      </c>
      <c r="C1487" s="2" t="s">
        <v>569</v>
      </c>
      <c r="D1487" s="2" t="str">
        <f t="shared" si="22"/>
        <v>Error?</v>
      </c>
    </row>
    <row r="1488" spans="1:4" x14ac:dyDescent="0.2">
      <c r="A1488" s="5">
        <v>1427</v>
      </c>
      <c r="B1488" s="1832">
        <f>'Expenditures 15-22'!K257</f>
        <v>42064</v>
      </c>
      <c r="C1488" s="2" t="s">
        <v>569</v>
      </c>
      <c r="D1488" s="2" t="str">
        <f t="shared" si="22"/>
        <v>Error?</v>
      </c>
    </row>
    <row r="1489" spans="1:4" x14ac:dyDescent="0.2">
      <c r="A1489" s="5">
        <v>1428</v>
      </c>
      <c r="B1489" s="1832">
        <f>'Expenditures 15-22'!K259</f>
        <v>24099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24099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10962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45408</v>
      </c>
      <c r="C1495" s="2" t="s">
        <v>569</v>
      </c>
      <c r="D1495" s="2" t="str">
        <f t="shared" si="22"/>
        <v>Error?</v>
      </c>
    </row>
    <row r="1496" spans="1:4" x14ac:dyDescent="0.2">
      <c r="A1496" s="5">
        <v>1435</v>
      </c>
      <c r="B1496" s="1832">
        <f>'Expenditures 15-22'!K267</f>
        <v>29912</v>
      </c>
      <c r="C1496" s="2" t="s">
        <v>569</v>
      </c>
      <c r="D1496" s="2" t="str">
        <f t="shared" si="22"/>
        <v>Error?</v>
      </c>
    </row>
    <row r="1497" spans="1:4" x14ac:dyDescent="0.2">
      <c r="A1497" s="5">
        <v>1436</v>
      </c>
      <c r="B1497" s="1832">
        <f>'Expenditures 15-22'!K268</f>
        <v>14532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100814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178243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225620</v>
      </c>
      <c r="C1517" s="2" t="s">
        <v>569</v>
      </c>
      <c r="D1517" s="2" t="str">
        <f t="shared" si="22"/>
        <v>Error?</v>
      </c>
    </row>
    <row r="1518" spans="1:4" x14ac:dyDescent="0.2">
      <c r="A1518" s="5">
        <v>1457</v>
      </c>
      <c r="B1518" s="1832">
        <f>'Expenditures 15-22'!K296</f>
        <v>15593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82343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82343</v>
      </c>
      <c r="C1535" s="2" t="s">
        <v>569</v>
      </c>
      <c r="D1535" s="2" t="str">
        <f t="shared" ref="D1535:D1598" si="23">IF(ISBLANK(B1535),"OK",IF(A1535-B1535=0,"OK","Error?"))</f>
        <v>Error?</v>
      </c>
    </row>
    <row r="1536" spans="1:4" x14ac:dyDescent="0.2">
      <c r="A1536" s="5">
        <v>1475</v>
      </c>
      <c r="B1536" s="1832">
        <f>'Expenditures 15-22'!E312</f>
        <v>82343</v>
      </c>
      <c r="C1536" s="2" t="s">
        <v>569</v>
      </c>
      <c r="D1536" s="2" t="str">
        <f t="shared" si="23"/>
        <v>Error?</v>
      </c>
    </row>
    <row r="1537" spans="1:4" x14ac:dyDescent="0.2">
      <c r="A1537" s="5">
        <v>1476</v>
      </c>
      <c r="B1537" s="1832">
        <f>'Expenditures 15-22'!F301</f>
        <v>14336</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14336</v>
      </c>
      <c r="C1541" s="2" t="s">
        <v>569</v>
      </c>
      <c r="D1541" s="2" t="str">
        <f t="shared" si="23"/>
        <v>Error?</v>
      </c>
    </row>
    <row r="1542" spans="1:4" x14ac:dyDescent="0.2">
      <c r="A1542" s="5">
        <v>1481</v>
      </c>
      <c r="B1542" s="1832">
        <f>'Expenditures 15-22'!F312</f>
        <v>14336</v>
      </c>
      <c r="C1542" s="2" t="s">
        <v>569</v>
      </c>
      <c r="D1542" s="2" t="str">
        <f t="shared" si="23"/>
        <v>Error?</v>
      </c>
    </row>
    <row r="1543" spans="1:4" x14ac:dyDescent="0.2">
      <c r="A1543" s="5">
        <v>1482</v>
      </c>
      <c r="B1543" s="1832">
        <f>'Expenditures 15-22'!G301</f>
        <v>583792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583792</v>
      </c>
      <c r="C1547" s="2" t="s">
        <v>569</v>
      </c>
      <c r="D1547" s="2" t="str">
        <f t="shared" si="23"/>
        <v>Error?</v>
      </c>
    </row>
    <row r="1548" spans="1:4" x14ac:dyDescent="0.2">
      <c r="A1548" s="5">
        <v>1487</v>
      </c>
      <c r="B1548" s="1832">
        <f>'Expenditures 15-22'!G312</f>
        <v>583792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682143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682143</v>
      </c>
      <c r="C1559" s="2" t="s">
        <v>569</v>
      </c>
      <c r="D1559" s="2" t="str">
        <f t="shared" si="23"/>
        <v>Error?</v>
      </c>
    </row>
    <row r="1560" spans="1:4" x14ac:dyDescent="0.2">
      <c r="A1560" s="5">
        <v>1499</v>
      </c>
      <c r="B1560" s="1832">
        <f>'Expenditures 15-22'!K312</f>
        <v>682143</v>
      </c>
      <c r="C1560" s="2" t="s">
        <v>569</v>
      </c>
      <c r="D1560" s="2" t="str">
        <f t="shared" si="23"/>
        <v>Error?</v>
      </c>
    </row>
    <row r="1561" spans="1:4" x14ac:dyDescent="0.2">
      <c r="A1561" s="5">
        <v>1500</v>
      </c>
      <c r="B1561" s="1832">
        <f>'Expenditures 15-22'!K313</f>
        <v>-400741</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720179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801838</v>
      </c>
      <c r="C1630" s="2" t="s">
        <v>569</v>
      </c>
      <c r="D1630" s="2" t="str">
        <f t="shared" si="24"/>
        <v>Error?</v>
      </c>
    </row>
    <row r="1631" spans="1:4" x14ac:dyDescent="0.2">
      <c r="A1631" s="5">
        <v>1570</v>
      </c>
      <c r="B1631" s="1832">
        <f>'Acct Summary 7-8'!D79</f>
        <v>582113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676128</v>
      </c>
      <c r="C1644" s="2" t="s">
        <v>569</v>
      </c>
      <c r="D1644" s="2" t="str">
        <f t="shared" si="24"/>
        <v>Error?</v>
      </c>
    </row>
    <row r="1645" spans="1:4" x14ac:dyDescent="0.2">
      <c r="A1645" s="5">
        <v>1584</v>
      </c>
      <c r="B1645" s="1832">
        <f>'Acct Summary 7-8'!E79</f>
        <v>59946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-35492</v>
      </c>
      <c r="C1658" s="2" t="s">
        <v>569</v>
      </c>
      <c r="D1658" s="2" t="str">
        <f t="shared" si="24"/>
        <v>Error?</v>
      </c>
    </row>
    <row r="1659" spans="1:4" x14ac:dyDescent="0.2">
      <c r="A1659" s="5">
        <v>1598</v>
      </c>
      <c r="B1659" s="1832">
        <f>'Acct Summary 7-8'!F79</f>
        <v>284473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408464</v>
      </c>
      <c r="C1672" s="2" t="s">
        <v>569</v>
      </c>
      <c r="D1672" s="2" t="str">
        <f t="shared" si="25"/>
        <v>Error?</v>
      </c>
    </row>
    <row r="1673" spans="1:4" x14ac:dyDescent="0.2">
      <c r="A1673" s="5">
        <v>1612</v>
      </c>
      <c r="B1673" s="1832">
        <f>'Acct Summary 7-8'!G79</f>
        <v>150710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166303</v>
      </c>
      <c r="C1686" s="2" t="s">
        <v>569</v>
      </c>
      <c r="D1686" s="2" t="str">
        <f t="shared" si="25"/>
        <v>Error?</v>
      </c>
    </row>
    <row r="1687" spans="1:4" x14ac:dyDescent="0.2">
      <c r="A1687" s="5">
        <v>1626</v>
      </c>
      <c r="B1687" s="1832">
        <f>'Acct Summary 7-8'!H79</f>
        <v>490624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89883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1972684</v>
      </c>
      <c r="C1744" s="2" t="s">
        <v>569</v>
      </c>
      <c r="D1744" s="2" t="str">
        <f t="shared" si="26"/>
        <v>Error?</v>
      </c>
    </row>
    <row r="1745" spans="1:5" x14ac:dyDescent="0.2">
      <c r="A1745" s="5">
        <v>1684</v>
      </c>
      <c r="B1745" s="1832">
        <f>'Tax Sched 23'!B5</f>
        <v>411018</v>
      </c>
      <c r="C1745" s="2" t="s">
        <v>569</v>
      </c>
      <c r="D1745" s="2" t="str">
        <f t="shared" si="26"/>
        <v>Error?</v>
      </c>
    </row>
    <row r="1746" spans="1:5" x14ac:dyDescent="0.2">
      <c r="A1746" s="5">
        <v>1685</v>
      </c>
      <c r="B1746" s="1832">
        <f>'Tax Sched 23'!B6</f>
        <v>704723</v>
      </c>
      <c r="C1746" s="2" t="s">
        <v>569</v>
      </c>
      <c r="D1746" s="2" t="str">
        <f t="shared" si="26"/>
        <v>Error?</v>
      </c>
    </row>
    <row r="1747" spans="1:5" x14ac:dyDescent="0.2">
      <c r="A1747" s="5">
        <v>1686</v>
      </c>
      <c r="B1747" s="1832">
        <f>'Tax Sched 23'!B7</f>
        <v>164419</v>
      </c>
      <c r="C1747" s="2" t="s">
        <v>569</v>
      </c>
      <c r="D1747" s="2" t="str">
        <f t="shared" si="26"/>
        <v>Error?</v>
      </c>
    </row>
    <row r="1748" spans="1:5" x14ac:dyDescent="0.2">
      <c r="A1748" s="5">
        <v>1687</v>
      </c>
      <c r="B1748" s="1832">
        <f>'Tax Sched 23'!B8</f>
        <v>118193</v>
      </c>
      <c r="C1748" s="2" t="s">
        <v>569</v>
      </c>
      <c r="D1748" s="2" t="str">
        <f t="shared" si="26"/>
        <v>Error?</v>
      </c>
    </row>
    <row r="1749" spans="1:5" x14ac:dyDescent="0.2">
      <c r="A1749" s="5">
        <v>1688</v>
      </c>
      <c r="B1749" s="1832">
        <f>'Tax Sched 23'!B10</f>
        <v>41151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481445</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32896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4085873</v>
      </c>
      <c r="C1759" s="2" t="s">
        <v>569</v>
      </c>
      <c r="D1759" s="2" t="str">
        <f t="shared" si="26"/>
        <v>Error?</v>
      </c>
    </row>
    <row r="1760" spans="1:5" x14ac:dyDescent="0.2">
      <c r="A1760" s="5">
        <v>1699</v>
      </c>
      <c r="B1760" s="1832">
        <f>'Tax Sched 23'!D4</f>
        <v>1872611</v>
      </c>
      <c r="C1760" s="2" t="s">
        <v>569</v>
      </c>
      <c r="D1760" s="2" t="str">
        <f t="shared" si="26"/>
        <v>Error?</v>
      </c>
    </row>
    <row r="1761" spans="1:7" x14ac:dyDescent="0.2">
      <c r="A1761" s="5">
        <v>1700</v>
      </c>
      <c r="B1761" s="1832">
        <f>'Tax Sched 23'!D5</f>
        <v>390169</v>
      </c>
      <c r="C1761" s="2" t="s">
        <v>569</v>
      </c>
      <c r="D1761" s="2" t="str">
        <f t="shared" si="26"/>
        <v>Error?</v>
      </c>
    </row>
    <row r="1762" spans="1:7" s="8" customFormat="1" x14ac:dyDescent="0.2">
      <c r="A1762" s="5">
        <v>1701</v>
      </c>
      <c r="B1762" s="1832">
        <f>'Tax Sched 23'!D6</f>
        <v>670990</v>
      </c>
      <c r="C1762" s="2" t="s">
        <v>569</v>
      </c>
      <c r="D1762" s="2" t="str">
        <f t="shared" si="26"/>
        <v>Error?</v>
      </c>
      <c r="E1762" s="9"/>
      <c r="G1762"/>
    </row>
    <row r="1763" spans="1:7" x14ac:dyDescent="0.2">
      <c r="A1763" s="5">
        <v>1702</v>
      </c>
      <c r="B1763" s="1832">
        <f>'Tax Sched 23'!D7</f>
        <v>156079</v>
      </c>
      <c r="C1763" s="2" t="s">
        <v>569</v>
      </c>
      <c r="D1763" s="2" t="str">
        <f t="shared" si="26"/>
        <v>Error?</v>
      </c>
    </row>
    <row r="1764" spans="1:7" x14ac:dyDescent="0.2">
      <c r="A1764" s="5">
        <v>1703</v>
      </c>
      <c r="B1764" s="1832">
        <f>'Tax Sched 23'!D8</f>
        <v>112430</v>
      </c>
      <c r="C1764" s="2" t="s">
        <v>569</v>
      </c>
      <c r="D1764" s="2" t="str">
        <f t="shared" si="26"/>
        <v>Error?</v>
      </c>
    </row>
    <row r="1765" spans="1:7" x14ac:dyDescent="0.2">
      <c r="A1765" s="5">
        <v>1704</v>
      </c>
      <c r="B1765" s="1832">
        <f>'Tax Sched 23'!D10</f>
        <v>39066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457978</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31229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3882048</v>
      </c>
      <c r="C1775" s="2" t="s">
        <v>569</v>
      </c>
      <c r="D1775" s="2" t="str">
        <f t="shared" si="26"/>
        <v>Error?</v>
      </c>
    </row>
    <row r="1776" spans="1:7" x14ac:dyDescent="0.2">
      <c r="A1776" s="5">
        <v>1715</v>
      </c>
      <c r="B1776" s="1832">
        <f>'Tax Sched 23'!C4</f>
        <v>100073</v>
      </c>
      <c r="D1776" s="2" t="str">
        <f t="shared" si="26"/>
        <v>Error?</v>
      </c>
    </row>
    <row r="1777" spans="1:4" x14ac:dyDescent="0.2">
      <c r="A1777" s="5">
        <v>1716</v>
      </c>
      <c r="B1777" s="1832">
        <f>'Tax Sched 23'!C5</f>
        <v>20849</v>
      </c>
      <c r="D1777" s="2" t="str">
        <f t="shared" si="26"/>
        <v>Error?</v>
      </c>
    </row>
    <row r="1778" spans="1:4" x14ac:dyDescent="0.2">
      <c r="A1778" s="5">
        <v>1717</v>
      </c>
      <c r="B1778" s="1832">
        <f>'Tax Sched 23'!C6</f>
        <v>33733</v>
      </c>
      <c r="D1778" s="2" t="str">
        <f t="shared" si="26"/>
        <v>Error?</v>
      </c>
    </row>
    <row r="1779" spans="1:4" x14ac:dyDescent="0.2">
      <c r="A1779" s="5">
        <v>1718</v>
      </c>
      <c r="B1779" s="1832">
        <f>'Tax Sched 23'!C7</f>
        <v>8340</v>
      </c>
      <c r="D1779" s="2" t="str">
        <f t="shared" si="26"/>
        <v>Error?</v>
      </c>
    </row>
    <row r="1780" spans="1:4" x14ac:dyDescent="0.2">
      <c r="A1780" s="5">
        <v>1719</v>
      </c>
      <c r="B1780" s="1832">
        <f>'Tax Sched 23'!C8</f>
        <v>5763</v>
      </c>
      <c r="D1780" s="2" t="str">
        <f t="shared" si="26"/>
        <v>Error?</v>
      </c>
    </row>
    <row r="1781" spans="1:4" x14ac:dyDescent="0.2">
      <c r="A1781" s="5">
        <v>1720</v>
      </c>
      <c r="B1781" s="1832">
        <f>'Tax Sched 23'!C10</f>
        <v>2085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23467</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1667</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203825</v>
      </c>
      <c r="C1791" s="2" t="s">
        <v>569</v>
      </c>
      <c r="D1791" s="2" t="str">
        <f t="shared" ref="D1791:D1854" si="27">IF(ISBLANK(B1791),"OK",IF(A1791-B1791=0,"OK","Error?"))</f>
        <v>Error?</v>
      </c>
    </row>
    <row r="1792" spans="1:4" x14ac:dyDescent="0.2">
      <c r="A1792" s="5">
        <v>1731</v>
      </c>
      <c r="B1792" s="1832">
        <f>'Tax Sched 23'!F4</f>
        <v>2247409</v>
      </c>
      <c r="C1792" s="2" t="s">
        <v>569</v>
      </c>
      <c r="D1792" s="2" t="str">
        <f t="shared" si="27"/>
        <v>Error?</v>
      </c>
    </row>
    <row r="1793" spans="1:4" x14ac:dyDescent="0.2">
      <c r="A1793" s="5">
        <v>1732</v>
      </c>
      <c r="B1793" s="1832">
        <f>'Tax Sched 23'!F5</f>
        <v>468210</v>
      </c>
      <c r="C1793" s="2" t="s">
        <v>569</v>
      </c>
      <c r="D1793" s="2" t="str">
        <f t="shared" si="27"/>
        <v>Error?</v>
      </c>
    </row>
    <row r="1794" spans="1:4" x14ac:dyDescent="0.2">
      <c r="A1794" s="5">
        <v>1733</v>
      </c>
      <c r="B1794" s="1832">
        <f>'Tax Sched 23'!F6</f>
        <v>756958</v>
      </c>
      <c r="C1794" s="2" t="s">
        <v>569</v>
      </c>
      <c r="D1794" s="2" t="str">
        <f t="shared" si="27"/>
        <v>Error?</v>
      </c>
    </row>
    <row r="1795" spans="1:4" x14ac:dyDescent="0.2">
      <c r="A1795" s="5">
        <v>1734</v>
      </c>
      <c r="B1795" s="1832">
        <f>'Tax Sched 23'!F7</f>
        <v>187283</v>
      </c>
      <c r="C1795" s="2" t="s">
        <v>569</v>
      </c>
      <c r="D1795" s="2" t="str">
        <f t="shared" si="27"/>
        <v>Error?</v>
      </c>
    </row>
    <row r="1796" spans="1:4" x14ac:dyDescent="0.2">
      <c r="A1796" s="5">
        <v>1735</v>
      </c>
      <c r="B1796" s="1832">
        <f>'Tax Sched 23'!F8</f>
        <v>129237</v>
      </c>
      <c r="C1796" s="2" t="s">
        <v>569</v>
      </c>
      <c r="D1796" s="2" t="str">
        <f t="shared" si="27"/>
        <v>Error?</v>
      </c>
    </row>
    <row r="1797" spans="1:4" x14ac:dyDescent="0.2">
      <c r="A1797" s="5">
        <v>1736</v>
      </c>
      <c r="B1797" s="1832">
        <f>'Tax Sched 23'!F10</f>
        <v>46821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526528</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37457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4575961</v>
      </c>
      <c r="C1807" s="2" t="s">
        <v>569</v>
      </c>
      <c r="D1807" s="2" t="str">
        <f t="shared" si="27"/>
        <v>Error?</v>
      </c>
    </row>
    <row r="1808" spans="1:4" x14ac:dyDescent="0.2">
      <c r="A1808" s="5">
        <v>1747</v>
      </c>
      <c r="B1808" s="1832">
        <f>'Tax Sched 23'!E4</f>
        <v>2347482</v>
      </c>
      <c r="D1808" s="2" t="str">
        <f t="shared" si="27"/>
        <v>Error?</v>
      </c>
    </row>
    <row r="1809" spans="1:4" x14ac:dyDescent="0.2">
      <c r="A1809" s="5">
        <v>1748</v>
      </c>
      <c r="B1809" s="1832">
        <f>'Tax Sched 23'!E5</f>
        <v>489059</v>
      </c>
      <c r="D1809" s="2" t="str">
        <f t="shared" si="27"/>
        <v>Error?</v>
      </c>
    </row>
    <row r="1810" spans="1:4" x14ac:dyDescent="0.2">
      <c r="A1810" s="5">
        <v>1749</v>
      </c>
      <c r="B1810" s="1832">
        <f>'Tax Sched 23'!E6</f>
        <v>790691</v>
      </c>
      <c r="D1810" s="2" t="str">
        <f t="shared" si="27"/>
        <v>Error?</v>
      </c>
    </row>
    <row r="1811" spans="1:4" x14ac:dyDescent="0.2">
      <c r="A1811" s="5">
        <v>1750</v>
      </c>
      <c r="B1811" s="1832">
        <f>'Tax Sched 23'!E7</f>
        <v>195623</v>
      </c>
      <c r="D1811" s="2" t="str">
        <f t="shared" si="27"/>
        <v>Error?</v>
      </c>
    </row>
    <row r="1812" spans="1:4" x14ac:dyDescent="0.2">
      <c r="A1812" s="5">
        <v>1751</v>
      </c>
      <c r="B1812" s="1832">
        <f>'Tax Sched 23'!E8</f>
        <v>135000</v>
      </c>
      <c r="D1812" s="2" t="str">
        <f t="shared" si="27"/>
        <v>Error?</v>
      </c>
    </row>
    <row r="1813" spans="1:4" x14ac:dyDescent="0.2">
      <c r="A1813" s="5">
        <v>1752</v>
      </c>
      <c r="B1813" s="1832">
        <f>'Tax Sched 23'!E10</f>
        <v>48906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549995</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39124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4779786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4680000</v>
      </c>
      <c r="C1939" s="2" t="s">
        <v>569</v>
      </c>
      <c r="D1939" s="2" t="str">
        <f t="shared" si="29"/>
        <v>Error?</v>
      </c>
    </row>
    <row r="1940" spans="1:5" x14ac:dyDescent="0.2">
      <c r="A1940" s="5">
        <v>1879</v>
      </c>
      <c r="B1940" s="1832">
        <f>'Short-Term Long-Term Debt 24'!F49</f>
        <v>670144</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32896</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32896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32896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85250</v>
      </c>
      <c r="D2008" s="2" t="str">
        <f t="shared" si="30"/>
        <v>Error?</v>
      </c>
    </row>
    <row r="2009" spans="1:4" x14ac:dyDescent="0.2">
      <c r="A2009" s="5">
        <v>1948</v>
      </c>
      <c r="B2009" s="1832">
        <f>'Cap Outlay Deprec 26'!C8</f>
        <v>9477737</v>
      </c>
      <c r="D2009" s="2" t="str">
        <f t="shared" si="30"/>
        <v>Error?</v>
      </c>
    </row>
    <row r="2010" spans="1:4" x14ac:dyDescent="0.2">
      <c r="A2010" s="5">
        <v>1949</v>
      </c>
      <c r="B2010" s="1832">
        <f>'Cap Outlay Deprec 26'!C10</f>
        <v>784906</v>
      </c>
      <c r="D2010" s="2" t="str">
        <f t="shared" si="30"/>
        <v>Error?</v>
      </c>
    </row>
    <row r="2011" spans="1:4" x14ac:dyDescent="0.2">
      <c r="A2011" s="5">
        <v>1950</v>
      </c>
      <c r="B2011" s="1832">
        <f>'Cap Outlay Deprec 26'!C12</f>
        <v>2162084</v>
      </c>
      <c r="D2011" s="2" t="str">
        <f t="shared" si="30"/>
        <v>Error?</v>
      </c>
    </row>
    <row r="2012" spans="1:4" x14ac:dyDescent="0.2">
      <c r="A2012" s="5">
        <v>1951</v>
      </c>
      <c r="B2012" s="1832">
        <f>'Cap Outlay Deprec 26'!C13</f>
        <v>1810684</v>
      </c>
      <c r="D2012" s="2" t="str">
        <f t="shared" si="30"/>
        <v>Error?</v>
      </c>
    </row>
    <row r="2013" spans="1:4" x14ac:dyDescent="0.2">
      <c r="A2013" s="5">
        <v>1952</v>
      </c>
      <c r="B2013" s="1832">
        <f>'Cap Outlay Deprec 26'!C16</f>
        <v>14320661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595392</v>
      </c>
      <c r="D2016" s="2" t="str">
        <f t="shared" si="30"/>
        <v>Error?</v>
      </c>
    </row>
    <row r="2017" spans="1:4" x14ac:dyDescent="0.2">
      <c r="A2017" s="5">
        <v>1956</v>
      </c>
      <c r="B2017" s="1832">
        <f>'Cap Outlay Deprec 26'!D12</f>
        <v>139505</v>
      </c>
      <c r="D2017" s="2" t="str">
        <f t="shared" si="30"/>
        <v>Error?</v>
      </c>
    </row>
    <row r="2018" spans="1:4" x14ac:dyDescent="0.2">
      <c r="A2018" s="5">
        <v>1957</v>
      </c>
      <c r="B2018" s="1832">
        <f>'Cap Outlay Deprec 26'!D13</f>
        <v>154909</v>
      </c>
      <c r="D2018" s="2" t="str">
        <f t="shared" si="30"/>
        <v>Error?</v>
      </c>
    </row>
    <row r="2019" spans="1:4" x14ac:dyDescent="0.2">
      <c r="A2019" s="5">
        <v>1958</v>
      </c>
      <c r="B2019" s="1832">
        <f>'Cap Outlay Deprec 26'!D16</f>
        <v>889806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85250</v>
      </c>
      <c r="C2026" s="2" t="s">
        <v>569</v>
      </c>
      <c r="D2026" s="2" t="str">
        <f t="shared" si="30"/>
        <v>Error?</v>
      </c>
    </row>
    <row r="2027" spans="1:4" x14ac:dyDescent="0.2">
      <c r="A2027" s="5">
        <v>1966</v>
      </c>
      <c r="B2027" s="1832">
        <f>'Cap Outlay Deprec 26'!F8</f>
        <v>9477737</v>
      </c>
      <c r="C2027" s="2" t="s">
        <v>569</v>
      </c>
      <c r="D2027" s="2" t="str">
        <f t="shared" si="30"/>
        <v>Error?</v>
      </c>
    </row>
    <row r="2028" spans="1:4" x14ac:dyDescent="0.2">
      <c r="A2028" s="5">
        <v>1967</v>
      </c>
      <c r="B2028" s="1832">
        <f>'Cap Outlay Deprec 26'!F10</f>
        <v>1380298</v>
      </c>
      <c r="C2028" s="2" t="s">
        <v>569</v>
      </c>
      <c r="D2028" s="2" t="str">
        <f t="shared" si="30"/>
        <v>Error?</v>
      </c>
    </row>
    <row r="2029" spans="1:4" x14ac:dyDescent="0.2">
      <c r="A2029" s="5">
        <v>1968</v>
      </c>
      <c r="B2029" s="1832">
        <f>'Cap Outlay Deprec 26'!F12</f>
        <v>2301589</v>
      </c>
      <c r="C2029" s="2" t="s">
        <v>569</v>
      </c>
      <c r="D2029" s="2" t="str">
        <f t="shared" si="30"/>
        <v>Error?</v>
      </c>
    </row>
    <row r="2030" spans="1:4" x14ac:dyDescent="0.2">
      <c r="A2030" s="5">
        <v>1969</v>
      </c>
      <c r="B2030" s="1832">
        <f>'Cap Outlay Deprec 26'!F13</f>
        <v>1965593</v>
      </c>
      <c r="C2030" s="2" t="s">
        <v>569</v>
      </c>
      <c r="D2030" s="2" t="str">
        <f t="shared" si="30"/>
        <v>Error?</v>
      </c>
    </row>
    <row r="2031" spans="1:4" x14ac:dyDescent="0.2">
      <c r="A2031" s="5">
        <v>1970</v>
      </c>
      <c r="B2031" s="1832">
        <f>'Cap Outlay Deprec 26'!F16</f>
        <v>15210467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5257723</v>
      </c>
      <c r="D2033" s="2" t="str">
        <f t="shared" si="30"/>
        <v>Error?</v>
      </c>
    </row>
    <row r="2034" spans="1:4" x14ac:dyDescent="0.2">
      <c r="A2034" s="5">
        <v>1973</v>
      </c>
      <c r="B2034" s="1832">
        <f>'Cap Outlay Deprec 26'!H10</f>
        <v>179442</v>
      </c>
      <c r="D2034" s="2" t="str">
        <f t="shared" si="30"/>
        <v>Error?</v>
      </c>
    </row>
    <row r="2035" spans="1:4" x14ac:dyDescent="0.2">
      <c r="A2035" s="5">
        <v>1974</v>
      </c>
      <c r="B2035" s="1832">
        <f>'Cap Outlay Deprec 26'!H12</f>
        <v>2034485</v>
      </c>
      <c r="D2035" s="2" t="str">
        <f t="shared" si="30"/>
        <v>Error?</v>
      </c>
    </row>
    <row r="2036" spans="1:4" x14ac:dyDescent="0.2">
      <c r="A2036" s="5">
        <v>1975</v>
      </c>
      <c r="B2036" s="1832">
        <f>'Cap Outlay Deprec 26'!H13</f>
        <v>1666683</v>
      </c>
      <c r="D2036" s="2" t="str">
        <f t="shared" si="30"/>
        <v>Error?</v>
      </c>
    </row>
    <row r="2037" spans="1:4" x14ac:dyDescent="0.2">
      <c r="A2037" s="5">
        <v>1976</v>
      </c>
      <c r="B2037" s="1832">
        <f>'Cap Outlay Deprec 26'!H16</f>
        <v>9138333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189554</v>
      </c>
      <c r="D2039" s="2" t="str">
        <f t="shared" si="30"/>
        <v>Error?</v>
      </c>
    </row>
    <row r="2040" spans="1:4" x14ac:dyDescent="0.2">
      <c r="A2040" s="5">
        <v>1979</v>
      </c>
      <c r="B2040" s="1832">
        <f>'Cap Outlay Deprec 26'!I10</f>
        <v>69015</v>
      </c>
      <c r="D2040" s="2" t="str">
        <f t="shared" si="30"/>
        <v>Error?</v>
      </c>
    </row>
    <row r="2041" spans="1:4" x14ac:dyDescent="0.2">
      <c r="A2041" s="5">
        <v>1980</v>
      </c>
      <c r="B2041" s="1832">
        <f>'Cap Outlay Deprec 26'!I12</f>
        <v>33245</v>
      </c>
      <c r="D2041" s="2" t="str">
        <f t="shared" si="30"/>
        <v>Error?</v>
      </c>
    </row>
    <row r="2042" spans="1:4" x14ac:dyDescent="0.2">
      <c r="A2042" s="5">
        <v>1981</v>
      </c>
      <c r="B2042" s="1832">
        <f>'Cap Outlay Deprec 26'!I13</f>
        <v>44819</v>
      </c>
      <c r="D2042" s="2" t="str">
        <f t="shared" si="30"/>
        <v>Error?</v>
      </c>
    </row>
    <row r="2043" spans="1:4" x14ac:dyDescent="0.2">
      <c r="A2043" s="5">
        <v>1982</v>
      </c>
      <c r="B2043" s="1832">
        <f>'Cap Outlay Deprec 26'!I16</f>
        <v>336633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5447277</v>
      </c>
      <c r="C2051" s="2" t="s">
        <v>569</v>
      </c>
      <c r="D2051" s="2" t="str">
        <f t="shared" si="31"/>
        <v>Error?</v>
      </c>
    </row>
    <row r="2052" spans="1:4" x14ac:dyDescent="0.2">
      <c r="A2052" s="5">
        <v>1991</v>
      </c>
      <c r="B2052" s="1832">
        <f>'Cap Outlay Deprec 26'!K10</f>
        <v>248457</v>
      </c>
      <c r="C2052" s="2" t="s">
        <v>569</v>
      </c>
      <c r="D2052" s="2" t="str">
        <f t="shared" si="31"/>
        <v>Error?</v>
      </c>
    </row>
    <row r="2053" spans="1:4" x14ac:dyDescent="0.2">
      <c r="A2053" s="5">
        <v>1992</v>
      </c>
      <c r="B2053" s="1832">
        <f>'Cap Outlay Deprec 26'!K12</f>
        <v>2067730</v>
      </c>
      <c r="C2053" s="2" t="s">
        <v>569</v>
      </c>
      <c r="D2053" s="2" t="str">
        <f t="shared" si="31"/>
        <v>Error?</v>
      </c>
    </row>
    <row r="2054" spans="1:4" x14ac:dyDescent="0.2">
      <c r="A2054" s="5">
        <v>1993</v>
      </c>
      <c r="B2054" s="1832">
        <f>'Cap Outlay Deprec 26'!K13</f>
        <v>1711502</v>
      </c>
      <c r="C2054" s="2" t="s">
        <v>569</v>
      </c>
      <c r="D2054" s="2" t="str">
        <f t="shared" si="31"/>
        <v>Error?</v>
      </c>
    </row>
    <row r="2055" spans="1:4" x14ac:dyDescent="0.2">
      <c r="A2055" s="5">
        <v>1994</v>
      </c>
      <c r="B2055" s="1832">
        <f>'Cap Outlay Deprec 26'!K16</f>
        <v>9474966</v>
      </c>
      <c r="C2055" s="2" t="s">
        <v>569</v>
      </c>
      <c r="D2055" s="2" t="str">
        <f t="shared" si="31"/>
        <v>Error?</v>
      </c>
    </row>
    <row r="2056" spans="1:4" x14ac:dyDescent="0.2">
      <c r="A2056" s="5">
        <v>1995</v>
      </c>
      <c r="B2056" s="1832">
        <f>'Cap Outlay Deprec 26'!L5</f>
        <v>85250</v>
      </c>
      <c r="C2056" s="2" t="s">
        <v>569</v>
      </c>
      <c r="D2056" s="2" t="str">
        <f t="shared" si="31"/>
        <v>Error?</v>
      </c>
    </row>
    <row r="2057" spans="1:4" x14ac:dyDescent="0.2">
      <c r="A2057" s="5">
        <v>1996</v>
      </c>
      <c r="B2057" s="1832">
        <f>'Cap Outlay Deprec 26'!L8</f>
        <v>4030460</v>
      </c>
      <c r="C2057" s="2" t="s">
        <v>569</v>
      </c>
      <c r="D2057" s="2" t="str">
        <f t="shared" si="31"/>
        <v>Error?</v>
      </c>
    </row>
    <row r="2058" spans="1:4" x14ac:dyDescent="0.2">
      <c r="A2058" s="5">
        <v>1997</v>
      </c>
      <c r="B2058" s="1832">
        <f>'Cap Outlay Deprec 26'!L10</f>
        <v>1131841</v>
      </c>
      <c r="C2058" s="2" t="s">
        <v>569</v>
      </c>
      <c r="D2058" s="2" t="str">
        <f t="shared" si="31"/>
        <v>Error?</v>
      </c>
    </row>
    <row r="2059" spans="1:4" x14ac:dyDescent="0.2">
      <c r="A2059" s="5">
        <v>1998</v>
      </c>
      <c r="B2059" s="1832">
        <f>'Cap Outlay Deprec 26'!L12</f>
        <v>233859</v>
      </c>
      <c r="C2059" s="2" t="s">
        <v>569</v>
      </c>
      <c r="D2059" s="2" t="str">
        <f t="shared" si="31"/>
        <v>Error?</v>
      </c>
    </row>
    <row r="2060" spans="1:4" x14ac:dyDescent="0.2">
      <c r="A2060" s="5">
        <v>1999</v>
      </c>
      <c r="B2060" s="1832">
        <f>'Cap Outlay Deprec 26'!L13</f>
        <v>254091</v>
      </c>
      <c r="C2060" s="2" t="s">
        <v>569</v>
      </c>
      <c r="D2060" s="2" t="str">
        <f t="shared" si="31"/>
        <v>Error?</v>
      </c>
    </row>
    <row r="2061" spans="1:4" x14ac:dyDescent="0.2">
      <c r="A2061" s="5">
        <v>2000</v>
      </c>
      <c r="B2061" s="1832">
        <f>'Cap Outlay Deprec 26'!L16</f>
        <v>5735501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193860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861985</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166303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2159240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677901</v>
      </c>
      <c r="C2553" s="2" t="s">
        <v>569</v>
      </c>
      <c r="D2553" s="2" t="str">
        <f t="shared" si="38"/>
        <v>Error?</v>
      </c>
    </row>
    <row r="2554" spans="1:4" x14ac:dyDescent="0.2">
      <c r="A2554" s="5">
        <v>2493</v>
      </c>
      <c r="B2554" s="1832">
        <f>'Acct Summary 7-8'!C7</f>
        <v>389260</v>
      </c>
      <c r="C2554" s="2" t="s">
        <v>569</v>
      </c>
      <c r="D2554" s="2" t="str">
        <f t="shared" si="38"/>
        <v>Error?</v>
      </c>
    </row>
    <row r="2555" spans="1:4" x14ac:dyDescent="0.2">
      <c r="A2555" s="5">
        <v>2494</v>
      </c>
      <c r="B2555" s="1832">
        <f>'Acct Summary 7-8'!C8</f>
        <v>3226401</v>
      </c>
      <c r="C2555" s="2" t="s">
        <v>569</v>
      </c>
      <c r="D2555" s="2" t="str">
        <f t="shared" si="38"/>
        <v>Error?</v>
      </c>
    </row>
    <row r="2556" spans="1:4" x14ac:dyDescent="0.2">
      <c r="A2556" s="5">
        <v>2495</v>
      </c>
      <c r="B2556" s="1832">
        <f>'Acct Summary 7-8'!C12</f>
        <v>2797368</v>
      </c>
      <c r="C2556" s="2" t="s">
        <v>569</v>
      </c>
      <c r="D2556" s="2" t="str">
        <f t="shared" si="38"/>
        <v>Error?</v>
      </c>
    </row>
    <row r="2557" spans="1:4" x14ac:dyDescent="0.2">
      <c r="A2557" s="5">
        <v>2496</v>
      </c>
      <c r="B2557" s="1832">
        <f>'Acct Summary 7-8'!C13</f>
        <v>940499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193860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3931727</v>
      </c>
      <c r="C2561" s="2" t="s">
        <v>569</v>
      </c>
      <c r="D2561" s="2" t="str">
        <f t="shared" si="39"/>
        <v>Error?</v>
      </c>
    </row>
    <row r="2562" spans="1:4" x14ac:dyDescent="0.2">
      <c r="A2562" s="5">
        <v>2501</v>
      </c>
      <c r="B2562" s="1832">
        <f>'Acct Summary 7-8'!C20</f>
        <v>-705326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571672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621672</v>
      </c>
      <c r="C2568" s="2" t="s">
        <v>569</v>
      </c>
      <c r="D2568" s="2" t="str">
        <f t="shared" si="39"/>
        <v>Error?</v>
      </c>
    </row>
    <row r="2569" spans="1:4" x14ac:dyDescent="0.2">
      <c r="A2569" s="5">
        <v>2508</v>
      </c>
      <c r="B2569" s="1832">
        <f>'Acct Summary 7-8'!D13</f>
        <v>527657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527657</v>
      </c>
      <c r="C2573" s="2" t="s">
        <v>569</v>
      </c>
      <c r="D2573" s="2" t="str">
        <f t="shared" si="39"/>
        <v>Error?</v>
      </c>
    </row>
    <row r="2574" spans="1:4" x14ac:dyDescent="0.2">
      <c r="A2574" s="5">
        <v>2513</v>
      </c>
      <c r="B2574" s="1832">
        <f>'Acct Summary 7-8'!D20</f>
        <v>94015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206281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150252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356533</v>
      </c>
      <c r="C2595" s="2" t="s">
        <v>569</v>
      </c>
      <c r="D2595" s="2" t="str">
        <f t="shared" si="39"/>
        <v>Error?</v>
      </c>
    </row>
    <row r="2596" spans="1:4" x14ac:dyDescent="0.2">
      <c r="A2596" s="5">
        <v>2535</v>
      </c>
      <c r="B2596" s="1832">
        <f>'Acct Summary 7-8'!F13</f>
        <v>424359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33327</v>
      </c>
      <c r="C2599" s="2" t="s">
        <v>569</v>
      </c>
      <c r="D2599" s="2" t="str">
        <f t="shared" si="39"/>
        <v>Error?</v>
      </c>
    </row>
    <row r="2600" spans="1:4" x14ac:dyDescent="0.2">
      <c r="A2600" s="5">
        <v>2539</v>
      </c>
      <c r="B2600" s="1832">
        <f>'Acct Summary 7-8'!F17</f>
        <v>457686</v>
      </c>
      <c r="C2600" s="2" t="s">
        <v>569</v>
      </c>
      <c r="D2600" s="2" t="str">
        <f t="shared" si="39"/>
        <v>Error?</v>
      </c>
    </row>
    <row r="2601" spans="1:4" x14ac:dyDescent="0.2">
      <c r="A2601" s="5">
        <v>2540</v>
      </c>
      <c r="B2601" s="1832">
        <f>'Acct Summary 7-8'!F20</f>
        <v>-101153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241213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241213</v>
      </c>
      <c r="C2606" s="2" t="s">
        <v>569</v>
      </c>
      <c r="D2606" s="2" t="str">
        <f t="shared" si="39"/>
        <v>Error?</v>
      </c>
    </row>
    <row r="2607" spans="1:4" x14ac:dyDescent="0.2">
      <c r="A2607" s="5">
        <v>2546</v>
      </c>
      <c r="B2607" s="1832">
        <f>'Acct Summary 7-8'!G12</f>
        <v>47377</v>
      </c>
      <c r="C2607" s="2" t="s">
        <v>569</v>
      </c>
      <c r="D2607" s="2" t="str">
        <f t="shared" si="39"/>
        <v>Error?</v>
      </c>
    </row>
    <row r="2608" spans="1:4" x14ac:dyDescent="0.2">
      <c r="A2608" s="5">
        <v>2547</v>
      </c>
      <c r="B2608" s="1832">
        <f>'Acct Summary 7-8'!G13</f>
        <v>178243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225620</v>
      </c>
      <c r="C2612" s="2" t="s">
        <v>569</v>
      </c>
      <c r="D2612" s="2" t="str">
        <f t="shared" si="39"/>
        <v>Error?</v>
      </c>
    </row>
    <row r="2613" spans="1:4" x14ac:dyDescent="0.2">
      <c r="A2613" s="5">
        <v>2552</v>
      </c>
      <c r="B2613" s="1832">
        <f>'Acct Summary 7-8'!G20</f>
        <v>15593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705251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705251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800689</v>
      </c>
      <c r="C2634" s="2" t="s">
        <v>569</v>
      </c>
      <c r="D2634" s="2" t="str">
        <f t="shared" si="40"/>
        <v>Error?</v>
      </c>
    </row>
    <row r="2635" spans="1:4" x14ac:dyDescent="0.2">
      <c r="A2635" s="5">
        <v>2574</v>
      </c>
      <c r="B2635" s="1832">
        <f>'Acct Summary 7-8'!E17</f>
        <v>800689</v>
      </c>
      <c r="C2635" s="2" t="s">
        <v>569</v>
      </c>
      <c r="D2635" s="2" t="str">
        <f t="shared" si="40"/>
        <v>Error?</v>
      </c>
    </row>
    <row r="2636" spans="1:4" x14ac:dyDescent="0.2">
      <c r="A2636" s="5">
        <v>2575</v>
      </c>
      <c r="B2636" s="1832">
        <f>'Acct Summary 7-8'!E20</f>
        <v>-95438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281402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281402</v>
      </c>
      <c r="C2658" s="2" t="s">
        <v>569</v>
      </c>
      <c r="D2658" s="2" t="str">
        <f t="shared" si="40"/>
        <v>Error?</v>
      </c>
    </row>
    <row r="2659" spans="1:4" x14ac:dyDescent="0.2">
      <c r="A2659" s="5">
        <v>2598</v>
      </c>
      <c r="B2659" s="1832">
        <f>'Acct Summary 7-8'!H13</f>
        <v>682143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682143</v>
      </c>
      <c r="C2661" s="2" t="s">
        <v>569</v>
      </c>
      <c r="D2661" s="2" t="str">
        <f t="shared" si="40"/>
        <v>Error?</v>
      </c>
    </row>
    <row r="2662" spans="1:4" x14ac:dyDescent="0.2">
      <c r="A2662" s="5">
        <v>2601</v>
      </c>
      <c r="B2662" s="1832">
        <f>'Acct Summary 7-8'!H20</f>
        <v>-400741</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1157507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131256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1157507</v>
      </c>
      <c r="D2912" s="2" t="str">
        <f t="shared" si="44"/>
        <v>Error?</v>
      </c>
    </row>
    <row r="2913" spans="1:4" x14ac:dyDescent="0.2">
      <c r="A2913" s="5">
        <v>2852</v>
      </c>
      <c r="B2913" s="1832">
        <f>'Assets-Liab 5-6'!I41</f>
        <v>1157507</v>
      </c>
      <c r="C2913" s="2" t="s">
        <v>569</v>
      </c>
      <c r="D2913" s="2" t="str">
        <f t="shared" si="44"/>
        <v>Error?</v>
      </c>
    </row>
    <row r="2914" spans="1:4" x14ac:dyDescent="0.2">
      <c r="A2914" s="5">
        <v>2853</v>
      </c>
      <c r="B2914" s="1832">
        <f>'Assets-Liab 5-6'!L33</f>
        <v>131256</v>
      </c>
      <c r="D2914" s="2" t="str">
        <f t="shared" si="44"/>
        <v>Error?</v>
      </c>
    </row>
    <row r="2915" spans="1:4" x14ac:dyDescent="0.2">
      <c r="A2915" s="10">
        <v>2854</v>
      </c>
      <c r="B2915" s="1832"/>
      <c r="D2915" s="2" t="str">
        <f t="shared" si="44"/>
        <v>OK</v>
      </c>
    </row>
    <row r="2916" spans="1:4" x14ac:dyDescent="0.2">
      <c r="A2916" s="5">
        <v>2855</v>
      </c>
      <c r="B2916" s="1832">
        <f>'Assets-Liab 5-6'!L34</f>
        <v>131256</v>
      </c>
      <c r="C2916" s="2" t="s">
        <v>569</v>
      </c>
      <c r="D2916" s="2" t="str">
        <f t="shared" si="44"/>
        <v>Error?</v>
      </c>
    </row>
    <row r="2917" spans="1:4" x14ac:dyDescent="0.2">
      <c r="A2917" s="5">
        <v>2856</v>
      </c>
      <c r="B2917" s="1832">
        <f>'Assets-Liab 5-6'!L41</f>
        <v>131256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87472</v>
      </c>
      <c r="D3055" s="2" t="str">
        <f t="shared" si="46"/>
        <v>Error?</v>
      </c>
    </row>
    <row r="3056" spans="1:4" x14ac:dyDescent="0.2">
      <c r="A3056" s="5">
        <v>2995</v>
      </c>
      <c r="B3056" s="1832">
        <f>'Expenditures 15-22'!D10</f>
        <v>17342</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194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105008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4847</v>
      </c>
      <c r="D3064" s="2" t="str">
        <f t="shared" si="46"/>
        <v>Error?</v>
      </c>
    </row>
    <row r="3065" spans="1:4" x14ac:dyDescent="0.2">
      <c r="A3065" s="5">
        <v>3004</v>
      </c>
      <c r="B3065" s="1832">
        <f>'Expenditures 15-22'!K219</f>
        <v>4847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47899</v>
      </c>
      <c r="C3225" s="2" t="s">
        <v>569</v>
      </c>
      <c r="D3225" s="2" t="str">
        <f t="shared" si="49"/>
        <v>Error?</v>
      </c>
    </row>
    <row r="3226" spans="1:4" x14ac:dyDescent="0.2">
      <c r="A3226" s="5">
        <v>3165</v>
      </c>
      <c r="B3226" s="1832">
        <f>'Acct Summary 7-8'!I8</f>
        <v>47899</v>
      </c>
      <c r="C3226" s="2" t="s">
        <v>569</v>
      </c>
      <c r="D3226" s="2" t="str">
        <f t="shared" si="49"/>
        <v>Error?</v>
      </c>
    </row>
    <row r="3227" spans="1:4" x14ac:dyDescent="0.2">
      <c r="A3227" s="5">
        <v>3166</v>
      </c>
      <c r="B3227" s="1832">
        <f>'Acct Summary 7-8'!I20</f>
        <v>47899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786985</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786985</v>
      </c>
      <c r="C3232" s="2" t="s">
        <v>569</v>
      </c>
      <c r="D3232" s="2" t="str">
        <f t="shared" si="49"/>
        <v>Error?</v>
      </c>
    </row>
    <row r="3233" spans="1:4" x14ac:dyDescent="0.2">
      <c r="A3233" s="5">
        <v>3172</v>
      </c>
      <c r="B3233" s="1832">
        <f>'Acct Summary 7-8'!C78</f>
        <v>81659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94015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150144</v>
      </c>
      <c r="D3251" s="2" t="str">
        <f t="shared" si="49"/>
        <v>Error?</v>
      </c>
    </row>
    <row r="3252" spans="1:4" x14ac:dyDescent="0.2">
      <c r="A3252" s="5">
        <v>3191</v>
      </c>
      <c r="B3252" s="1832">
        <f>'Acct Summary 7-8'!F44</f>
        <v>225144</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225144</v>
      </c>
      <c r="C3255" s="2" t="s">
        <v>569</v>
      </c>
      <c r="D3255" s="2" t="str">
        <f t="shared" si="49"/>
        <v>Error?</v>
      </c>
    </row>
    <row r="3256" spans="1:4" x14ac:dyDescent="0.2">
      <c r="A3256" s="5">
        <v>3195</v>
      </c>
      <c r="B3256" s="1832">
        <f>'Acct Summary 7-8'!F78</f>
        <v>123991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15593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-95438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-400741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520000</v>
      </c>
      <c r="C3317" s="2" t="s">
        <v>569</v>
      </c>
      <c r="D3317" s="2" t="str">
        <f t="shared" si="50"/>
        <v>Error?</v>
      </c>
    </row>
    <row r="3318" spans="1:4" x14ac:dyDescent="0.2">
      <c r="A3318" s="5">
        <v>3257</v>
      </c>
      <c r="B3318" s="1832">
        <f>'Acct Summary 7-8'!I76</f>
        <v>881985</v>
      </c>
      <c r="C3318" s="2" t="s">
        <v>569</v>
      </c>
      <c r="D3318" s="2" t="str">
        <f t="shared" si="50"/>
        <v>Error?</v>
      </c>
    </row>
    <row r="3319" spans="1:4" x14ac:dyDescent="0.2">
      <c r="A3319" s="5">
        <v>3258</v>
      </c>
      <c r="B3319" s="1832">
        <f>'Acct Summary 7-8'!I77</f>
        <v>-361985</v>
      </c>
      <c r="C3319" s="2" t="s">
        <v>569</v>
      </c>
      <c r="D3319" s="2" t="str">
        <f t="shared" si="50"/>
        <v>Error?</v>
      </c>
    </row>
    <row r="3320" spans="1:4" x14ac:dyDescent="0.2">
      <c r="A3320" s="5">
        <v>3259</v>
      </c>
      <c r="B3320" s="1832">
        <f>'Acct Summary 7-8'!I78</f>
        <v>-314086</v>
      </c>
      <c r="C3320" s="2" t="s">
        <v>569</v>
      </c>
      <c r="D3320" s="2" t="str">
        <f t="shared" si="50"/>
        <v>Error?</v>
      </c>
    </row>
    <row r="3321" spans="1:4" x14ac:dyDescent="0.2">
      <c r="A3321" s="5">
        <v>3260</v>
      </c>
      <c r="B3321" s="1832">
        <f>'Acct Summary 7-8'!I79</f>
        <v>1471593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1157507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210826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22497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3881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5238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242442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33980</v>
      </c>
      <c r="D3387" s="2" t="str">
        <f t="shared" si="51"/>
        <v>Error?</v>
      </c>
    </row>
    <row r="3388" spans="1:4" x14ac:dyDescent="0.2">
      <c r="A3388" s="5">
        <v>3327</v>
      </c>
      <c r="B3388" s="1832">
        <f>'Expenditures 15-22'!D217</f>
        <v>5360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33980</v>
      </c>
      <c r="C3390" s="2" t="s">
        <v>569</v>
      </c>
      <c r="D3390" s="2" t="str">
        <f t="shared" si="51"/>
        <v>Error?</v>
      </c>
    </row>
    <row r="3391" spans="1:4" x14ac:dyDescent="0.2">
      <c r="A3391" s="5">
        <v>3330</v>
      </c>
      <c r="B3391" s="1832">
        <f>'Expenditures 15-22'!K217</f>
        <v>5360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285380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676128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408464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166303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89883</v>
      </c>
      <c r="D3425" s="2" t="str">
        <f t="shared" si="52"/>
        <v>Error?</v>
      </c>
    </row>
    <row r="3426" spans="1:4" x14ac:dyDescent="0.2">
      <c r="A3426" s="10">
        <v>3365</v>
      </c>
      <c r="B3426" s="1832"/>
      <c r="D3426" s="2" t="str">
        <f t="shared" si="52"/>
        <v>OK</v>
      </c>
    </row>
    <row r="3427" spans="1:4" x14ac:dyDescent="0.2">
      <c r="A3427" s="5">
        <v>3366</v>
      </c>
      <c r="B3427" s="1832">
        <f>'Assets-Liab 5-6'!I4</f>
        <v>1157507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131256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118193</v>
      </c>
      <c r="C3446" s="2" t="s">
        <v>569</v>
      </c>
      <c r="D3446" s="2" t="str">
        <f t="shared" si="52"/>
        <v>Error?</v>
      </c>
    </row>
    <row r="3447" spans="1:4" x14ac:dyDescent="0.2">
      <c r="A3447" s="5">
        <v>3386</v>
      </c>
      <c r="B3447" s="1832">
        <f>'Tax Sched 23'!D16</f>
        <v>112430</v>
      </c>
      <c r="C3447" s="2" t="s">
        <v>569</v>
      </c>
      <c r="D3447" s="2" t="str">
        <f t="shared" si="52"/>
        <v>Error?</v>
      </c>
    </row>
    <row r="3448" spans="1:4" x14ac:dyDescent="0.2">
      <c r="A3448" s="5">
        <v>3387</v>
      </c>
      <c r="B3448" s="1832">
        <f>'Tax Sched 23'!C16</f>
        <v>5763</v>
      </c>
      <c r="D3448" s="2" t="str">
        <f t="shared" si="52"/>
        <v>Error?</v>
      </c>
    </row>
    <row r="3449" spans="1:4" x14ac:dyDescent="0.2">
      <c r="A3449" s="5">
        <v>3388</v>
      </c>
      <c r="B3449" s="1832">
        <f>'Tax Sched 23'!F16</f>
        <v>129237</v>
      </c>
      <c r="C3449" s="2" t="s">
        <v>569</v>
      </c>
      <c r="D3449" s="2" t="str">
        <f t="shared" si="52"/>
        <v>Error?</v>
      </c>
    </row>
    <row r="3450" spans="1:4" x14ac:dyDescent="0.2">
      <c r="A3450" s="5">
        <v>3389</v>
      </c>
      <c r="B3450" s="1832">
        <f>'Tax Sched 23'!E16</f>
        <v>135000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41151</v>
      </c>
      <c r="C3725" s="2" t="s">
        <v>569</v>
      </c>
      <c r="D3725" s="2" t="str">
        <f t="shared" si="57"/>
        <v>Error?</v>
      </c>
    </row>
    <row r="3726" spans="1:4" x14ac:dyDescent="0.2">
      <c r="A3726" s="5">
        <v>3665</v>
      </c>
      <c r="B3726" s="1832">
        <f>'Tax Sched 23'!D13</f>
        <v>39066</v>
      </c>
      <c r="C3726" s="2" t="s">
        <v>569</v>
      </c>
      <c r="D3726" s="2" t="str">
        <f t="shared" si="57"/>
        <v>Error?</v>
      </c>
    </row>
    <row r="3727" spans="1:4" x14ac:dyDescent="0.2">
      <c r="A3727" s="5">
        <v>3666</v>
      </c>
      <c r="B3727" s="1832">
        <f>'Tax Sched 23'!C13</f>
        <v>2085</v>
      </c>
      <c r="D3727" s="2" t="str">
        <f t="shared" si="57"/>
        <v>Error?</v>
      </c>
    </row>
    <row r="3728" spans="1:4" x14ac:dyDescent="0.2">
      <c r="A3728" s="5">
        <v>3667</v>
      </c>
      <c r="B3728" s="1832">
        <f>'Tax Sched 23'!F13</f>
        <v>46821</v>
      </c>
      <c r="C3728" s="2" t="s">
        <v>569</v>
      </c>
      <c r="D3728" s="2" t="str">
        <f t="shared" si="57"/>
        <v>Error?</v>
      </c>
    </row>
    <row r="3729" spans="1:4" x14ac:dyDescent="0.2">
      <c r="A3729" s="5">
        <v>3668</v>
      </c>
      <c r="B3729" s="1832">
        <f>'Tax Sched 23'!E13</f>
        <v>48906</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1821460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5047861</v>
      </c>
      <c r="C4122" s="2" t="s">
        <v>569</v>
      </c>
      <c r="D4122" s="2" t="str">
        <f t="shared" si="63"/>
        <v>Error?</v>
      </c>
    </row>
    <row r="4123" spans="1:4" x14ac:dyDescent="0.2">
      <c r="A4123" s="5">
        <v>4062</v>
      </c>
      <c r="B4123" s="1832">
        <f>'Acct Summary 7-8'!D10</f>
        <v>621672</v>
      </c>
      <c r="C4123" s="2" t="s">
        <v>569</v>
      </c>
      <c r="D4123" s="2" t="str">
        <f t="shared" si="63"/>
        <v>Error?</v>
      </c>
    </row>
    <row r="4124" spans="1:4" x14ac:dyDescent="0.2">
      <c r="A4124" s="5">
        <v>4063</v>
      </c>
      <c r="B4124" s="1832">
        <f>'Acct Summary 7-8'!E10</f>
        <v>705251</v>
      </c>
      <c r="C4124" s="2" t="s">
        <v>569</v>
      </c>
      <c r="D4124" s="2" t="str">
        <f t="shared" si="63"/>
        <v>Error?</v>
      </c>
    </row>
    <row r="4125" spans="1:4" x14ac:dyDescent="0.2">
      <c r="A4125" s="5">
        <v>4064</v>
      </c>
      <c r="B4125" s="1832">
        <f>'Acct Summary 7-8'!F10</f>
        <v>356533</v>
      </c>
      <c r="C4125" s="2" t="s">
        <v>569</v>
      </c>
      <c r="D4125" s="2" t="str">
        <f t="shared" si="63"/>
        <v>Error?</v>
      </c>
    </row>
    <row r="4126" spans="1:4" x14ac:dyDescent="0.2">
      <c r="A4126" s="5">
        <v>4065</v>
      </c>
      <c r="B4126" s="1832">
        <f>'Acct Summary 7-8'!G10</f>
        <v>241213</v>
      </c>
      <c r="C4126" s="2" t="s">
        <v>569</v>
      </c>
      <c r="D4126" s="2" t="str">
        <f t="shared" si="63"/>
        <v>Error?</v>
      </c>
    </row>
    <row r="4127" spans="1:4" x14ac:dyDescent="0.2">
      <c r="A4127" s="5">
        <v>4066</v>
      </c>
      <c r="B4127" s="1832">
        <f>'Acct Summary 7-8'!H10</f>
        <v>281402</v>
      </c>
      <c r="C4127" s="2" t="s">
        <v>569</v>
      </c>
      <c r="D4127" s="2" t="str">
        <f t="shared" si="63"/>
        <v>Error?</v>
      </c>
    </row>
    <row r="4128" spans="1:4" x14ac:dyDescent="0.2">
      <c r="A4128" s="5">
        <v>4067</v>
      </c>
      <c r="B4128" s="1832">
        <f>'Acct Summary 7-8'!I10</f>
        <v>47899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1821460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5753187</v>
      </c>
      <c r="C4136" s="2" t="s">
        <v>569</v>
      </c>
      <c r="D4136" s="2" t="str">
        <f t="shared" si="63"/>
        <v>Error?</v>
      </c>
    </row>
    <row r="4137" spans="1:4" x14ac:dyDescent="0.2">
      <c r="A4137" s="5">
        <v>4076</v>
      </c>
      <c r="B4137" s="1832">
        <f>'Acct Summary 7-8'!D19</f>
        <v>527657</v>
      </c>
      <c r="C4137" s="2" t="s">
        <v>569</v>
      </c>
      <c r="D4137" s="2" t="str">
        <f t="shared" si="63"/>
        <v>Error?</v>
      </c>
    </row>
    <row r="4138" spans="1:4" x14ac:dyDescent="0.2">
      <c r="A4138" s="5">
        <v>4077</v>
      </c>
      <c r="B4138" s="1832">
        <f>'Acct Summary 7-8'!E19</f>
        <v>800689</v>
      </c>
      <c r="C4138" s="2" t="s">
        <v>569</v>
      </c>
      <c r="D4138" s="2" t="str">
        <f t="shared" si="63"/>
        <v>Error?</v>
      </c>
    </row>
    <row r="4139" spans="1:4" x14ac:dyDescent="0.2">
      <c r="A4139" s="5">
        <v>4078</v>
      </c>
      <c r="B4139" s="1832">
        <f>'Acct Summary 7-8'!F19</f>
        <v>457686</v>
      </c>
      <c r="C4139" s="2" t="s">
        <v>569</v>
      </c>
      <c r="D4139" s="2" t="str">
        <f t="shared" si="63"/>
        <v>Error?</v>
      </c>
    </row>
    <row r="4140" spans="1:4" x14ac:dyDescent="0.2">
      <c r="A4140" s="5">
        <v>4079</v>
      </c>
      <c r="B4140" s="1832">
        <f>'Acct Summary 7-8'!G19</f>
        <v>225620</v>
      </c>
      <c r="C4140" s="2" t="s">
        <v>569</v>
      </c>
      <c r="D4140" s="2" t="str">
        <f t="shared" si="63"/>
        <v>Error?</v>
      </c>
    </row>
    <row r="4141" spans="1:4" x14ac:dyDescent="0.2">
      <c r="A4141" s="5">
        <v>4080</v>
      </c>
      <c r="B4141" s="1832">
        <f>'Acct Summary 7-8'!H19</f>
        <v>682143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4597131</v>
      </c>
      <c r="C4171" s="2" t="s">
        <v>569</v>
      </c>
      <c r="D4171" s="2" t="str">
        <f t="shared" si="64"/>
        <v>Error?</v>
      </c>
    </row>
    <row r="4172" spans="1:4" x14ac:dyDescent="0.2">
      <c r="A4172" s="5">
        <v>4111</v>
      </c>
      <c r="B4172" s="1832">
        <f>'Short-Term Long-Term Debt 24'!J49</f>
        <v>4597131</v>
      </c>
      <c r="C4172" s="2" t="s">
        <v>569</v>
      </c>
      <c r="D4172" s="2" t="str">
        <f t="shared" si="64"/>
        <v>Error?</v>
      </c>
    </row>
    <row r="4173" spans="1:4" x14ac:dyDescent="0.2">
      <c r="A4173" s="5">
        <v>4112</v>
      </c>
      <c r="B4173" s="1832">
        <f>'Short-Term Long-Term Debt 24'!H49</f>
        <v>753013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33013</v>
      </c>
      <c r="D4210" s="2" t="str">
        <f t="shared" si="64"/>
        <v>Error?</v>
      </c>
    </row>
    <row r="4211" spans="1:4" x14ac:dyDescent="0.2">
      <c r="A4211" s="5">
        <v>4150</v>
      </c>
      <c r="B4211" s="1832">
        <f>'Expenditures 15-22'!K206</f>
        <v>33013</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3100</v>
      </c>
      <c r="C4268" s="2" t="s">
        <v>569</v>
      </c>
      <c r="D4268" s="2" t="str">
        <f t="shared" si="65"/>
        <v>Error?</v>
      </c>
    </row>
    <row r="4269" spans="1:5" x14ac:dyDescent="0.2">
      <c r="A4269" s="12">
        <v>4208</v>
      </c>
      <c r="B4269" s="1832">
        <f>'FP Info 3'!J16</f>
        <v>3043937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3590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13356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20572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15267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33201</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97656893</v>
      </c>
      <c r="D4995" s="2" t="str">
        <f t="shared" si="77"/>
        <v>Error?</v>
      </c>
    </row>
    <row r="4996" spans="1:4" x14ac:dyDescent="0.2">
      <c r="A4996" s="12">
        <v>4935</v>
      </c>
      <c r="B4996" s="1832">
        <f>'FP Info 3'!H31</f>
        <v>13476651.234000001</v>
      </c>
      <c r="D4996" s="2" t="str">
        <f t="shared" si="77"/>
        <v>Error?</v>
      </c>
    </row>
    <row r="4997" spans="1:4" x14ac:dyDescent="0.2">
      <c r="A4997" s="12">
        <v>4936</v>
      </c>
      <c r="B4997" s="1832">
        <f>'FP Info 3'!H37</f>
        <v>4597131</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41151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1972684</v>
      </c>
      <c r="D5061" s="2" t="str">
        <f t="shared" si="78"/>
        <v>Error?</v>
      </c>
    </row>
    <row r="5062" spans="1:4" x14ac:dyDescent="0.2">
      <c r="A5062" s="10">
        <v>5001</v>
      </c>
      <c r="B5062" s="1832"/>
      <c r="D5062" s="2" t="str">
        <f t="shared" si="78"/>
        <v>OK</v>
      </c>
    </row>
    <row r="5063" spans="1:4" x14ac:dyDescent="0.2">
      <c r="A5063" s="5">
        <v>5002</v>
      </c>
      <c r="B5063" s="1832">
        <f>'Revenues 9-14'!C7</f>
        <v>32896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2046731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3232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3232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3239</v>
      </c>
      <c r="D5093" s="2" t="str">
        <f t="shared" si="78"/>
        <v>Error?</v>
      </c>
    </row>
    <row r="5094" spans="1:4" x14ac:dyDescent="0.2">
      <c r="A5094" s="5">
        <v>5033</v>
      </c>
      <c r="B5094" s="1832">
        <f>'Revenues 9-14'!C73</f>
        <v>1527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33619</v>
      </c>
      <c r="C5096" s="2" t="s">
        <v>569</v>
      </c>
      <c r="D5096" s="2" t="str">
        <f t="shared" si="78"/>
        <v>Error?</v>
      </c>
    </row>
    <row r="5097" spans="1:4" x14ac:dyDescent="0.2">
      <c r="A5097" s="5">
        <v>5036</v>
      </c>
      <c r="B5097" s="1832">
        <f>'Revenues 9-14'!C77</f>
        <v>12313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4040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16353</v>
      </c>
      <c r="C5102" s="2" t="s">
        <v>569</v>
      </c>
      <c r="D5102" s="2" t="str">
        <f t="shared" si="78"/>
        <v>Error?</v>
      </c>
    </row>
    <row r="5103" spans="1:4" x14ac:dyDescent="0.2">
      <c r="A5103" s="5">
        <v>5042</v>
      </c>
      <c r="B5103" s="1832">
        <f>'Revenues 9-14'!C84</f>
        <v>15916</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15916</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19320</v>
      </c>
      <c r="D5115" s="2" t="str">
        <f t="shared" si="78"/>
        <v>Error?</v>
      </c>
    </row>
    <row r="5116" spans="1:4" x14ac:dyDescent="0.2">
      <c r="A5116" s="5">
        <v>5055</v>
      </c>
      <c r="B5116" s="1832">
        <f>'Revenues 9-14'!C99</f>
        <v>1323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19878</v>
      </c>
      <c r="D5119" s="2" t="str">
        <f t="shared" ref="D5119:D5182" si="79">IF(ISBLANK(B5119),"OK",IF(A5119-B5119=0,"OK","Error?"))</f>
        <v>Error?</v>
      </c>
    </row>
    <row r="5120" spans="1:4" x14ac:dyDescent="0.2">
      <c r="A5120" s="5">
        <v>5059</v>
      </c>
      <c r="B5120" s="1832">
        <f>'Revenues 9-14'!C108</f>
        <v>43389</v>
      </c>
      <c r="C5120" s="2" t="s">
        <v>569</v>
      </c>
      <c r="D5120" s="2" t="str">
        <f t="shared" si="79"/>
        <v>Error?</v>
      </c>
    </row>
    <row r="5121" spans="1:4" x14ac:dyDescent="0.2">
      <c r="A5121" s="5">
        <v>5060</v>
      </c>
      <c r="B5121" s="1832">
        <f>'Revenues 9-14'!C109</f>
        <v>2159240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637943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637943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20494</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20494</v>
      </c>
      <c r="C5147" s="2" t="s">
        <v>569</v>
      </c>
      <c r="D5147" s="2" t="str">
        <f t="shared" si="79"/>
        <v>Error?</v>
      </c>
    </row>
    <row r="5148" spans="1:4" x14ac:dyDescent="0.2">
      <c r="A5148" s="5">
        <v>5087</v>
      </c>
      <c r="B5148" s="1832">
        <f>'Revenues 9-14'!C134</f>
        <v>2348</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12572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1063</v>
      </c>
      <c r="D5167" s="2" t="str">
        <f t="shared" si="79"/>
        <v>Error?</v>
      </c>
    </row>
    <row r="5168" spans="1:4" x14ac:dyDescent="0.2">
      <c r="A5168" s="5">
        <v>5107</v>
      </c>
      <c r="B5168" s="1832">
        <f>'Revenues 9-14'!C148</f>
        <v>4329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39958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677901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55545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15234</v>
      </c>
      <c r="D5241" s="2" t="str">
        <f t="shared" si="80"/>
        <v>Error?</v>
      </c>
    </row>
    <row r="5242" spans="1:4" x14ac:dyDescent="0.2">
      <c r="A5242" s="5">
        <v>5181</v>
      </c>
      <c r="B5242" s="1832">
        <f>'Revenues 9-14'!C194</f>
        <v>22637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93416</v>
      </c>
      <c r="C5246" s="2" t="s">
        <v>569</v>
      </c>
      <c r="D5246" s="2" t="str">
        <f t="shared" si="80"/>
        <v>Error?</v>
      </c>
    </row>
    <row r="5247" spans="1:4" x14ac:dyDescent="0.2">
      <c r="A5247" s="5">
        <v>5186</v>
      </c>
      <c r="B5247" s="1832">
        <f>'Revenues 9-14'!C200</f>
        <v>110156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20572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110156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6304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93398</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99702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389260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389260</v>
      </c>
      <c r="C5326" s="2" t="s">
        <v>569</v>
      </c>
      <c r="D5326" s="2" t="str">
        <f t="shared" si="82"/>
        <v>Error?</v>
      </c>
    </row>
    <row r="5327" spans="1:5" x14ac:dyDescent="0.2">
      <c r="A5327" s="5">
        <v>5266</v>
      </c>
      <c r="B5327" s="1832">
        <f>'Revenues 9-14'!C268</f>
        <v>3226401</v>
      </c>
      <c r="C5327" s="2" t="s">
        <v>569</v>
      </c>
      <c r="D5327" s="2" t="str">
        <f t="shared" si="82"/>
        <v>Error?</v>
      </c>
    </row>
    <row r="5328" spans="1:5" x14ac:dyDescent="0.2">
      <c r="A5328" s="5">
        <v>5267</v>
      </c>
      <c r="B5328" s="1832">
        <f>'Revenues 9-14'!D5</f>
        <v>411018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411018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132268</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132268</v>
      </c>
      <c r="C5339" s="2" t="s">
        <v>569</v>
      </c>
      <c r="D5339" s="2" t="str">
        <f t="shared" si="82"/>
        <v>Error?</v>
      </c>
    </row>
    <row r="5340" spans="1:4" x14ac:dyDescent="0.2">
      <c r="A5340" s="5">
        <v>5279</v>
      </c>
      <c r="B5340" s="1832">
        <f>'Revenues 9-14'!D65</f>
        <v>2837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2837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549</v>
      </c>
      <c r="D5354" s="2" t="str">
        <f t="shared" si="82"/>
        <v>Error?</v>
      </c>
    </row>
    <row r="5355" spans="1:4" x14ac:dyDescent="0.2">
      <c r="A5355" s="5">
        <v>5294</v>
      </c>
      <c r="B5355" s="1832">
        <f>'Revenues 9-14'!D108</f>
        <v>25549</v>
      </c>
      <c r="C5355" s="2" t="s">
        <v>569</v>
      </c>
      <c r="D5355" s="2" t="str">
        <f t="shared" si="82"/>
        <v>Error?</v>
      </c>
    </row>
    <row r="5356" spans="1:4" x14ac:dyDescent="0.2">
      <c r="A5356" s="5">
        <v>5295</v>
      </c>
      <c r="B5356" s="1832">
        <f>'Revenues 9-14'!D109</f>
        <v>571672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621672</v>
      </c>
      <c r="C5508" s="2" t="s">
        <v>569</v>
      </c>
      <c r="D5508" s="2" t="str">
        <f t="shared" si="85"/>
        <v>Error?</v>
      </c>
    </row>
    <row r="5509" spans="1:4" x14ac:dyDescent="0.2">
      <c r="A5509" s="5">
        <v>5448</v>
      </c>
      <c r="B5509" s="1832">
        <f>'Revenues 9-14'!E5</f>
        <v>704723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704723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528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528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705251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705251</v>
      </c>
      <c r="C5552" s="2" t="s">
        <v>569</v>
      </c>
      <c r="D5552" s="2" t="str">
        <f t="shared" si="85"/>
        <v>Error?</v>
      </c>
    </row>
    <row r="5553" spans="1:4" x14ac:dyDescent="0.2">
      <c r="A5553" s="5">
        <v>5492</v>
      </c>
      <c r="B5553" s="1832">
        <f>'Revenues 9-14'!F5</f>
        <v>164419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164419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1286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1286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40576</v>
      </c>
      <c r="D5586" s="2" t="str">
        <f t="shared" si="86"/>
        <v>Error?</v>
      </c>
    </row>
    <row r="5587" spans="1:4" x14ac:dyDescent="0.2">
      <c r="A5587" s="5">
        <v>5526</v>
      </c>
      <c r="B5587" s="1832">
        <f>'Revenues 9-14'!F108</f>
        <v>40576</v>
      </c>
      <c r="C5587" s="2" t="s">
        <v>569</v>
      </c>
      <c r="D5587" s="2" t="str">
        <f t="shared" si="86"/>
        <v>Error?</v>
      </c>
    </row>
    <row r="5588" spans="1:4" x14ac:dyDescent="0.2">
      <c r="A5588" s="5">
        <v>5527</v>
      </c>
      <c r="B5588" s="1832">
        <f>'Revenues 9-14'!F109</f>
        <v>206281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128812</v>
      </c>
      <c r="D5615" s="2" t="str">
        <f t="shared" si="86"/>
        <v>Error?</v>
      </c>
    </row>
    <row r="5616" spans="1:4" x14ac:dyDescent="0.2">
      <c r="A5616" s="10">
        <v>5555</v>
      </c>
      <c r="B5616" s="1832"/>
      <c r="D5616" s="2" t="str">
        <f t="shared" si="86"/>
        <v>OK</v>
      </c>
    </row>
    <row r="5617" spans="1:5" x14ac:dyDescent="0.2">
      <c r="A5617" s="5">
        <v>5556</v>
      </c>
      <c r="B5617" s="1832">
        <f>'Revenues 9-14'!F153</f>
        <v>21440</v>
      </c>
      <c r="D5617" s="2" t="str">
        <f t="shared" si="86"/>
        <v>Error?</v>
      </c>
    </row>
    <row r="5618" spans="1:5" x14ac:dyDescent="0.2">
      <c r="A5618" s="5">
        <v>5557</v>
      </c>
      <c r="B5618" s="1832">
        <f>'Revenues 9-14'!F155</f>
        <v>150252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150252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150252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356533</v>
      </c>
      <c r="C5720" s="2" t="s">
        <v>569</v>
      </c>
      <c r="D5720" s="2" t="str">
        <f t="shared" si="88"/>
        <v>Error?</v>
      </c>
    </row>
    <row r="5721" spans="1:4" x14ac:dyDescent="0.2">
      <c r="A5721" s="5">
        <v>5660</v>
      </c>
      <c r="B5721" s="1832">
        <f>'Revenues 9-14'!G5</f>
        <v>118193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118193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236386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3698</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3698</v>
      </c>
      <c r="C5730" s="2" t="s">
        <v>569</v>
      </c>
      <c r="D5730" s="2" t="str">
        <f t="shared" si="88"/>
        <v>Error?</v>
      </c>
    </row>
    <row r="5731" spans="1:4" x14ac:dyDescent="0.2">
      <c r="A5731" s="5">
        <v>5670</v>
      </c>
      <c r="B5731" s="1832">
        <f>'Revenues 9-14'!G65</f>
        <v>1129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1129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241213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381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381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281021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281402</v>
      </c>
      <c r="C5915" s="2" t="s">
        <v>569</v>
      </c>
      <c r="D5915" s="2" t="str">
        <f t="shared" si="91"/>
        <v>Error?</v>
      </c>
    </row>
    <row r="5916" spans="1:4" x14ac:dyDescent="0.2">
      <c r="A5916" s="5">
        <v>5855</v>
      </c>
      <c r="B5916" s="1832">
        <f>'Revenues 9-14'!I5</f>
        <v>41151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41151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6748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6748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47899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241213</v>
      </c>
      <c r="C6024" s="2" t="s">
        <v>569</v>
      </c>
      <c r="D6024" s="2" t="str">
        <f t="shared" si="93"/>
        <v>Error?</v>
      </c>
    </row>
    <row r="6025" spans="1:5" x14ac:dyDescent="0.2">
      <c r="A6025" s="5">
        <v>5964</v>
      </c>
      <c r="B6025" s="1832">
        <f>'Revenues 9-14'!H109</f>
        <v>281402</v>
      </c>
      <c r="C6025" s="2" t="s">
        <v>569</v>
      </c>
      <c r="D6025" s="2" t="str">
        <f t="shared" si="93"/>
        <v>Error?</v>
      </c>
    </row>
    <row r="6026" spans="1:5" x14ac:dyDescent="0.2">
      <c r="A6026" s="5">
        <v>5965</v>
      </c>
      <c r="B6026" s="1832">
        <f>'Revenues 9-14'!I109</f>
        <v>47899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28853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404.4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1514</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417039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417039</v>
      </c>
      <c r="D6215" s="2" t="str">
        <f t="shared" si="96"/>
        <v>Error?</v>
      </c>
      <c r="E6215" s="2" t="s">
        <v>189</v>
      </c>
    </row>
    <row r="6216" spans="1:5" x14ac:dyDescent="0.2">
      <c r="A6216">
        <v>6155</v>
      </c>
      <c r="B6216" s="1832">
        <f>'Assets-Liab 5-6'!J41</f>
        <v>417039</v>
      </c>
      <c r="D6216" s="2" t="str">
        <f t="shared" si="96"/>
        <v>Error?</v>
      </c>
      <c r="E6216" s="2" t="s">
        <v>189</v>
      </c>
    </row>
    <row r="6217" spans="1:5" x14ac:dyDescent="0.2">
      <c r="A6217">
        <v>6156</v>
      </c>
      <c r="B6217" s="1832">
        <f>'Assets-Liab 5-6'!J4</f>
        <v>417039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483755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483755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483755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585111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585111</v>
      </c>
      <c r="D6229" s="2" t="str">
        <f t="shared" si="96"/>
        <v>Error?</v>
      </c>
      <c r="E6229" s="2" t="s">
        <v>189</v>
      </c>
    </row>
    <row r="6230" spans="1:5" x14ac:dyDescent="0.2">
      <c r="A6230">
        <v>6169</v>
      </c>
      <c r="B6230" s="1832">
        <f>'Acct Summary 7-8'!J20</f>
        <v>-101356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20000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-101356</v>
      </c>
      <c r="D6263" s="2" t="str">
        <f t="shared" si="96"/>
        <v>Error?</v>
      </c>
      <c r="E6263" s="2" t="s">
        <v>189</v>
      </c>
    </row>
    <row r="6264" spans="1:5" x14ac:dyDescent="0.2">
      <c r="A6264">
        <v>6203</v>
      </c>
      <c r="B6264" s="1832">
        <f>'Acct Summary 7-8'!J79</f>
        <v>518395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417039</v>
      </c>
      <c r="D6266" s="2" t="str">
        <f t="shared" si="96"/>
        <v>Error?</v>
      </c>
      <c r="E6266" s="2" t="s">
        <v>189</v>
      </c>
    </row>
    <row r="6267" spans="1:5" x14ac:dyDescent="0.2">
      <c r="A6267">
        <v>6206</v>
      </c>
      <c r="B6267" s="1832">
        <f>'Acct Summary 7-8'!C82</f>
        <v>81659</v>
      </c>
      <c r="D6267" s="2" t="str">
        <f t="shared" si="96"/>
        <v>Error?</v>
      </c>
      <c r="E6267" s="2" t="s">
        <v>189</v>
      </c>
    </row>
    <row r="6268" spans="1:5" x14ac:dyDescent="0.2">
      <c r="A6268">
        <v>6207</v>
      </c>
      <c r="B6268" s="1832">
        <f>'Acct Summary 7-8'!D82</f>
        <v>94015</v>
      </c>
      <c r="D6268" s="2" t="str">
        <f t="shared" si="96"/>
        <v>Error?</v>
      </c>
      <c r="E6268" s="2" t="s">
        <v>189</v>
      </c>
    </row>
    <row r="6269" spans="1:5" x14ac:dyDescent="0.2">
      <c r="A6269">
        <v>6208</v>
      </c>
      <c r="B6269" s="1832">
        <f>'Acct Summary 7-8'!E82</f>
        <v>-95438</v>
      </c>
      <c r="D6269" s="2" t="str">
        <f t="shared" si="96"/>
        <v>Error?</v>
      </c>
      <c r="E6269" s="2" t="s">
        <v>189</v>
      </c>
    </row>
    <row r="6270" spans="1:5" x14ac:dyDescent="0.2">
      <c r="A6270">
        <v>6209</v>
      </c>
      <c r="B6270" s="1832">
        <f>'Acct Summary 7-8'!F82</f>
        <v>123991</v>
      </c>
      <c r="D6270" s="2" t="str">
        <f t="shared" si="96"/>
        <v>Error?</v>
      </c>
      <c r="E6270" s="2" t="s">
        <v>189</v>
      </c>
    </row>
    <row r="6271" spans="1:5" x14ac:dyDescent="0.2">
      <c r="A6271">
        <v>6210</v>
      </c>
      <c r="B6271" s="1832">
        <f>'Acct Summary 7-8'!G82</f>
        <v>15593</v>
      </c>
      <c r="D6271" s="2" t="str">
        <f t="shared" ref="D6271:D6334" si="97">IF(ISBLANK(B6271),"OK",IF(A6271-B6271=0,"OK","Error?"))</f>
        <v>Error?</v>
      </c>
      <c r="E6271" s="2" t="s">
        <v>189</v>
      </c>
    </row>
    <row r="6272" spans="1:5" x14ac:dyDescent="0.2">
      <c r="A6272">
        <v>6211</v>
      </c>
      <c r="B6272" s="1832">
        <f>'Acct Summary 7-8'!H82</f>
        <v>-400741</v>
      </c>
      <c r="D6272" s="2" t="str">
        <f t="shared" si="97"/>
        <v>Error?</v>
      </c>
      <c r="E6272" s="2" t="s">
        <v>189</v>
      </c>
    </row>
    <row r="6273" spans="1:5" x14ac:dyDescent="0.2">
      <c r="A6273">
        <v>6212</v>
      </c>
      <c r="B6273" s="1832">
        <f>'Acct Summary 7-8'!I82</f>
        <v>-314086</v>
      </c>
      <c r="D6273" s="2" t="str">
        <f t="shared" si="97"/>
        <v>Error?</v>
      </c>
      <c r="E6273" s="2" t="s">
        <v>189</v>
      </c>
    </row>
    <row r="6274" spans="1:5" x14ac:dyDescent="0.2">
      <c r="A6274">
        <v>6213</v>
      </c>
      <c r="B6274" s="1832">
        <f>'Acct Summary 7-8'!J82</f>
        <v>-101356</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0.10183977312125392</v>
      </c>
      <c r="D6276" s="2" t="str">
        <f t="shared" si="97"/>
        <v>Error?</v>
      </c>
      <c r="E6276" s="2" t="s">
        <v>189</v>
      </c>
    </row>
    <row r="6277" spans="1:5" x14ac:dyDescent="0.2">
      <c r="A6277">
        <v>6216</v>
      </c>
      <c r="B6277" s="1832">
        <f>'Acct Summary 7-8'!D83</f>
        <v>0.13904911496048086</v>
      </c>
      <c r="D6277" s="2" t="str">
        <f t="shared" si="97"/>
        <v>Error?</v>
      </c>
      <c r="E6277" s="2" t="s">
        <v>189</v>
      </c>
    </row>
    <row r="6278" spans="1:5" x14ac:dyDescent="0.2">
      <c r="A6278">
        <v>6217</v>
      </c>
      <c r="B6278" s="1832">
        <f>'Acct Summary 7-8'!E83</f>
        <v>2.6890003381043615</v>
      </c>
      <c r="D6278" s="2" t="str">
        <f t="shared" si="97"/>
        <v>Error?</v>
      </c>
      <c r="E6278" s="2" t="s">
        <v>189</v>
      </c>
    </row>
    <row r="6279" spans="1:5" x14ac:dyDescent="0.2">
      <c r="A6279">
        <v>6218</v>
      </c>
      <c r="B6279" s="1832">
        <f>'Acct Summary 7-8'!F83</f>
        <v>0.30355429119824512</v>
      </c>
      <c r="D6279" s="2" t="str">
        <f t="shared" si="97"/>
        <v>Error?</v>
      </c>
      <c r="E6279" s="2" t="s">
        <v>189</v>
      </c>
    </row>
    <row r="6280" spans="1:5" x14ac:dyDescent="0.2">
      <c r="A6280">
        <v>6219</v>
      </c>
      <c r="B6280" s="1832">
        <f>'Acct Summary 7-8'!G83</f>
        <v>9.3762589971317409E-2</v>
      </c>
      <c r="D6280" s="2" t="str">
        <f t="shared" si="97"/>
        <v>Error?</v>
      </c>
      <c r="E6280" s="2" t="s">
        <v>189</v>
      </c>
    </row>
    <row r="6281" spans="1:5" x14ac:dyDescent="0.2">
      <c r="A6281">
        <v>6220</v>
      </c>
      <c r="B6281" s="1832">
        <f>'Acct Summary 7-8'!H83</f>
        <v>-4.4584737937096</v>
      </c>
      <c r="D6281" s="2" t="str">
        <f t="shared" si="97"/>
        <v>Error?</v>
      </c>
      <c r="E6281" s="2" t="s">
        <v>189</v>
      </c>
    </row>
    <row r="6282" spans="1:5" x14ac:dyDescent="0.2">
      <c r="A6282">
        <v>6221</v>
      </c>
      <c r="B6282" s="1832">
        <f>'Acct Summary 7-8'!I83</f>
        <v>-0.27134695513720436</v>
      </c>
      <c r="D6282" s="2" t="str">
        <f t="shared" si="97"/>
        <v>Error?</v>
      </c>
      <c r="E6282" s="2" t="s">
        <v>189</v>
      </c>
    </row>
    <row r="6283" spans="1:5" x14ac:dyDescent="0.2">
      <c r="A6283">
        <v>6222</v>
      </c>
      <c r="B6283" s="1832">
        <f>'Acct Summary 7-8'!J83</f>
        <v>-0.24303722193847577</v>
      </c>
      <c r="D6283" s="2" t="str">
        <f t="shared" si="97"/>
        <v>Error?</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481445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481445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2310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2310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25000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2868</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483755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10224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8891</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30647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509</v>
      </c>
      <c r="D6880" s="2" t="str">
        <f t="shared" si="106"/>
        <v>Error?</v>
      </c>
    </row>
    <row r="6881" spans="1:4" x14ac:dyDescent="0.2">
      <c r="A6881">
        <v>6820</v>
      </c>
      <c r="B6881" s="1832">
        <f>'Expenditures 15-22'!K22</f>
        <v>509</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8891</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738</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738</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738</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134620</v>
      </c>
      <c r="D6981" s="2" t="str">
        <f t="shared" si="108"/>
        <v>Error?</v>
      </c>
    </row>
    <row r="6982" spans="1:4" x14ac:dyDescent="0.2">
      <c r="A6982">
        <v>6921</v>
      </c>
      <c r="B6982" s="1832">
        <f>'Expenditures 15-22'!K85</f>
        <v>134620</v>
      </c>
      <c r="D6982" s="2" t="str">
        <f t="shared" si="108"/>
        <v>Error?</v>
      </c>
    </row>
    <row r="6983" spans="1:4" x14ac:dyDescent="0.2">
      <c r="A6983">
        <v>6922</v>
      </c>
      <c r="B6983" s="1832">
        <f>'Expenditures 15-22'!H86</f>
        <v>58683</v>
      </c>
      <c r="D6983" s="2" t="str">
        <f t="shared" si="108"/>
        <v>Error?</v>
      </c>
    </row>
    <row r="6984" spans="1:4" x14ac:dyDescent="0.2">
      <c r="A6984">
        <v>6923</v>
      </c>
      <c r="B6984" s="1832">
        <f>'Expenditures 15-22'!K86</f>
        <v>58683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557</v>
      </c>
      <c r="D6987" s="2" t="str">
        <f t="shared" si="108"/>
        <v>Error?</v>
      </c>
    </row>
    <row r="6988" spans="1:4" x14ac:dyDescent="0.2">
      <c r="A6988">
        <v>6927</v>
      </c>
      <c r="B6988" s="1832">
        <f>'Expenditures 15-22'!K88</f>
        <v>557</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193860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9629</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5323</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5323</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5323</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585111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5323</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483755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314</v>
      </c>
      <c r="D7067" s="2" t="str">
        <f t="shared" si="109"/>
        <v>Error?</v>
      </c>
    </row>
    <row r="7068" spans="1:4" x14ac:dyDescent="0.2">
      <c r="A7068">
        <v>7007</v>
      </c>
      <c r="B7068" s="1832">
        <f>'Expenditures 15-22'!K205</f>
        <v>314</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233</v>
      </c>
      <c r="D7079" s="2" t="str">
        <f t="shared" si="109"/>
        <v>Error?</v>
      </c>
    </row>
    <row r="7080" spans="1:4" x14ac:dyDescent="0.2">
      <c r="A7080">
        <v>7019</v>
      </c>
      <c r="B7080" s="1832">
        <f>'Expenditures 15-22'!K226</f>
        <v>233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40338</v>
      </c>
      <c r="D7093" s="2" t="str">
        <f t="shared" si="109"/>
        <v>Error?</v>
      </c>
    </row>
    <row r="7094" spans="1:4" x14ac:dyDescent="0.2">
      <c r="A7094">
        <v>7033</v>
      </c>
      <c r="B7094" s="1832">
        <f>'Expenditures 15-22'!K254</f>
        <v>40338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1672</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1672</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1672</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198</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198</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78271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78271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400972</v>
      </c>
      <c r="D7172" s="2" t="str">
        <f t="shared" si="111"/>
        <v>Error?</v>
      </c>
    </row>
    <row r="7173" spans="1:4" x14ac:dyDescent="0.2">
      <c r="A7173">
        <v>7112</v>
      </c>
      <c r="B7173" s="1832">
        <f>'Expenditures 15-22'!D325</f>
        <v>58121</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4008</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463101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37434</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37434</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6107</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6107</v>
      </c>
      <c r="D7198" s="2" t="str">
        <f t="shared" si="111"/>
        <v>Error?</v>
      </c>
    </row>
    <row r="7199" spans="1:4" x14ac:dyDescent="0.2">
      <c r="A7199">
        <v>7138</v>
      </c>
      <c r="B7199" s="1832">
        <f>'Expenditures 15-22'!C330</f>
        <v>400972</v>
      </c>
      <c r="D7199" s="2" t="str">
        <f t="shared" si="111"/>
        <v>Error?</v>
      </c>
    </row>
    <row r="7200" spans="1:4" x14ac:dyDescent="0.2">
      <c r="A7200">
        <v>7139</v>
      </c>
      <c r="B7200" s="1832">
        <f>'Expenditures 15-22'!D330</f>
        <v>58121</v>
      </c>
      <c r="D7200" s="2" t="str">
        <f t="shared" si="111"/>
        <v>Error?</v>
      </c>
    </row>
    <row r="7201" spans="1:4" x14ac:dyDescent="0.2">
      <c r="A7201">
        <v>7140</v>
      </c>
      <c r="B7201" s="1832">
        <f>'Expenditures 15-22'!E330</f>
        <v>122010</v>
      </c>
      <c r="D7201" s="2" t="str">
        <f t="shared" si="111"/>
        <v>Error?</v>
      </c>
    </row>
    <row r="7202" spans="1:4" x14ac:dyDescent="0.2">
      <c r="A7202">
        <v>7141</v>
      </c>
      <c r="B7202" s="1832">
        <f>'Expenditures 15-22'!F330</f>
        <v>4008</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585111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400972</v>
      </c>
      <c r="D7216" s="2" t="str">
        <f t="shared" si="111"/>
        <v>Error?</v>
      </c>
    </row>
    <row r="7217" spans="1:4" x14ac:dyDescent="0.2">
      <c r="A7217">
        <v>7156</v>
      </c>
      <c r="B7217" s="1832">
        <f>'Expenditures 15-22'!D342</f>
        <v>58121</v>
      </c>
      <c r="D7217" s="2" t="str">
        <f t="shared" si="111"/>
        <v>Error?</v>
      </c>
    </row>
    <row r="7218" spans="1:4" x14ac:dyDescent="0.2">
      <c r="A7218">
        <v>7157</v>
      </c>
      <c r="B7218" s="1832">
        <f>'Expenditures 15-22'!E342</f>
        <v>122010</v>
      </c>
      <c r="D7218" s="2" t="str">
        <f t="shared" si="111"/>
        <v>Error?</v>
      </c>
    </row>
    <row r="7219" spans="1:4" x14ac:dyDescent="0.2">
      <c r="A7219">
        <v>7158</v>
      </c>
      <c r="B7219" s="1832">
        <f>'Expenditures 15-22'!F342</f>
        <v>4008</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585111</v>
      </c>
      <c r="D7224" s="2" t="str">
        <f t="shared" si="111"/>
        <v>Error?</v>
      </c>
    </row>
    <row r="7225" spans="1:4" x14ac:dyDescent="0.2">
      <c r="A7225">
        <v>7164</v>
      </c>
      <c r="B7225" s="1832">
        <f>'Expenditures 15-22'!K343</f>
        <v>-101356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20713</v>
      </c>
      <c r="D7263" s="2" t="str">
        <f t="shared" si="112"/>
        <v>Error?</v>
      </c>
    </row>
    <row r="7264" spans="1:4" x14ac:dyDescent="0.2">
      <c r="A7264">
        <f t="shared" si="113"/>
        <v>7203</v>
      </c>
      <c r="B7264" s="1832">
        <f>'Expenditures 15-22'!D17</f>
        <v>2453</v>
      </c>
      <c r="D7264" s="2" t="str">
        <f t="shared" si="112"/>
        <v>Error?</v>
      </c>
    </row>
    <row r="7265" spans="1:5" x14ac:dyDescent="0.2">
      <c r="A7265">
        <f t="shared" si="113"/>
        <v>7204</v>
      </c>
      <c r="B7265" s="1832">
        <f>'Expenditures 15-22'!E17</f>
        <v>6977</v>
      </c>
      <c r="D7265" s="2" t="str">
        <f t="shared" si="112"/>
        <v>Error?</v>
      </c>
    </row>
    <row r="7266" spans="1:5" x14ac:dyDescent="0.2">
      <c r="A7266">
        <f t="shared" si="113"/>
        <v>7205</v>
      </c>
      <c r="B7266" s="1832">
        <f>'Expenditures 15-22'!F17</f>
        <v>504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16624</v>
      </c>
      <c r="D7624" s="2" t="str">
        <f t="shared" si="124"/>
        <v>Error?</v>
      </c>
      <c r="E7624" s="2" t="s">
        <v>19</v>
      </c>
    </row>
    <row r="7625" spans="1:5" x14ac:dyDescent="0.2">
      <c r="A7625">
        <f t="shared" si="123"/>
        <v>7564</v>
      </c>
      <c r="B7625" s="1832">
        <f>'Cap Outlay Deprec 26'!I17</f>
        <v>1662.4</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338295.4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128288</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2868</v>
      </c>
      <c r="D7712" s="2" t="str">
        <f t="shared" si="126"/>
        <v>Error?</v>
      </c>
      <c r="E7712" s="2" t="s">
        <v>822</v>
      </c>
    </row>
    <row r="7713" spans="1:6" x14ac:dyDescent="0.2">
      <c r="A7713">
        <v>7652</v>
      </c>
      <c r="B7713" s="1832">
        <f>'Rest Tax Levies-Tort Im 25'!J8</f>
        <v>281021</v>
      </c>
      <c r="D7713" s="2" t="str">
        <f t="shared" si="126"/>
        <v>Error?</v>
      </c>
      <c r="E7713" s="2" t="s">
        <v>822</v>
      </c>
    </row>
    <row r="7714" spans="1:6" x14ac:dyDescent="0.2">
      <c r="A7714">
        <v>7653</v>
      </c>
      <c r="B7714" s="1832">
        <f>'Rest Tax Levies-Tort Im 25'!K9</f>
        <v>4329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281021</v>
      </c>
      <c r="D7718" s="2" t="str">
        <f t="shared" si="126"/>
        <v>Error?</v>
      </c>
      <c r="E7718" s="2" t="s">
        <v>822</v>
      </c>
    </row>
    <row r="7719" spans="1:6" x14ac:dyDescent="0.2">
      <c r="A7719">
        <v>7658</v>
      </c>
      <c r="B7719" s="1832">
        <f>'Rest Tax Levies-Tort Im 25'!K12</f>
        <v>7197</v>
      </c>
      <c r="D7719" s="2" t="str">
        <f t="shared" si="126"/>
        <v>Error?</v>
      </c>
      <c r="E7719" s="2" t="s">
        <v>822</v>
      </c>
    </row>
    <row r="7720" spans="1:6" x14ac:dyDescent="0.2">
      <c r="A7720">
        <v>7659</v>
      </c>
      <c r="B7720" s="1832">
        <f>'Rest Tax Levies-Tort Im 25'!H14</f>
        <v>32896</v>
      </c>
      <c r="D7720" s="2" t="str">
        <f t="shared" si="126"/>
        <v>Error?</v>
      </c>
      <c r="E7720" s="2" t="s">
        <v>822</v>
      </c>
    </row>
    <row r="7721" spans="1:6" x14ac:dyDescent="0.2">
      <c r="A7721">
        <v>7660</v>
      </c>
      <c r="B7721" s="1832">
        <f>'Rest Tax Levies-Tort Im 25'!K14</f>
        <v>7197</v>
      </c>
      <c r="D7721" s="2" t="str">
        <f t="shared" si="126"/>
        <v>Error?</v>
      </c>
      <c r="E7721" s="2" t="s">
        <v>822</v>
      </c>
    </row>
    <row r="7722" spans="1:6" x14ac:dyDescent="0.2">
      <c r="A7722">
        <v>7661</v>
      </c>
      <c r="B7722" s="1832">
        <f>'Rest Tax Levies-Tort Im 25'!J15</f>
        <v>409309</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409309</v>
      </c>
      <c r="D7730" s="2" t="str">
        <f t="shared" si="126"/>
        <v>Error?</v>
      </c>
      <c r="E7730" s="2" t="s">
        <v>822</v>
      </c>
    </row>
    <row r="7731" spans="1:6" x14ac:dyDescent="0.2">
      <c r="A7731">
        <v>7670</v>
      </c>
      <c r="B7731" s="1832">
        <f>'Revenues 9-14'!H103</f>
        <v>281021</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786985</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75000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7197</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8740144</v>
      </c>
      <c r="D7817" s="2" t="str">
        <f t="shared" si="128"/>
        <v>Error?</v>
      </c>
      <c r="E7817" s="4" t="s">
        <v>1966</v>
      </c>
    </row>
    <row r="7818" spans="1:5" x14ac:dyDescent="0.2">
      <c r="A7818">
        <v>7757</v>
      </c>
      <c r="B7818" s="1832">
        <f>'PCTC-OEPP 27-28'!F172</f>
        <v>153646</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6528490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1268348</v>
      </c>
      <c r="D7834" s="2" t="str">
        <f t="shared" si="129"/>
        <v>Error?</v>
      </c>
      <c r="E7834" s="4" t="s">
        <v>1998</v>
      </c>
    </row>
    <row r="7835" spans="1:5" x14ac:dyDescent="0.2">
      <c r="A7835">
        <v>7774</v>
      </c>
      <c r="B7835" s="1832">
        <f>'PCTC-OEPP 27-28'!F78</f>
        <v>5260142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13007.274975272008</v>
      </c>
      <c r="D7837" s="2" t="str">
        <f t="shared" si="129"/>
        <v>Error?</v>
      </c>
      <c r="E7837" s="4" t="s">
        <v>1998</v>
      </c>
    </row>
    <row r="7838" spans="1:5" x14ac:dyDescent="0.2">
      <c r="A7838">
        <v>7777</v>
      </c>
      <c r="B7838" s="1832">
        <f>'PCTC-OEPP 27-28'!F96</f>
        <v>16353</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19320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20494</v>
      </c>
      <c r="D7842" s="2" t="str">
        <f t="shared" si="129"/>
        <v>Error?</v>
      </c>
      <c r="E7842" s="4" t="s">
        <v>1998</v>
      </c>
    </row>
    <row r="7843" spans="1:5" x14ac:dyDescent="0.2">
      <c r="A7843">
        <v>7782</v>
      </c>
      <c r="B7843" s="1832">
        <f>'PCTC-OEPP 27-28'!F107</f>
        <v>12572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4329</v>
      </c>
      <c r="D7846" s="2" t="str">
        <f t="shared" si="129"/>
        <v>Error?</v>
      </c>
      <c r="E7846" s="4" t="s">
        <v>1998</v>
      </c>
    </row>
    <row r="7847" spans="1:5" x14ac:dyDescent="0.2">
      <c r="A7847">
        <v>7786</v>
      </c>
      <c r="B7847" s="1832">
        <f>'PCTC-OEPP 27-28'!F112</f>
        <v>150252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93416</v>
      </c>
      <c r="D7858" s="2" t="str">
        <f t="shared" si="129"/>
        <v>Error?</v>
      </c>
      <c r="E7858" s="4" t="s">
        <v>1998</v>
      </c>
    </row>
    <row r="7859" spans="1:5" x14ac:dyDescent="0.2">
      <c r="A7859">
        <v>7798</v>
      </c>
      <c r="B7859" s="1832">
        <f>'PCTC-OEPP 27-28'!F127</f>
        <v>110156</v>
      </c>
      <c r="D7859" s="2" t="str">
        <f t="shared" si="129"/>
        <v>Error?</v>
      </c>
      <c r="E7859" s="4" t="s">
        <v>1998</v>
      </c>
    </row>
    <row r="7860" spans="1:5" x14ac:dyDescent="0.2">
      <c r="A7860">
        <v>7799</v>
      </c>
      <c r="B7860" s="1832">
        <f>'PCTC-OEPP 27-28'!F128</f>
        <v>20572</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93398</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15267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3590</v>
      </c>
      <c r="D7874" s="2" t="str">
        <f t="shared" si="129"/>
        <v>Error?</v>
      </c>
      <c r="E7874" s="4" t="s">
        <v>1998</v>
      </c>
    </row>
    <row r="7875" spans="1:5" x14ac:dyDescent="0.2">
      <c r="A7875">
        <v>7814</v>
      </c>
      <c r="B7875" s="1832">
        <f>'PCTC-OEPP 27-28'!F170</f>
        <v>13356</v>
      </c>
      <c r="D7875" s="2" t="str">
        <f t="shared" si="129"/>
        <v>Error?</v>
      </c>
      <c r="E7875" s="4" t="s">
        <v>1998</v>
      </c>
    </row>
    <row r="7876" spans="1:5" x14ac:dyDescent="0.2">
      <c r="A7876">
        <v>7815</v>
      </c>
      <c r="B7876" s="1832">
        <f>'PCTC-OEPP 27-28'!F171</f>
        <v>33201</v>
      </c>
      <c r="D7876" s="2" t="str">
        <f t="shared" si="129"/>
        <v>Error?</v>
      </c>
      <c r="E7876" s="4" t="s">
        <v>1998</v>
      </c>
    </row>
    <row r="7877" spans="1:5" x14ac:dyDescent="0.2">
      <c r="A7877">
        <v>7816</v>
      </c>
      <c r="B7877" s="1832">
        <f>'PCTC-OEPP 27-28'!F175</f>
        <v>862020</v>
      </c>
      <c r="D7877" s="2" t="str">
        <f t="shared" si="129"/>
        <v>Error?</v>
      </c>
      <c r="E7877" s="4" t="s">
        <v>1998</v>
      </c>
    </row>
    <row r="7878" spans="1:5" x14ac:dyDescent="0.2">
      <c r="A7878">
        <v>7817</v>
      </c>
      <c r="B7878" s="1832">
        <f>'PCTC-OEPP 27-28'!F176</f>
        <v>4398122</v>
      </c>
      <c r="D7878" s="2" t="str">
        <f t="shared" si="129"/>
        <v>Error?</v>
      </c>
      <c r="E7878" s="4" t="s">
        <v>1998</v>
      </c>
    </row>
    <row r="7879" spans="1:5" x14ac:dyDescent="0.2">
      <c r="A7879">
        <v>7818</v>
      </c>
      <c r="B7879" s="1832">
        <f>'PCTC-OEPP 27-28'!F178</f>
        <v>4736417.4000000004</v>
      </c>
      <c r="D7879" s="2" t="str">
        <f t="shared" si="129"/>
        <v>Error?</v>
      </c>
      <c r="E7879" s="4" t="s">
        <v>1998</v>
      </c>
    </row>
    <row r="7880" spans="1:5" x14ac:dyDescent="0.2">
      <c r="A7880">
        <v>7819</v>
      </c>
      <c r="B7880" s="1832">
        <f>'PCTC-OEPP 27-28'!F180</f>
        <v>11712.209198813058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Heritage SD 8</v>
      </c>
      <c r="B7" s="2516"/>
      <c r="C7" s="2516"/>
      <c r="D7" s="2554"/>
      <c r="E7" s="2555">
        <f>COVER!A13</f>
        <v>9010008026</v>
      </c>
      <c r="F7" s="2556"/>
      <c r="G7" s="2522">
        <f>COVER!T23</f>
        <v>65.018319000000005</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RUSSELL LEIGH &amp; ASSOCIATES LLC</v>
      </c>
      <c r="H9" s="2529"/>
      <c r="I9" s="2529"/>
      <c r="J9" s="2529"/>
      <c r="K9" s="2529"/>
      <c r="L9" s="2530"/>
    </row>
    <row r="10" spans="1:29" ht="13.5" customHeight="1" x14ac:dyDescent="0.2">
      <c r="A10" s="2512" t="str">
        <f>COVER!A38</f>
        <v>Tom Davis</v>
      </c>
      <c r="B10" s="2513"/>
      <c r="C10" s="2513"/>
      <c r="D10" s="2513"/>
      <c r="E10" s="2513"/>
      <c r="F10" s="2514"/>
      <c r="G10" s="2528" t="str">
        <f>COVER!T17</f>
        <v>228 E MAIN ST</v>
      </c>
      <c r="H10" s="2541"/>
      <c r="I10" s="2541"/>
      <c r="J10" s="2541"/>
      <c r="K10" s="2541"/>
      <c r="L10" s="2542"/>
    </row>
    <row r="11" spans="1:29" ht="13.5" customHeight="1" x14ac:dyDescent="0.2">
      <c r="A11" s="963" t="s">
        <v>1502</v>
      </c>
      <c r="B11" s="964"/>
      <c r="C11" s="965"/>
      <c r="D11" s="970"/>
      <c r="E11" s="965"/>
      <c r="F11" s="969"/>
      <c r="G11" s="2528" t="str">
        <f>COVER!T19</f>
        <v>HOOPESTON</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admin@russleigh.com</v>
      </c>
      <c r="J13" s="2550"/>
      <c r="K13" s="2550"/>
      <c r="L13" s="2551"/>
    </row>
    <row r="14" spans="1:29" ht="13.5" customHeight="1" x14ac:dyDescent="0.2">
      <c r="A14" s="2528" t="str">
        <f>COVER!A19</f>
        <v>512 W 1ST STREET</v>
      </c>
      <c r="B14" s="2541"/>
      <c r="C14" s="2541"/>
      <c r="D14" s="2541"/>
      <c r="E14" s="2541"/>
      <c r="F14" s="2542"/>
      <c r="G14" s="974" t="s">
        <v>1175</v>
      </c>
      <c r="H14" s="972"/>
      <c r="I14" s="972"/>
      <c r="J14" s="972"/>
      <c r="K14" s="972"/>
      <c r="L14" s="973"/>
    </row>
    <row r="15" spans="1:29" ht="13.5" customHeight="1" x14ac:dyDescent="0.2">
      <c r="A15" s="2528" t="str">
        <f>COVER!A21</f>
        <v>HOMER</v>
      </c>
      <c r="B15" s="2541"/>
      <c r="C15" s="2541"/>
      <c r="D15" s="2541"/>
      <c r="E15" s="2541"/>
      <c r="F15" s="2542"/>
      <c r="G15" s="2538" t="str">
        <f>COVER!T15</f>
        <v>RUSS LEIGH</v>
      </c>
      <c r="H15" s="2539"/>
      <c r="I15" s="2539"/>
      <c r="J15" s="2539"/>
      <c r="K15" s="2539"/>
      <c r="L15" s="2540"/>
    </row>
    <row r="16" spans="1:29" ht="12.2" customHeight="1" x14ac:dyDescent="0.2">
      <c r="A16" s="2518">
        <f>COVER!A25</f>
        <v>61849</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217-283-9336</v>
      </c>
      <c r="H18" s="2516"/>
      <c r="I18" s="2516"/>
      <c r="J18" s="2516"/>
      <c r="K18" s="2515" t="str">
        <f>COVER!X21</f>
        <v>217-283-9736</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Heritage SD 8</v>
      </c>
      <c r="B1" s="2558"/>
      <c r="C1" s="2558"/>
      <c r="D1" s="2558"/>
    </row>
    <row r="2" spans="1:11" s="991" customFormat="1" ht="12.75" x14ac:dyDescent="0.2">
      <c r="A2" s="2559">
        <f>'Single Audit Cover'!E7</f>
        <v>9010008026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Heritage SD 8</v>
      </c>
      <c r="B1" s="2562"/>
      <c r="C1" s="2562"/>
      <c r="D1" s="2562"/>
      <c r="E1" s="2562"/>
    </row>
    <row r="2" spans="1:5" x14ac:dyDescent="0.2">
      <c r="A2" s="2563">
        <f>'Single Audit Cover'!E7</f>
        <v>9010008026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389260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-13356</v>
      </c>
    </row>
    <row r="19" spans="1:4" ht="13.5" thickBot="1" x14ac:dyDescent="0.25">
      <c r="A19" s="1041" t="s">
        <v>1224</v>
      </c>
      <c r="D19" s="1042">
        <f>SUM(D10:D17)</f>
        <v>375904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375904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375904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Heritage SD 8</v>
      </c>
      <c r="C1" s="2566"/>
      <c r="D1" s="2566"/>
      <c r="E1" s="2566"/>
      <c r="F1" s="2566"/>
      <c r="G1" s="2566"/>
      <c r="H1" s="2566"/>
      <c r="I1" s="2566"/>
      <c r="J1" s="2566"/>
      <c r="K1" s="2566"/>
      <c r="L1" s="2566"/>
      <c r="M1" s="2566"/>
    </row>
    <row r="2" spans="2:14" ht="15" x14ac:dyDescent="0.2">
      <c r="B2" s="2567">
        <f>'Single Audit Cover'!E7</f>
        <v>9010008026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Heritage SD 8</v>
      </c>
      <c r="B1" s="2571"/>
      <c r="C1" s="2571"/>
      <c r="D1" s="2571"/>
      <c r="E1" s="2571"/>
      <c r="F1" s="2571"/>
    </row>
    <row r="2" spans="1:7" ht="13.5" customHeight="1" x14ac:dyDescent="0.2">
      <c r="A2" s="2567">
        <f>'Single Audit Cover'!E7</f>
        <v>9010008026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Heritage SD 8</v>
      </c>
      <c r="C1" s="2587"/>
      <c r="D1" s="2587"/>
      <c r="E1" s="2587"/>
      <c r="F1" s="2587"/>
      <c r="G1" s="2587"/>
      <c r="H1" s="2587"/>
      <c r="I1" s="2587"/>
      <c r="J1" s="1178"/>
    </row>
    <row r="2" spans="2:10" s="295" customFormat="1" ht="12.75" customHeight="1" x14ac:dyDescent="0.2">
      <c r="B2" s="2588">
        <f>'Single Audit Cover'!E7</f>
        <v>9010008026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Heritage SD 8</v>
      </c>
      <c r="C1" s="2586"/>
      <c r="D1" s="2586"/>
      <c r="E1" s="2586"/>
      <c r="F1" s="2586"/>
      <c r="G1" s="2586"/>
      <c r="H1" s="2586"/>
      <c r="I1" s="2586"/>
      <c r="J1" s="2586"/>
      <c r="K1" s="2586"/>
      <c r="L1" s="1144"/>
      <c r="M1" s="1144"/>
    </row>
    <row r="2" spans="1:13" ht="12" customHeight="1" x14ac:dyDescent="0.2">
      <c r="B2" s="2588">
        <f>'Single Audit Cover'!E7</f>
        <v>9010008026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Heritage SD 8</v>
      </c>
      <c r="C1" s="2613"/>
      <c r="D1" s="2613"/>
      <c r="E1" s="2613"/>
      <c r="F1" s="2613"/>
      <c r="G1" s="2613"/>
      <c r="H1" s="2613"/>
      <c r="I1" s="2613"/>
      <c r="J1" s="2613"/>
      <c r="K1" s="2613"/>
      <c r="L1" s="1221"/>
    </row>
    <row r="2" spans="1:12" ht="12.75" customHeight="1" x14ac:dyDescent="0.2">
      <c r="B2" s="2614">
        <f>'Single Audit Cover'!E7</f>
        <v>9010008026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Heritage SD 8</v>
      </c>
      <c r="C1" s="2586"/>
      <c r="D1" s="2586"/>
      <c r="E1" s="1240"/>
    </row>
    <row r="2" spans="2:5" s="1058" customFormat="1" ht="12.75" customHeight="1" x14ac:dyDescent="0.2">
      <c r="B2" s="2588">
        <f>'Single Audit Cover'!E7</f>
        <v>9010008026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purl.org/dc/dcmitype/"/>
    <ds:schemaRef ds:uri="http://schemas.microsoft.com/office/infopath/2007/PartnerControls"/>
    <ds:schemaRef ds:uri="6ce3111e-7420-4802-b50a-75d4e9a0b980"/>
    <ds:schemaRef ds:uri="http://purl.org/dc/terms/"/>
    <ds:schemaRef ds:uri="http://purl.org/dc/elements/1.1/"/>
    <ds:schemaRef ds:uri="4d435f69-8686-490b-bd6d-b153bf22ab50"/>
    <ds:schemaRef ds:uri="http://schemas.openxmlformats.org/package/2006/metadata/core-propertie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2020-11-16T13:47:59Z</cp:lastPrinted>
  <dcterms:created xsi:type="dcterms:W3CDTF">2003-10-29T19:06:34Z</dcterms:created>
  <dcterms:modified xsi:type="dcterms:W3CDTF">2020-11-16T23:57:40Z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