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6414B24-2A8B-4719-9B27-FAC33A0F138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G30" i="108" l="1"/>
  <c r="B6289" i="106"/>
  <c r="D6289" i="106" s="1"/>
  <c r="J129" i="29"/>
  <c r="B7038" i="106" s="1"/>
  <c r="D7038" i="106" s="1"/>
  <c r="I129" i="29"/>
  <c r="B7037" i="106" s="1"/>
  <c r="D7037" i="106" s="1"/>
  <c r="H342" i="29"/>
  <c r="D69" i="36"/>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B1225" i="106" s="1"/>
  <c r="D1225" i="106" s="1"/>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6216" i="106" l="1"/>
  <c r="D6216" i="106" s="1"/>
  <c r="B5770" i="106"/>
  <c r="D5770" i="106" s="1"/>
  <c r="F41" i="108"/>
  <c r="G43" i="108" s="1"/>
  <c r="B1328" i="106"/>
  <c r="D1328" i="106" s="1"/>
  <c r="C151" i="29"/>
  <c r="B1226" i="106" s="1"/>
  <c r="D1226" i="106" s="1"/>
  <c r="L16" i="11"/>
  <c r="B2061" i="106" s="1"/>
  <c r="D2061" i="106" s="1"/>
  <c r="B2031" i="106"/>
  <c r="D2031" i="106" s="1"/>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K17" i="4" l="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<sst xmlns="http://schemas.openxmlformats.org/spreadsheetml/2006/main" count="5168" uniqueCount="2101">
  <si>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</si>
  <si>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</si>
  <si>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</si>
  <si>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</si>
  <si>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</si>
  <si>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</si>
  <si>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</si>
  <si>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</si>
  <si>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</si>
  <si>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</si>
  <si>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</si>
  <si>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</si>
  <si>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</si>
  <si>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</si>
  <si>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</si>
  <si>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</si>
  <si>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</si>
  <si>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</si>
  <si>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</si>
  <si>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</si>
  <si>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</si>
  <si>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</si>
  <si>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</si>
  <si>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</si>
  <si>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</si>
  <si>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</si>
  <si>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</si>
  <si>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</si>
  <si>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</si>
  <si>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</si>
  <si>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</si>
  <si>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</si>
  <si>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</si>
  <si>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</si>
  <si>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</si>
  <si>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</si>
  <si>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</si>
  <si>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</si>
  <si>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</si>
  <si>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</si>
  <si>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</si>
  <si>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</si>
  <si>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</si>
  <si>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</si>
  <si>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</si>
  <si>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</si>
  <si>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</si>
  <si>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</si>
  <si>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</si>
  <si>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</si>
  <si>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</si>
  <si>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</si>
  <si>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</si>
  <si>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</si>
  <si>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</si>
  <si>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</si>
  <si>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</si>
  <si>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</si>
  <si>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</si>
  <si>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</si>
  <si>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</si>
  <si>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</si>
  <si>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</si>
  <si>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</si>
  <si>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</si>
  <si>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</si>
  <si>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</si>
  <si>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</si>
  <si>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</si>
  <si>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</si>
  <si>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</si>
  <si>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</si>
  <si>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</si>
  <si>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</si>
  <si>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</si>
  <si>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</si>
  <si>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</si>
  <si>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</si>
  <si>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</si>
  <si>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</si>
  <si>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</si>
  <si>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</si>
  <si>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</si>
  <si>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</si>
  <si>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</si>
  <si>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</si>
  <si>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</si>
  <si>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</si>
  <si>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</si>
  <si>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</si>
  <si>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</si>
  <si>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</si>
  <si>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</si>
  <si>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</si>
  <si>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</si>
  <si>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</si>
  <si>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</si>
  <si>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</si>
  <si>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</si>
  <si>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</si>
  <si>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</si>
  <si>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</si>
  <si>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</si>
  <si>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</si>
  <si>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</si>
  <si>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</si>
  <si>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</si>
  <si>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</si>
  <si>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</si>
  <si>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</si>
  <si>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</si>
  <si>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</si>
  <si>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</si>
  <si>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</si>
  <si>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</si>
  <si>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</si>
  <si>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</si>
  <si>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</si>
  <si>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</si>
  <si>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</si>
  <si>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</si>
  <si>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</si>
  <si>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</si>
  <si>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</si>
  <si>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</si>
  <si>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</si>
  <si>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</si>
  <si>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</si>
  <si>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</si>
  <si>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</si>
  <si>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</si>
  <si>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</si>
  <si>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</si>
  <si>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</si>
  <si>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</si>
  <si>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</si>
  <si>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</si>
  <si>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</si>
  <si>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</si>
  <si>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</si>
  <si>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</si>
  <si>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</si>
  <si>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</si>
  <si>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</si>
  <si>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</si>
  <si>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</si>
  <si>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</si>
  <si>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</si>
  <si>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</si>
  <si>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</si>
  <si>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</si>
  <si>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</si>
  <si>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</si>
  <si>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</si>
  <si>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</si>
  <si>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</si>
  <si>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</si>
  <si>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</si>
  <si>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</si>
  <si>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</si>
  <si>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</si>
  <si>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</si>
  <si>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</si>
  <si>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</si>
  <si>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</si>
  <si>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</si>
  <si>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</si>
  <si>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</si>
  <si>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</si>
  <si>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</si>
  <si>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</si>
  <si>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</si>
  <si>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</si>
  <si>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</si>
  <si>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</si>
  <si>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</si>
  <si>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</si>
  <si>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</si>
  <si>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</si>
  <si>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</si>
  <si>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</si>
  <si>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</si>
  <si>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</si>
  <si>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</si>
  <si>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</si>
  <si>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</si>
  <si>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</si>
  <si>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</si>
  <si>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</si>
  <si>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</si>
  <si>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</si>
  <si>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</si>
  <si>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</si>
  <si>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</si>
  <si>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</si>
  <si>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</si>
  <si>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</si>
  <si>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</si>
  <si>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</si>
  <si>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</si>
  <si>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</si>
  <si>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</si>
  <si>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</si>
  <si>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</si>
  <si>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</si>
  <si>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</si>
  <si>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</si>
  <si>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</si>
  <si>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</si>
  <si>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</si>
  <si>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</si>
  <si>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</si>
  <si>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</si>
  <si>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</si>
  <si>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</si>
  <si>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</si>
  <si>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</si>
  <si>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</si>
  <si>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</si>
  <si>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</si>
  <si>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</si>
  <si>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</si>
  <si>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</si>
  <si>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</si>
  <si>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</si>
  <si>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</si>
  <si>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</si>
  <si>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</si>
  <si>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</si>
  <si>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</si>
  <si>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</si>
  <si>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</si>
  <si>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</si>
  <si>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</si>
  <si>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</si>
  <si>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</si>
  <si>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</si>
  <si>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</si>
  <si>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</si>
  <si>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</si>
  <si>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</si>
  <si>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</si>
  <si>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</si>
  <si>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</si>
  <si>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</si>
  <si>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</si>
  <si>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</si>
  <si>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</si>
  <si>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</si>
  <si>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</si>
  <si>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</si>
  <si>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</si>
  <si>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</si>
  <si>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</si>
  <si>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</si>
  <si>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</si>
  <si>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</si>
  <si>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</si>
  <si>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</si>
  <si>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</si>
  <si>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</si>
  <si>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</si>
  <si>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</si>
  <si>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</si>
  <si>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</si>
  <si>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</si>
  <si>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</si>
  <si>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</si>
  <si>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</si>
  <si>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</si>
  <si>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</si>
  <si>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</si>
  <si>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</si>
  <si>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</si>
  <si>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</si>
  <si>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</si>
  <si>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</si>
  <si>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</si>
  <si>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</si>
  <si>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</si>
  <si>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</si>
  <si>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</si>
  <si>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</si>
  <si>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</si>
  <si>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</si>
  <si>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</si>
  <si>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</si>
  <si>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</si>
  <si>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</si>
  <si>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</si>
  <si>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</si>
  <si>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</si>
  <si>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</si>
  <si>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</si>
  <si>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</si>
  <si>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</si>
  <si>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</si>
  <si>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</si>
  <si>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</si>
  <si>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</si>
  <si>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</si>
  <si>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</si>
  <si>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</si>
  <si>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</si>
  <si>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</si>
  <si>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</si>
  <si>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</si>
  <si>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</si>
  <si>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</si>
  <si>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</si>
  <si>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</si>
  <si>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</si>
  <si>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</si>
  <si>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</si>
  <si>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</si>
  <si>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</si>
  <si>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</si>
  <si>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</si>
  <si>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</si>
  <si>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</si>
  <si>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</si>
  <si>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</si>
  <si>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</si>
  <si>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</si>
  <si>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</si>
  <si>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</si>
  <si>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</si>
  <si>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</si>
  <si>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</si>
  <si>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</si>
  <si>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</si>
  <si>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</si>
  <si>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</si>
  <si>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</si>
  <si>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</si>
  <si>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</si>
  <si>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</si>
  <si>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</si>
  <si>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</si>
  <si>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</si>
  <si>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</si>
  <si>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</si>
  <si>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</si>
  <si>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</si>
  <si>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</si>
  <si>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</si>
  <si>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</si>
  <si>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</si>
  <si>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</si>
  <si>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</si>
  <si>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</si>
  <si>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</si>
  <si>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</si>
  <si>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</si>
  <si>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</si>
  <si>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</si>
  <si>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</si>
  <si>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</si>
  <si>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</si>
  <si>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</si>
  <si>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</si>
  <si>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</si>
  <si>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</si>
  <si>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</si>
  <si>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</si>
  <si>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</si>
  <si>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</si>
  <si>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</si>
  <si>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</si>
  <si>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</si>
  <si>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</si>
  <si>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</si>
  <si>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</si>
  <si>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</si>
  <si>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</si>
  <si>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</si>
  <si>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</si>
  <si>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</si>
  <si>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</si>
  <si>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</si>
  <si>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</si>
  <si>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</si>
  <si>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</si>
  <si>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</si>
  <si>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</si>
  <si>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</si>
  <si>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</si>
  <si>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</si>
  <si>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</si>
  <si>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</si>
  <si>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</si>
  <si>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</si>
  <si>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</si>
  <si>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</si>
  <si>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</si>
  <si>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</si>
  <si>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</si>
  <si>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</si>
  <si>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</si>
  <si>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</si>
  <si>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</si>
  <si>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</si>
  <si>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</si>
  <si>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</si>
  <si>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</si>
  <si>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</si>
  <si>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</si>
  <si>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</si>
  <si>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</si>
  <si>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</si>
  <si>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</si>
  <si>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</si>
  <si>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</si>
  <si>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</si>
  <si>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</si>
  <si>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</si>
  <si>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</si>
  <si>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</si>
  <si>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</si>
  <si>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</si>
  <si>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</si>
  <si>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</si>
  <si>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</si>
  <si>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</si>
  <si>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</si>
  <si>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</si>
  <si>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</si>
  <si>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</si>
  <si>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</si>
  <si>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</si>
  <si>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</si>
  <si>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</si>
  <si>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</si>
  <si>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</si>
  <si>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</si>
  <si>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</si>
  <si>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</si>
  <si>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</si>
  <si>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</si>
  <si>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</si>
  <si>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</si>
  <si>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</si>
  <si>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</si>
  <si>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</si>
  <si>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</si>
  <si>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</si>
  <si>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</si>
  <si>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</si>
  <si>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</si>
  <si>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</si>
  <si>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</si>
  <si>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</si>
  <si>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</si>
  <si>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</si>
  <si>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</si>
  <si>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</si>
  <si>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</si>
  <si>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</si>
  <si>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</si>
  <si>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</si>
  <si>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</si>
  <si>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</si>
  <si>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</si>
  <si>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</si>
  <si>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</si>
  <si>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</si>
  <si>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</si>
  <si>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</si>
  <si>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</si>
  <si>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</si>
  <si>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</si>
  <si>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</si>
  <si>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</si>
  <si>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</si>
  <si>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</si>
  <si>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</si>
  <si>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</si>
  <si>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</si>
  <si>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</si>
  <si>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</si>
  <si>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</si>
  <si>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</si>
  <si>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</si>
  <si>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</si>
  <si>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</si>
  <si>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</si>
  <si>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</si>
  <si>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</si>
  <si>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</si>
  <si>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</si>
  <si>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</si>
  <si>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</si>
  <si>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</si>
  <si>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</si>
  <si>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</si>
  <si>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</si>
  <si>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</si>
  <si>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</si>
  <si>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</si>
  <si>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</si>
  <si>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</si>
  <si>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</si>
  <si>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</si>
  <si>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</si>
  <si>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</si>
  <si>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</si>
  <si>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</si>
  <si>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</si>
  <si>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</si>
  <si>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</si>
  <si>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</si>
  <si>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</si>
  <si>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</si>
  <si>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</si>
  <si>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</si>
  <si>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</si>
  <si>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</si>
  <si>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</si>
  <si>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</si>
  <si>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</si>
  <si>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</si>
  <si>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</si>
  <si>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</si>
  <si>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</si>
  <si>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</si>
  <si>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</si>
  <si>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</si>
  <si>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</si>
  <si>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</si>
  <si>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</si>
  <si>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</si>
  <si>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</si>
  <si>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</si>
  <si>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</si>
  <si>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</si>
  <si>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</si>
  <si>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</si>
  <si>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</si>
  <si>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</si>
  <si>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</si>
  <si>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</si>
  <si>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</si>
  <si>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</si>
  <si>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</si>
  <si>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</si>
  <si>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</si>
  <si>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</si>
  <si>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</si>
  <si>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</si>
  <si>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</si>
  <si>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</si>
  <si>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</si>
  <si>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</si>
  <si>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</si>
  <si>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</si>
  <si>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</si>
  <si>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</si>
  <si>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</si>
  <si>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</si>
  <si>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</si>
  <si>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</si>
  <si>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</si>
  <si>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</si>
  <si>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</si>
  <si>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</si>
  <si>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</si>
  <si>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</si>
  <si>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</si>
  <si>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</si>
  <si>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</si>
  <si>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</si>
  <si>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</si>
  <si>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</si>
  <si>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</si>
  <si>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</si>
  <si>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</si>
  <si>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</si>
  <si>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</si>
  <si>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</si>
  <si>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</si>
  <si>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</si>
  <si>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</si>
  <si>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</si>
  <si>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</si>
  <si>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</si>
  <si>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</si>
  <si>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</si>
  <si>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</si>
  <si>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</si>
  <si>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</si>
  <si>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</si>
  <si>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</si>
  <si>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</si>
  <si>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</si>
  <si>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</si>
  <si>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</si>
  <si>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</si>
  <si>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</si>
  <si>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</si>
  <si>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</si>
  <si>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</si>
  <si>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</si>
  <si>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</si>
  <si>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</si>
  <si>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</si>
  <si>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</si>
  <si>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</si>
  <si>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</si>
  <si>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</si>
  <si>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</si>
  <si>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</si>
  <si>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</si>
  <si>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</si>
  <si>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</si>
  <si>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</si>
  <si>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</si>
  <si>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</si>
  <si>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</si>
  <si>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</si>
  <si>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</si>
  <si>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</si>
  <si>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</si>
  <si>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</si>
  <si>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</si>
  <si>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</si>
  <si>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</si>
  <si>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</si>
  <si>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</si>
  <si>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</si>
  <si>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</si>
  <si>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</si>
  <si>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</si>
  <si>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</si>
  <si>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</si>
  <si>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</si>
  <si>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</si>
  <si>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</si>
  <si>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</si>
  <si>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</si>
  <si>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</si>
  <si>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</si>
  <si>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</si>
  <si>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</si>
  <si>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</si>
  <si>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</si>
  <si>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</si>
  <si>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</si>
  <si>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</si>
  <si>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</si>
  <si>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</si>
  <si>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</si>
  <si>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</si>
  <si>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</si>
  <si>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</si>
  <si>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</si>
  <si>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</si>
  <si>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</si>
  <si>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</si>
  <si>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</si>
  <si>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</si>
  <si>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</si>
  <si>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</si>
  <si>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</si>
  <si>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</si>
  <si>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</si>
  <si>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</si>
  <si>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</si>
  <si>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</si>
  <si>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</si>
  <si>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</si>
  <si>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</si>
  <si>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</si>
  <si>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</si>
  <si>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</si>
  <si>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</si>
  <si>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</si>
  <si>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</si>
  <si>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</si>
  <si>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</si>
  <si>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</si>
  <si>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</si>
  <si>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</si>
  <si>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</si>
  <si>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</si>
  <si>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</si>
  <si>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</si>
  <si>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</si>
  <si>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</si>
  <si>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</si>
  <si>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</si>
  <si>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</si>
  <si>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</si>
  <si>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</si>
  <si>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</si>
  <si>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</si>
  <si>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</si>
  <si>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</si>
  <si>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</si>
  <si>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</si>
  <si>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</si>
  <si>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</si>
  <si>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</si>
  <si>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</si>
  <si>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</si>
  <si>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</si>
  <si>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</si>
  <si>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</si>
  <si>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</si>
  <si>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</si>
  <si>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</si>
  <si>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</si>
  <si>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</si>
  <si>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</si>
  <si>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</si>
  <si>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</si>
  <si>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</si>
  <si>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</si>
  <si>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</si>
  <si>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</si>
  <si>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</si>
  <si>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</si>
  <si>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</si>
  <si>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</si>
  <si>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</si>
  <si>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</si>
  <si>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</si>
  <si>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</si>
  <si>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</si>
  <si>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</si>
  <si>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</si>
  <si>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</si>
  <si>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</si>
  <si>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</si>
  <si>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</si>
  <si>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</si>
  <si>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</si>
  <si>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</si>
  <si>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</si>
  <si>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</si>
  <si>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</si>
  <si>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</si>
  <si>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</si>
  <si>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</si>
  <si>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</si>
  <si>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</si>
  <si>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</si>
  <si>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</si>
  <si>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</si>
  <si>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</si>
  <si>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</si>
  <si>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</si>
  <si>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</si>
  <si>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</si>
  <si>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</si>
  <si>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</si>
  <si>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</si>
  <si>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</si>
  <si>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</si>
  <si>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</si>
  <si>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</si>
  <si>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</si>
  <si>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</si>
  <si>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</si>
  <si>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</si>
  <si>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</si>
  <si>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</si>
  <si>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</si>
  <si>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</si>
  <si>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</si>
  <si>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</si>
  <si>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</si>
  <si>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</si>
  <si>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</si>
  <si>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</si>
  <si>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</si>
  <si>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</si>
  <si>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</si>
  <si>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</si>
  <si>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</si>
  <si>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</si>
  <si>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</si>
  <si>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</si>
  <si>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</si>
  <si>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</si>
  <si>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</si>
  <si>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</si>
  <si>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</si>
  <si>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</si>
  <si>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</si>
  <si>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</si>
  <si>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</si>
  <si>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</si>
  <si>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</si>
  <si>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</si>
  <si>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</si>
  <si>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</si>
  <si>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</si>
  <si>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</si>
  <si>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</si>
  <si>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</si>
  <si>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</si>
  <si>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</si>
  <si>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</si>
  <si>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</si>
  <si>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</si>
  <si>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</si>
  <si>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</si>
  <si>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</si>
  <si>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</si>
  <si>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</si>
  <si>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</si>
  <si>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</si>
  <si>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</si>
  <si>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</si>
  <si>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</si>
  <si>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</si>
  <si>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</si>
  <si>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</si>
  <si>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</si>
  <si>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</si>
  <si>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</si>
  <si>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</si>
  <si>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</si>
  <si>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</si>
  <si>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</si>
  <si>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</si>
  <si>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</si>
  <si>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</si>
  <si>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</si>
  <si>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</si>
  <si>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</si>
  <si>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</si>
  <si>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</si>
  <si>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</si>
  <si>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</si>
  <si>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</si>
  <si>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</si>
  <si>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</si>
  <si>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</si>
  <si>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</si>
  <si>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</si>
  <si>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</si>
  <si>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</si>
  <si>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</si>
  <si>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</si>
  <si>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</si>
  <si>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</si>
  <si>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</si>
  <si>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</si>
  <si>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</si>
  <si>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</si>
  <si>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</si>
  <si>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</si>
  <si>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</si>
  <si>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</si>
  <si>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</si>
  <si>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</si>
  <si>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</si>
  <si>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</si>
  <si>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</si>
  <si>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</si>
  <si>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</si>
  <si>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</si>
  <si>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</si>
  <si>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</si>
  <si>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</si>
  <si>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</si>
  <si>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</si>
  <si>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</si>
  <si>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</si>
  <si>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</si>
  <si>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</si>
  <si>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</si>
  <si>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</si>
  <si>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</si>
  <si>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</si>
  <si>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</si>
  <si>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</si>
  <si>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</si>
  <si>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</si>
  <si>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</si>
  <si>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</si>
  <si>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</si>
  <si>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</si>
  <si>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</si>
  <si>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</si>
  <si>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</si>
  <si>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</si>
  <si>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</si>
  <si>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</si>
  <si>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</si>
  <si>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</si>
  <si>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</si>
  <si>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</si>
  <si>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</si>
  <si>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</si>
  <si>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</si>
  <si>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</si>
  <si>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</si>
  <si>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</si>
  <si>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</si>
  <si>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</si>
  <si>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</si>
  <si>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</si>
  <si>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</si>
  <si>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</si>
  <si>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</si>
  <si>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</si>
  <si>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</si>
  <si>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</si>
  <si>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</si>
  <si>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</si>
  <si>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</si>
  <si>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</si>
  <si>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</si>
  <si>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</si>
  <si>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</si>
  <si>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</si>
  <si>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</si>
  <si>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</si>
  <si>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</si>
  <si>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</si>
  <si>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</si>
  <si>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</si>
  <si>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</si>
  <si>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</si>
  <si>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</si>
  <si>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</si>
  <si>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</si>
  <si>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</si>
  <si>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</si>
  <si>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</si>
  <si>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</si>
  <si>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</si>
  <si>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</si>
  <si>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</si>
  <si>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</si>
  <si>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</si>
  <si>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</si>
  <si>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</si>
  <si>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</si>
  <si>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</si>
  <si>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</si>
  <si>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</si>
  <si>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</si>
  <si>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</si>
  <si>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</si>
  <si>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</si>
  <si>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</si>
  <si>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</si>
  <si>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</si>
  <si>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</si>
  <si>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</si>
  <si>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</si>
  <si>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</si>
  <si>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</si>
  <si>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</si>
  <si>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</si>
  <si>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</si>
  <si>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</si>
  <si>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</si>
  <si>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</si>
  <si>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</si>
  <si>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</si>
  <si>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</si>
  <si>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</si>
  <si>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</si>
  <si>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</si>
  <si>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</si>
  <si>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</si>
  <si>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</si>
  <si>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</si>
  <si>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</si>
  <si>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</si>
  <si>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</si>
  <si>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</si>
  <si>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</si>
  <si>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</si>
  <si>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</si>
  <si>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</si>
  <si>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</si>
  <si>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</si>
  <si>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</si>
  <si>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</si>
  <si>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</si>
  <si>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</si>
  <si>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</si>
  <si>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</si>
  <si>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</si>
  <si>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</si>
  <si>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</si>
  <si>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</si>
  <si>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</si>
  <si>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</si>
  <si>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</si>
  <si>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</si>
  <si>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</si>
  <si>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</si>
  <si>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</si>
  <si>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</si>
  <si>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</si>
  <si>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</si>
  <si>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</si>
  <si>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</si>
  <si>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</si>
  <si>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</si>
  <si>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</si>
  <si>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</si>
  <si>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</si>
  <si>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</si>
  <si>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</si>
  <si>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</si>
  <si>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</si>
  <si>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</si>
  <si>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</si>
  <si>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</si>
  <si>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</si>
  <si>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</si>
  <si>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</si>
  <si>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</si>
  <si>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</si>
  <si>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</si>
  <si>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</si>
  <si>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</si>
  <si>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</si>
  <si>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</si>
  <si>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</si>
  <si>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</si>
  <si>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</si>
  <si>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</si>
  <si>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</si>
  <si>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</si>
  <si>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</si>
  <si>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</si>
  <si>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</si>
  <si>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</si>
  <si>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</si>
  <si>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</si>
  <si>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</si>
  <si>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</si>
  <si>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</si>
  <si>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</si>
  <si>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</si>
  <si>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</si>
  <si>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</si>
  <si>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</si>
  <si>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</si>
  <si>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</si>
  <si>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</si>
  <si>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</si>
  <si>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</si>
  <si>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</si>
  <si>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</si>
  <si>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</si>
  <si>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</si>
  <si>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</si>
  <si>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</si>
  <si>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</si>
  <si>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</si>
  <si>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</si>
  <si>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</si>
  <si>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</si>
  <si>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</si>
  <si>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</si>
  <si>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</si>
  <si>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</si>
  <si>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</si>
  <si>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</si>
  <si>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</si>
  <si>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</si>
  <si>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</si>
  <si>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</si>
  <si>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</si>
  <si>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</si>
  <si>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</si>
  <si>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</si>
  <si>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</si>
  <si>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</si>
  <si>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</si>
  <si>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</si>
  <si>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</si>
  <si>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</si>
  <si>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</si>
  <si>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</si>
  <si>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</si>
  <si>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</si>
  <si>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</si>
  <si>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</si>
  <si>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</si>
  <si>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</si>
  <si>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</si>
  <si>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</si>
  <si>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</si>
  <si>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</si>
  <si>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</si>
  <si>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</si>
  <si>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</si>
  <si>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</si>
  <si>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</si>
  <si>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</si>
  <si>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</si>
  <si>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</si>
  <si>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</si>
  <si>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</si>
  <si>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</si>
  <si>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</si>
  <si>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</si>
  <si>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</si>
  <si>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</si>
  <si>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</si>
  <si>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</si>
  <si>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</si>
  <si>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</si>
  <si>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</si>
  <si>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</si>
  <si>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</si>
  <si>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</si>
  <si>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</si>
  <si>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</si>
  <si>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</si>
  <si>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</si>
  <si>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</si>
  <si>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</si>
  <si>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</si>
  <si>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</si>
  <si>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</si>
  <si>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</si>
  <si>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</si>
  <si>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</si>
  <si>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</si>
  <si>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</si>
  <si>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</si>
  <si>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</si>
  <si>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</si>
  <si>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</si>
  <si>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</si>
  <si>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</si>
  <si>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</si>
  <si>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</si>
  <si>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</si>
  <si>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</si>
  <si>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</si>
  <si>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</si>
  <si>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</si>
  <si>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</si>
  <si>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</si>
  <si>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</si>
  <si>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</si>
  <si>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</si>
  <si>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</si>
  <si>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</si>
  <si>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</si>
  <si>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</si>
  <si>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</si>
  <si>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</si>
  <si>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</si>
  <si>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</si>
  <si>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</si>
  <si>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</si>
  <si>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</si>
  <si>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</si>
  <si>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</si>
  <si>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</si>
  <si>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</si>
  <si>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</si>
  <si>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</si>
  <si>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</si>
  <si>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</si>
  <si>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</si>
  <si>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</si>
  <si>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</si>
  <si>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</si>
  <si>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</si>
  <si>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</si>
  <si>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</si>
  <si>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</si>
  <si>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</si>
  <si>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</si>
  <si>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</si>
  <si>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</si>
  <si>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</si>
  <si>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</si>
  <si>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</si>
  <si>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</si>
  <si>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</si>
  <si>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</si>
  <si>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</si>
  <si>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</si>
  <si>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</si>
  <si>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</si>
  <si>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</si>
  <si>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</si>
  <si>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</si>
  <si>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</si>
  <si>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</si>
  <si>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</si>
  <si>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</si>
  <si>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</si>
  <si>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</si>
  <si>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</si>
  <si>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</si>
  <si>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</si>
  <si>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</si>
  <si>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</si>
  <si>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</si>
  <si>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</si>
  <si>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</si>
  <si>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</si>
  <si>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</si>
  <si>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</si>
  <si>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</si>
  <si>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</si>
  <si>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</si>
  <si>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</si>
  <si>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</si>
  <si>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</si>
  <si>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</si>
  <si>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</si>
  <si>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</si>
  <si>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</si>
  <si>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</si>
  <si>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</si>
  <si>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</si>
  <si>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</si>
  <si>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</si>
  <si>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</si>
  <si>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</si>
  <si>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</si>
  <si>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</si>
  <si>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</si>
  <si>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</si>
  <si>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</si>
  <si>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</si>
  <si>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</si>
  <si>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</si>
  <si>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</si>
  <si>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</si>
  <si>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</si>
  <si>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</si>
  <si>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</si>
  <si>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</si>
  <si>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</si>
  <si>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</si>
  <si>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</si>
  <si>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</si>
  <si>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</si>
  <si>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</si>
  <si>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</si>
  <si>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</si>
  <si>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</si>
  <si>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</si>
  <si>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</si>
  <si>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</si>
  <si>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</si>
  <si>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</si>
  <si>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</si>
  <si>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</si>
  <si>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</si>
  <si>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</si>
  <si>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</si>
  <si>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</si>
  <si>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</si>
  <si>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</si>
  <si>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</si>
  <si>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</si>
  <si>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</si>
  <si>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</si>
  <si>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</si>
  <si>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</si>
  <si>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</si>
  <si>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</si>
  <si>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</si>
  <si>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</si>
  <si>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</si>
  <si>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</si>
  <si>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</si>
  <si>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</si>
  <si>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</si>
  <si>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</si>
  <si>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</si>
  <si>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</si>
  <si>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</si>
  <si>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</si>
  <si>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</si>
  <si>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</si>
  <si>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</si>
  <si>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</si>
  <si>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</si>
  <si>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</si>
  <si>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</si>
  <si>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</si>
  <si>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</si>
  <si>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</si>
  <si>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</si>
  <si>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</si>
  <si>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</si>
  <si>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</si>
  <si>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</si>
  <si>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</si>
  <si>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</si>
  <si>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</si>
  <si>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</si>
  <si>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</si>
  <si>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</si>
  <si>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</si>
  <si>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</si>
  <si>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</si>
  <si>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</si>
  <si>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</si>
  <si>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</si>
  <si>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</si>
  <si>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</si>
  <si>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</si>
  <si>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</si>
  <si>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</si>
  <si>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</si>
  <si>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</si>
  <si>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</si>
  <si>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</si>
  <si>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</si>
  <si>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</si>
  <si>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</si>
  <si>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</si>
  <si>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</si>
  <si>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</si>
  <si>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</si>
  <si>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</si>
  <si>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</si>
  <si>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</si>
  <si>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</si>
  <si>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</si>
  <si>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</si>
  <si>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</si>
  <si>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</si>
  <si>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</si>
  <si>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</si>
  <si>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</si>
  <si>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</si>
  <si>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</si>
  <si>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</si>
  <si>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</si>
  <si>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</si>
  <si>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</si>
  <si>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</si>
  <si>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</si>
  <si>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</si>
  <si>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</si>
  <si>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</si>
  <si>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</si>
  <si>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</si>
  <si>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</si>
  <si>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</si>
  <si>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</si>
  <si>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</si>
  <si>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</si>
  <si>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</si>
  <si>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</si>
  <si>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</si>
  <si>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</si>
  <si>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</si>
  <si>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</si>
  <si>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</si>
  <si>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</si>
  <si>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</si>
  <si>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</si>
  <si>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</si>
  <si>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</si>
  <si>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</si>
  <si>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</si>
  <si>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</si>
  <si>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</si>
  <si>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</si>
  <si>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</si>
  <si>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</si>
  <si>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</si>
  <si>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</si>
  <si>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</si>
  <si>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</si>
  <si>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</si>
  <si>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</si>
  <si>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</si>
  <si>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</si>
  <si>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</si>
  <si>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</si>
  <si>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</si>
  <si>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</si>
  <si>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</si>
  <si>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</si>
  <si>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</si>
  <si>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</si>
  <si>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</si>
  <si>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</si>
  <si>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</si>
  <si>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</si>
  <si>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</si>
  <si>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</si>
  <si>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</si>
  <si>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</si>
  <si>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</si>
  <si>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</si>
  <si>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</si>
  <si>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</si>
  <si>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</si>
  <si>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</si>
  <si>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</si>
  <si>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</si>
  <si>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</si>
  <si>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</si>
  <si>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</si>
  <si>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</si>
  <si>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</si>
  <si>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</si>
  <si>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</si>
  <si>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</si>
  <si>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</si>
  <si>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</si>
  <si>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</si>
  <si>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</si>
  <si>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</si>
  <si>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</si>
  <si>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</si>
  <si>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</si>
  <si>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</si>
  <si>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</si>
  <si>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</si>
  <si>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</si>
  <si>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</si>
  <si>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</si>
  <si>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</si>
  <si>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</si>
  <si>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</si>
  <si>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</si>
  <si>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</si>
  <si>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</si>
  <si>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</si>
  <si>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</si>
  <si>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</si>
  <si>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</si>
  <si>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</si>
  <si>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</si>
  <si>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</si>
  <si>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</si>
  <si>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</si>
  <si>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</si>
  <si>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</si>
  <si>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</si>
  <si>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</si>
  <si>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</si>
  <si>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</si>
  <si>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</si>
  <si>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</si>
  <si>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</si>
  <si>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</si>
  <si>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</si>
  <si>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</si>
  <si>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</si>
  <si>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</si>
  <si>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</si>
  <si>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</si>
  <si>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</si>
  <si>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</si>
  <si>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</si>
  <si>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</si>
  <si>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</si>
  <si>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</si>
  <si>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</si>
  <si>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</si>
  <si>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</si>
  <si>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</si>
  <si>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</si>
  <si>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</si>
  <si>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</si>
  <si>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</si>
  <si>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</si>
  <si>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</si>
  <si>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</si>
  <si>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</si>
  <si>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</si>
  <si>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</si>
  <si>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</si>
  <si>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</si>
  <si>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</si>
  <si>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</si>
  <si>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</si>
  <si>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</si>
  <si>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</si>
  <si>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</si>
  <si>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</si>
  <si>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</si>
  <si>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</si>
  <si>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</si>
  <si>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</si>
  <si>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</si>
  <si>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</si>
  <si>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</si>
  <si>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</si>
  <si>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</si>
  <si>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</si>
  <si>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</si>
  <si>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</si>
  <si>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</si>
  <si>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</si>
  <si>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</si>
  <si>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</si>
  <si>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</si>
  <si>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</si>
  <si>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</si>
  <si>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</si>
  <si>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</si>
  <si>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</si>
  <si>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</si>
  <si>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</si>
  <si>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</si>
  <si>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</si>
  <si>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</si>
  <si>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</si>
  <si>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</si>
  <si>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</si>
  <si>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</si>
  <si>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</si>
  <si>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</si>
  <si>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</si>
  <si>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</si>
  <si>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</si>
  <si>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</si>
  <si>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</si>
  <si>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</si>
  <si>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</si>
  <si>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</si>
  <si>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</si>
  <si>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</si>
  <si>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</si>
  <si>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</si>
  <si>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</si>
  <si>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</si>
  <si>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</si>
  <si>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</si>
  <si>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</si>
  <si>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</si>
  <si>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</si>
  <si>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</si>
  <si>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</si>
  <si>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</si>
  <si>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</si>
  <si>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</si>
  <si>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</si>
  <si>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</si>
  <si>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</si>
  <si>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</si>
  <si>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</si>
  <si>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</si>
  <si>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</si>
  <si>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</si>
  <si>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</si>
  <si>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</si>
  <si>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</si>
  <si>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</si>
  <si>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</si>
  <si>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</si>
  <si>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</si>
  <si>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</si>
  <si>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</si>
  <si>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</si>
  <si>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</si>
  <si>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</si>
  <si>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</si>
  <si>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</si>
  <si>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</si>
  <si>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</si>
  <si>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</si>
  <si>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</si>
  <si>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</si>
  <si>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</si>
  <si>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</si>
  <si>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</si>
  <si>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</si>
  <si>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</si>
  <si>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</si>
  <si>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</si>
  <si>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</si>
  <si>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</si>
  <si>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</si>
  <si>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</si>
  <si>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</si>
  <si>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</si>
  <si>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</si>
  <si>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</si>
  <si>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</si>
  <si>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</si>
  <si>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</si>
  <si>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</si>
  <si>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</si>
  <si>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</si>
  <si>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</si>
  <si>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</si>
  <si>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</si>
  <si>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</si>
  <si>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</si>
  <si>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</si>
  <si>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</si>
  <si>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</si>
  <si>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</si>
  <si>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</si>
  <si>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</si>
  <si>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</si>
  <si>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</si>
  <si>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</si>
  <si>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</si>
  <si>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</si>
  <si>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</si>
  <si>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</si>
  <si>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</si>
  <si>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</si>
  <si>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</si>
  <si>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</si>
  <si>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</si>
  <si>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</si>
  <si>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</si>
  <si>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</si>
  <si>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</si>
  <si>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</si>
  <si>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</si>
  <si>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</si>
  <si>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</si>
  <si>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</si>
  <si>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</si>
  <si>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</si>
  <si>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</si>
  <si>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</si>
  <si>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</si>
  <si>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</si>
  <si>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</si>
  <si>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</si>
  <si>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</si>
  <si>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</si>
  <si>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</si>
  <si>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</si>
  <si>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</si>
  <si>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</si>
  <si>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</si>
  <si>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</si>
  <si>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</si>
  <si>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</si>
  <si>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</si>
  <si>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</si>
  <si>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</si>
  <si>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</si>
  <si>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</si>
  <si>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</si>
  <si>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</si>
  <si>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</si>
  <si>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</si>
  <si>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</si>
  <si>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</si>
  <si>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</si>
  <si>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</si>
  <si>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</si>
  <si>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</si>
  <si>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</si>
  <si>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</si>
  <si>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</si>
  <si>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</si>
  <si>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</si>
  <si>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</si>
  <si>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</si>
  <si>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</si>
  <si>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</si>
  <si>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</si>
  <si>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</si>
  <si>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</si>
  <si>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</si>
  <si>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</si>
  <si>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</si>
  <si>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</si>
  <si>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</si>
  <si>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</si>
  <si>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</si>
  <si>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</si>
  <si>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</si>
  <si>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</si>
  <si>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</si>
  <si>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</si>
  <si>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</si>
  <si>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</si>
  <si>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</si>
  <si>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</si>
  <si>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</si>
  <si>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</si>
  <si>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</si>
  <si>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</si>
  <si>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</si>
  <si>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</si>
  <si>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</si>
  <si>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</si>
  <si>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</si>
  <si>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</si>
  <si>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</si>
  <si>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</si>
  <si>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</si>
  <si>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</si>
  <si>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</si>
  <si>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</si>
  <si>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</si>
  <si>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</si>
  <si>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</si>
  <si>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</si>
  <si>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</si>
  <si>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</si>
  <si>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</si>
  <si>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</si>
  <si>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</si>
  <si>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</si>
  <si>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</si>
  <si>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</si>
  <si>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</si>
  <si>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</si>
  <si>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</si>
  <si>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</si>
  <si>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</si>
  <si>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</si>
  <si>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</si>
  <si>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</si>
  <si>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</si>
  <si>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</si>
  <si>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</si>
  <si>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</si>
  <si>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</si>
  <si>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</si>
  <si>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</si>
  <si>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</si>
  <si>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</si>
  <si>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</si>
  <si>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</si>
  <si>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</si>
  <si>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</si>
  <si>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</si>
  <si>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</si>
  <si>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</si>
  <si>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</si>
  <si>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</si>
  <si>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</si>
  <si>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</si>
  <si>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</si>
  <si>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</si>
  <si>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</si>
  <si>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</si>
  <si>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</si>
  <si>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</si>
  <si>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</si>
  <si>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</si>
  <si>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</si>
  <si>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</si>
  <si>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</si>
  <si>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</si>
  <si>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</si>
  <si>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</si>
  <si>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</si>
  <si>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</si>
  <si>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</si>
  <si>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</si>
  <si>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</si>
  <si>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</si>
  <si>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</si>
  <si>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</si>
  <si>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</si>
  <si>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</si>
  <si>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</si>
  <si>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</si>
  <si>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</si>
  <si>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</si>
  <si>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</si>
  <si>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</si>
  <si>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</si>
  <si>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</si>
  <si>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</si>
  <si>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</si>
  <si>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</si>
  <si>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</si>
  <si>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</si>
  <si>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</si>
  <si>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</si>
  <si>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</si>
  <si>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</si>
  <si>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</si>
  <si>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</si>
  <si>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</si>
  <si>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</si>
  <si>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</si>
  <si>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</si>
  <si>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</si>
  <si>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</si>
  <si>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</si>
  <si>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</si>
  <si>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</si>
  <si>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</si>
  <si>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</si>
  <si>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</si>
  <si>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</si>
  <si>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</si>
  <si>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</si>
  <si>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</si>
  <si>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</si>
  <si>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</si>
  <si>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</si>
  <si>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</si>
  <si>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</si>
  <si>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</si>
  <si>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</si>
  <si>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</si>
  <si>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</si>
  <si>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</si>
  <si>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</si>
  <si>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</si>
  <si>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</si>
  <si>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</si>
  <si>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</si>
  <si>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</si>
  <si>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</si>
  <si>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</si>
  <si>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</si>
  <si>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</si>
  <si>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</si>
  <si>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</si>
  <si>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</si>
  <si>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</si>
  <si>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</si>
  <si>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</si>
  <si>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</si>
  <si>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</si>
  <si>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</si>
  <si>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</si>
  <si>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</si>
  <si>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</si>
  <si>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</si>
  <si>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</si>
  <si>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</si>
  <si>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</si>
  <si>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</si>
  <si>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</si>
  <si>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</si>
  <si>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</si>
  <si>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</si>
  <si>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</si>
  <si>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</si>
  <si>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</si>
  <si>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</si>
  <si>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</si>
  <si>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</si>
  <si>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</si>
  <si>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</si>
  <si>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</si>
  <si>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</si>
  <si>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</si>
  <si>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</si>
  <si>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</si>
  <si>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</si>
  <si>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</si>
  <si>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</si>
  <si>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</si>
  <si>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</si>
  <si>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</si>
  <si>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</si>
  <si>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</si>
  <si>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</si>
  <si>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</si>
  <si>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</si>
  <si>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</si>
  <si>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</si>
  <si>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</si>
  <si>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</si>
  <si>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</si>
  <si>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</si>
  <si>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</si>
  <si>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</si>
  <si>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</si>
  <si>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</si>
  <si>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</si>
  <si>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</si>
  <si>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</si>
  <si>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</si>
  <si>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</si>
  <si>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</si>
  <si>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</si>
  <si>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</si>
  <si>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</si>
  <si>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</si>
  <si>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</si>
  <si>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</si>
  <si>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</si>
  <si>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</si>
  <si>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</si>
  <si>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</si>
  <si>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</si>
  <si>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</si>
  <si>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</si>
  <si>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</si>
  <si>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</si>
  <si>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</si>
  <si>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</si>
  <si>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</si>
  <si>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</si>
  <si>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</si>
  <si>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</si>
  <si>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</si>
  <si>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</si>
  <si>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</si>
  <si>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</si>
  <si>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</si>
  <si>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</si>
  <si>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</si>
  <si>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</si>
  <si>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</si>
  <si>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</si>
  <si>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</si>
  <si>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</si>
  <si>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</si>
  <si>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</si>
  <si>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</si>
  <si>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</si>
  <si>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</si>
  <si>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</si>
  <si>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</si>
  <si>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</si>
  <si>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</si>
  <si>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</si>
  <si>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</si>
  <si>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</si>
  <si>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</si>
  <si>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</si>
  <si>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</si>
  <si>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</si>
  <si>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</si>
  <si>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</si>
  <si>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</si>
  <si>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</si>
  <si>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</si>
  <si>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</si>
  <si>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</si>
  <si>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</si>
  <si>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</si>
  <si>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</si>
  <si>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</si>
  <si>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</si>
  <si>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</si>
  <si>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</si>
  <si>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</si>
  <si>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</si>
  <si>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</si>
  <si>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</si>
  <si>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</si>
  <si>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</si>
  <si>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</si>
  <si>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</si>
  <si>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</si>
  <si>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</si>
  <si>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</si>
  <si>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</si>
  <si>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</si>
  <si>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</si>
  <si>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</si>
  <si>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</si>
  <si>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</si>
  <si>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</si>
  <si>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</si>
  <si>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</si>
  <si>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</si>
  <si>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</si>
  <si>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</si>
  <si>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</si>
  <si>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</si>
  <si>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</si>
  <si>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</si>
  <si>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</si>
  <si>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</si>
  <si>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</si>
  <si>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</si>
  <si>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</si>
  <si>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</si>
  <si>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</si>
  <si>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</si>
  <si>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</si>
  <si>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</si>
  <si>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</si>
  <si>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</si>
  <si>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</si>
  <si>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</si>
  <si>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</si>
  <si>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</si>
  <si>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</si>
  <si>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</si>
  <si>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</si>
  <si>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</si>
  <si>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</si>
  <si>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</si>
  <si>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</si>
  <si>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</si>
  <si>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</si>
  <si>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</si>
  <si>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</si>
  <si>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</si>
  <si>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</si>
  <si>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</si>
  <si>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</si>
  <si>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</si>
  <si>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</si>
  <si>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</si>
  <si>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</si>
  <si>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</si>
  <si>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</si>
  <si>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</si>
  <si>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</si>
  <si>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</si>
  <si>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</si>
  <si>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</si>
  <si>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</si>
  <si>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</si>
  <si>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</si>
  <si>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</si>
  <si>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</si>
  <si>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</si>
  <si>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</si>
  <si>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</si>
  <si>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</si>
  <si>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</si>
  <si>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</si>
  <si>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</si>
  <si>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</si>
  <si>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</si>
  <si>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</si>
  <si>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</si>
  <si>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</si>
  <si>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</si>
  <si>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</si>
  <si>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</si>
  <si>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</si>
  <si>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</si>
  <si>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</si>
  <si>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</si>
  <si>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</si>
  <si>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</si>
  <si>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</si>
  <si>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</si>
  <si>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</si>
  <si>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</si>
  <si>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</si>
  <si>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</si>
  <si>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</si>
  <si>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</si>
  <si>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</si>
  <si>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</si>
  <si>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</si>
  <si>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</si>
  <si>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CHAMPAIGN</t>
  </si>
  <si>
    <t>801 S 5TH STREET</t>
  </si>
  <si>
    <t>FISHER</t>
  </si>
  <si>
    <t>BARBARA THOMPSON</t>
  </si>
  <si>
    <t>barb.thompson@fisherk12.org</t>
  </si>
  <si>
    <t>217-897-6125</t>
  </si>
  <si>
    <t>RUSSELL LEIGH &amp; ASSOCIATES LLC</t>
  </si>
  <si>
    <t>RUSS LEIGH</t>
  </si>
  <si>
    <t>228 E MAIN ST</t>
  </si>
  <si>
    <t>HOOPESTON</t>
  </si>
  <si>
    <t>IL</t>
  </si>
  <si>
    <t>217-283-9336</t>
  </si>
  <si>
    <t>217-283-9736</t>
  </si>
  <si>
    <t>065.018319</t>
  </si>
  <si>
    <t>admin@russleigh.com</t>
  </si>
  <si>
    <t>Russell Leigh &amp; Associates LLC</t>
  </si>
  <si>
    <t>General Obligation BAB School Bonds, Series 2010</t>
  </si>
  <si>
    <t>General Obligation Refunding School Bonds, Series 2016A</t>
  </si>
  <si>
    <t>General Obligation Refunding School Bonds, Series 2016B</t>
  </si>
  <si>
    <t>General Obligation Working Cash Bonds, Series 2019</t>
  </si>
  <si>
    <t>Capital Leases - Buses</t>
  </si>
  <si>
    <t>Capital Leases</t>
  </si>
  <si>
    <t>No applicable contracts paid in current year.</t>
  </si>
  <si>
    <t>Education for Employment System #330</t>
  </si>
  <si>
    <t>Rural Champaign County Special Education Cooperative</t>
  </si>
  <si>
    <t>Page 10 - Acct 1790 - Other District/School Activity Revenue</t>
  </si>
  <si>
    <t>Various activity fund revenue that has been moved to the district books - $74,089</t>
  </si>
  <si>
    <t>Page 11 - Acct 1999 - Other Local Revenues</t>
  </si>
  <si>
    <t>Col 10 - Educational</t>
  </si>
  <si>
    <t>Misc refunds &amp; reimbursements - $20,039</t>
  </si>
  <si>
    <t>Col 20 - Operations &amp; Maintenance</t>
  </si>
  <si>
    <t>Col 80 - Tort</t>
  </si>
  <si>
    <t>Misc refunds &amp; reimbursements - $10,150</t>
  </si>
  <si>
    <t>Misc refunds &amp; reimbursements - $739</t>
  </si>
  <si>
    <t>Page 12 - Acct 3599 - Transportation - Other</t>
  </si>
  <si>
    <t>Col 40 - Transportation</t>
  </si>
  <si>
    <t>Pre-K/At-Risk Students Grant - $12,310</t>
  </si>
  <si>
    <t>Page 12 - Acct 3999 - Other Restricted Revenue from State Sources</t>
  </si>
  <si>
    <t>State Library Grant - $1,500</t>
  </si>
  <si>
    <t>Page 14 - Acct 4999 - Other Restricted Revenue from Federal Sources</t>
  </si>
  <si>
    <t>REAP Grant - $14,192</t>
  </si>
  <si>
    <t>Page 18 - Acct 5400 - Debt Services - Other</t>
  </si>
  <si>
    <t>Bond Fees - $1,542</t>
  </si>
  <si>
    <t>AUDITCHECK Tab</t>
  </si>
  <si>
    <t>#8 Schedule of Long-Term Debt Errors</t>
  </si>
  <si>
    <t>Error for Long Term Debt Retired because of principal on capital leases was paid from the Transportation Fund</t>
  </si>
  <si>
    <t>#15 - Contracts Paid Error</t>
  </si>
  <si>
    <t>No applicable contracts paid in the current year</t>
  </si>
  <si>
    <t xml:space="preserve"> Fisher CUSD 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</si>
</sst>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67" fillId="0" borderId="0" xfId="0" applyFont="1"/>
    <xf numFmtId="0" fontId="76" fillId="0" borderId="0" xfId="0"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B44" sqref="AB4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9" t="s">
        <v>402</v>
      </c>
      <c r="J1" s="2120"/>
      <c r="K1" s="2120"/>
      <c r="L1" s="2120"/>
      <c r="M1" s="2120"/>
      <c r="N1" s="2120"/>
      <c r="O1" s="2120"/>
      <c r="P1" s="2120"/>
      <c r="Q1" s="2120"/>
      <c r="R1" s="2120"/>
      <c r="S1" s="2120"/>
    </row>
    <row r="2" spans="1:32" ht="12" customHeight="1" x14ac:dyDescent="0.2">
      <c r="A2" s="1831" t="str">
        <f>"Due to ISBE on "</f>
        <v xml:space="preserve">Due to ISBE on </v>
      </c>
      <c r="B2" s="2041">
        <f>+'AFR20'!F4</f>
        <v>44151</v>
      </c>
      <c r="C2" s="2041"/>
      <c r="D2" s="2042"/>
      <c r="I2" s="2121" t="s">
        <v>2003</v>
      </c>
      <c r="J2" s="2120"/>
      <c r="K2" s="2120"/>
      <c r="L2" s="2120"/>
      <c r="M2" s="2120"/>
      <c r="N2" s="2120"/>
      <c r="O2" s="2120"/>
      <c r="P2" s="2120"/>
      <c r="Q2" s="2120"/>
      <c r="R2" s="2120"/>
      <c r="S2" s="2120"/>
    </row>
    <row r="3" spans="1:32" ht="12" customHeight="1" x14ac:dyDescent="0.2">
      <c r="A3" s="1834" t="str">
        <f>"SD/JA"&amp;MID('AFR20'!E2,3,2)</f>
        <v>SD/JA20</v>
      </c>
      <c r="B3" s="151"/>
      <c r="C3" s="151"/>
      <c r="D3" s="152"/>
      <c r="I3" s="2121" t="s">
        <v>52</v>
      </c>
      <c r="J3" s="2120"/>
      <c r="K3" s="2120"/>
      <c r="L3" s="2120"/>
      <c r="M3" s="2120"/>
      <c r="N3" s="2120"/>
      <c r="O3" s="2120"/>
      <c r="P3" s="2120"/>
      <c r="Q3" s="2120"/>
      <c r="R3" s="2120"/>
      <c r="S3" s="2120"/>
    </row>
    <row r="4" spans="1:32" ht="12" customHeight="1" x14ac:dyDescent="0.2">
      <c r="A4" s="37"/>
      <c r="I4" s="2121" t="s">
        <v>521</v>
      </c>
      <c r="J4" s="2120"/>
      <c r="K4" s="2120"/>
      <c r="L4" s="2120"/>
      <c r="M4" s="2120"/>
      <c r="N4" s="2120"/>
      <c r="O4" s="2120"/>
      <c r="P4" s="2120"/>
      <c r="Q4" s="2120"/>
      <c r="R4" s="2120"/>
      <c r="S4" s="2120"/>
    </row>
    <row r="5" spans="1:32" ht="14.1" customHeight="1" x14ac:dyDescent="0.2">
      <c r="B5" s="101" t="s">
        <v>2051</v>
      </c>
      <c r="C5" s="26" t="s">
        <v>904</v>
      </c>
      <c r="D5" s="81"/>
      <c r="E5" s="81"/>
      <c r="H5" s="38"/>
      <c r="I5" s="2128" t="s">
        <v>675</v>
      </c>
      <c r="J5" s="2072"/>
      <c r="K5" s="2072"/>
      <c r="L5" s="2072"/>
      <c r="M5" s="2072"/>
      <c r="N5" s="2072"/>
      <c r="O5" s="2072"/>
      <c r="P5" s="2072"/>
      <c r="Q5" s="2072"/>
      <c r="R5" s="2072"/>
      <c r="S5" s="2072"/>
      <c r="AF5" s="1827"/>
    </row>
    <row r="6" spans="1:32" ht="14.1" customHeight="1" x14ac:dyDescent="0.2">
      <c r="B6" s="101"/>
      <c r="C6" s="26" t="s">
        <v>905</v>
      </c>
      <c r="D6" s="81"/>
      <c r="E6" s="81"/>
      <c r="I6" s="2127" t="s">
        <v>877</v>
      </c>
      <c r="J6" s="2072"/>
      <c r="K6" s="2072"/>
      <c r="L6" s="2072"/>
      <c r="M6" s="2072"/>
      <c r="N6" s="2072"/>
      <c r="O6" s="2072"/>
      <c r="P6" s="2072"/>
      <c r="Q6" s="2072"/>
      <c r="R6" s="2072"/>
      <c r="S6" s="2072"/>
    </row>
    <row r="7" spans="1:32" ht="12.2" customHeight="1" x14ac:dyDescent="0.2">
      <c r="I7" s="2122" t="str">
        <f>"June 30, "&amp;'AFR20'!E2</f>
        <v>June 30, 2020</v>
      </c>
      <c r="J7" s="2123"/>
      <c r="K7" s="2123"/>
      <c r="L7" s="2123"/>
      <c r="M7" s="2123"/>
      <c r="N7" s="2123"/>
      <c r="O7" s="2123"/>
      <c r="P7" s="2123"/>
      <c r="Q7" s="2123"/>
      <c r="R7" s="2123"/>
      <c r="S7" s="212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4" t="s">
        <v>669</v>
      </c>
      <c r="J9" s="2125"/>
      <c r="K9" s="2125"/>
      <c r="L9" s="2125"/>
      <c r="M9" s="2125"/>
      <c r="N9" s="2125"/>
      <c r="O9" s="2125"/>
      <c r="P9" s="2125"/>
      <c r="Q9" s="2125"/>
      <c r="R9" s="2125"/>
      <c r="S9" s="2126"/>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t="s">
        <v>2051</v>
      </c>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8">
        <v>9010001026</v>
      </c>
      <c r="B13" s="2089"/>
      <c r="C13" s="2089"/>
      <c r="D13" s="2089"/>
      <c r="E13" s="2089"/>
      <c r="F13" s="2089"/>
      <c r="G13" s="2089"/>
      <c r="H13" s="2090"/>
      <c r="I13" s="31"/>
      <c r="J13" s="30"/>
      <c r="K13" s="28"/>
      <c r="L13" s="30"/>
      <c r="M13" s="30"/>
      <c r="N13" s="30"/>
      <c r="O13" s="30"/>
      <c r="P13" s="30"/>
      <c r="Q13" s="30"/>
      <c r="R13" s="30"/>
      <c r="S13" s="30"/>
      <c r="T13" s="2093" t="s">
        <v>2058</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6" t="s">
        <v>2052</v>
      </c>
      <c r="B15" s="2091"/>
      <c r="C15" s="2091"/>
      <c r="D15" s="2091"/>
      <c r="E15" s="2091"/>
      <c r="F15" s="2091"/>
      <c r="G15" s="2091"/>
      <c r="H15" s="2092"/>
      <c r="T15" s="2054" t="s">
        <v>2059</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6" t="s">
        <v>2100</v>
      </c>
      <c r="B17" s="2117"/>
      <c r="C17" s="2117"/>
      <c r="D17" s="2117"/>
      <c r="E17" s="2117"/>
      <c r="F17" s="2117"/>
      <c r="G17" s="2117"/>
      <c r="H17" s="2118"/>
      <c r="T17" s="2103" t="s">
        <v>2060</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2053</v>
      </c>
      <c r="B19" s="2087"/>
      <c r="C19" s="2087"/>
      <c r="D19" s="2087"/>
      <c r="E19" s="2087"/>
      <c r="F19" s="2087"/>
      <c r="G19" s="2087"/>
      <c r="H19" s="2085"/>
      <c r="I19" s="30"/>
      <c r="J19" s="96"/>
      <c r="K19" s="40"/>
      <c r="L19" s="38"/>
      <c r="M19" s="109" t="s">
        <v>312</v>
      </c>
      <c r="P19" s="27"/>
      <c r="Q19" s="27"/>
      <c r="R19" s="27"/>
      <c r="S19" s="31"/>
      <c r="T19" s="2086" t="s">
        <v>2061</v>
      </c>
      <c r="U19" s="2084"/>
      <c r="V19" s="2084"/>
      <c r="W19" s="2085"/>
      <c r="X19" s="2101" t="s">
        <v>2062</v>
      </c>
      <c r="Y19" s="2102"/>
      <c r="Z19" s="2099">
        <v>60942</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2054</v>
      </c>
      <c r="B21" s="2084"/>
      <c r="C21" s="2084"/>
      <c r="D21" s="2084"/>
      <c r="E21" s="2084"/>
      <c r="F21" s="2084"/>
      <c r="G21" s="2084"/>
      <c r="H21" s="2085"/>
      <c r="I21" s="2109" t="s">
        <v>673</v>
      </c>
      <c r="J21" s="2072"/>
      <c r="K21" s="2072"/>
      <c r="L21" s="2072"/>
      <c r="M21" s="2072"/>
      <c r="N21" s="2072"/>
      <c r="O21" s="2072"/>
      <c r="P21" s="2072"/>
      <c r="Q21" s="2072"/>
      <c r="R21" s="2072"/>
      <c r="S21" s="2073"/>
      <c r="T21" s="2051" t="s">
        <v>2063</v>
      </c>
      <c r="U21" s="2052"/>
      <c r="V21" s="2052"/>
      <c r="W21" s="2052"/>
      <c r="X21" s="2065" t="s">
        <v>2064</v>
      </c>
      <c r="Y21" s="2066"/>
      <c r="Z21" s="2066"/>
      <c r="AA21" s="2067"/>
    </row>
    <row r="22" spans="1:27" ht="13.5" customHeight="1" x14ac:dyDescent="0.2">
      <c r="A22" s="84" t="s">
        <v>528</v>
      </c>
      <c r="B22" s="56"/>
      <c r="C22" s="56"/>
      <c r="D22" s="56"/>
      <c r="E22" s="56"/>
      <c r="F22" s="56"/>
      <c r="G22" s="56"/>
      <c r="H22" s="57"/>
      <c r="I22" s="2110" t="s">
        <v>1412</v>
      </c>
      <c r="J22" s="2111"/>
      <c r="K22" s="2111"/>
      <c r="L22" s="2111"/>
      <c r="M22" s="2111"/>
      <c r="N22" s="2111"/>
      <c r="O22" s="2111"/>
      <c r="P22" s="2111"/>
      <c r="Q22" s="2111"/>
      <c r="R22" s="2111"/>
      <c r="S22" s="2112"/>
      <c r="T22" s="82" t="s">
        <v>1499</v>
      </c>
      <c r="U22" s="48"/>
      <c r="V22" s="69"/>
      <c r="W22" s="48"/>
      <c r="X22" s="155" t="s">
        <v>1307</v>
      </c>
      <c r="Z22" s="43"/>
      <c r="AA22" s="44"/>
    </row>
    <row r="23" spans="1:27" ht="13.5" customHeight="1" x14ac:dyDescent="0.2">
      <c r="A23" s="2106"/>
      <c r="B23" s="2107"/>
      <c r="C23" s="2107"/>
      <c r="D23" s="2107"/>
      <c r="E23" s="2107"/>
      <c r="F23" s="2107"/>
      <c r="G23" s="2107"/>
      <c r="H23" s="2108"/>
      <c r="T23" s="2046" t="s">
        <v>2065</v>
      </c>
      <c r="U23" s="2047"/>
      <c r="V23" s="2047"/>
      <c r="W23" s="2047"/>
      <c r="X23" s="2062">
        <v>44469</v>
      </c>
      <c r="Y23" s="2063"/>
      <c r="Z23" s="2063"/>
      <c r="AA23" s="2064"/>
    </row>
    <row r="24" spans="1:27" ht="14.1" customHeight="1" x14ac:dyDescent="0.2">
      <c r="A24" s="85" t="s">
        <v>672</v>
      </c>
      <c r="B24" s="46"/>
      <c r="C24" s="46"/>
      <c r="D24" s="46"/>
      <c r="E24" s="46"/>
      <c r="F24" s="46"/>
      <c r="G24" s="46"/>
      <c r="H24" s="58"/>
      <c r="J24" s="2149">
        <f>IF(B5="x",IF(AUDITCHECK!D29="AFR form Incomplete.","",IF(AUDITCHECK!D29="Deficit reduction plan is required.","School District must complete a deficit reduction plan in the 2020-2021 Budget",)),"")</f>
        <v>0</v>
      </c>
      <c r="K24" s="2149"/>
      <c r="L24" s="2149"/>
      <c r="M24" s="2149"/>
      <c r="N24" s="2149"/>
      <c r="O24" s="2149"/>
      <c r="P24" s="2149"/>
      <c r="Q24" s="2149"/>
      <c r="R24" s="2149"/>
      <c r="S24" s="2150"/>
      <c r="T24" s="102" t="s">
        <v>528</v>
      </c>
      <c r="U24" s="103"/>
      <c r="V24" s="103"/>
      <c r="W24" s="103"/>
      <c r="X24" s="104"/>
      <c r="Y24" s="104"/>
      <c r="Z24" s="104"/>
      <c r="AA24" s="105"/>
    </row>
    <row r="25" spans="1:27" ht="14.1" customHeight="1" x14ac:dyDescent="0.2">
      <c r="A25" s="2083">
        <v>61843</v>
      </c>
      <c r="B25" s="2084"/>
      <c r="C25" s="2084"/>
      <c r="D25" s="2084"/>
      <c r="E25" s="2084"/>
      <c r="F25" s="2084"/>
      <c r="G25" s="2084"/>
      <c r="H25" s="2085"/>
      <c r="I25" s="110"/>
      <c r="J25" s="2151"/>
      <c r="K25" s="2151"/>
      <c r="L25" s="2151"/>
      <c r="M25" s="2151"/>
      <c r="N25" s="2151"/>
      <c r="O25" s="2151"/>
      <c r="P25" s="2151"/>
      <c r="Q25" s="2151"/>
      <c r="R25" s="2151"/>
      <c r="S25" s="2152"/>
      <c r="T25" s="2043" t="s">
        <v>2066</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2" t="s">
        <v>1494</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6" t="s">
        <v>2055</v>
      </c>
      <c r="B38" s="2117"/>
      <c r="C38" s="2117"/>
      <c r="D38" s="2117"/>
      <c r="E38" s="2117"/>
      <c r="F38" s="2084"/>
      <c r="G38" s="2084"/>
      <c r="H38" s="2085"/>
      <c r="I38" s="2136"/>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40" t="s">
        <v>528</v>
      </c>
      <c r="B39" s="2141"/>
      <c r="C39" s="69"/>
      <c r="D39" s="66"/>
      <c r="E39" s="66"/>
      <c r="F39" s="76"/>
      <c r="G39" s="66"/>
      <c r="H39" s="53"/>
      <c r="I39" s="2140" t="s">
        <v>528</v>
      </c>
      <c r="J39" s="2141"/>
      <c r="K39" s="2141"/>
      <c r="L39" s="2141"/>
      <c r="M39" s="2141"/>
      <c r="N39" s="64"/>
      <c r="O39" s="69"/>
      <c r="P39" s="69"/>
      <c r="Q39" s="75"/>
      <c r="R39" s="69"/>
      <c r="S39" s="53"/>
      <c r="T39" s="69" t="s">
        <v>528</v>
      </c>
      <c r="U39" s="48"/>
      <c r="V39" s="69"/>
      <c r="W39" s="47"/>
      <c r="X39" s="75"/>
      <c r="Y39" s="43"/>
      <c r="Z39" s="43"/>
      <c r="AA39" s="44"/>
    </row>
    <row r="40" spans="1:27" ht="13.5" customHeight="1" x14ac:dyDescent="0.2">
      <c r="A40" s="2143" t="s">
        <v>2056</v>
      </c>
      <c r="B40" s="2144"/>
      <c r="C40" s="2145"/>
      <c r="D40" s="2145"/>
      <c r="E40" s="2145"/>
      <c r="F40" s="2146"/>
      <c r="G40" s="2146"/>
      <c r="H40" s="2147"/>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3" t="s">
        <v>2057</v>
      </c>
      <c r="B42" s="2134"/>
      <c r="C42" s="2135"/>
      <c r="D42" s="2148"/>
      <c r="E42" s="2134"/>
      <c r="F42" s="2134"/>
      <c r="G42" s="2134"/>
      <c r="H42" s="2135"/>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7"/>
      <c r="B44" s="2138"/>
      <c r="C44" s="2138"/>
      <c r="D44" s="2138"/>
      <c r="E44" s="2138"/>
      <c r="F44" s="2138"/>
      <c r="G44" s="2138"/>
      <c r="H44" s="2139"/>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sqref="A1:M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2081973</v>
      </c>
      <c r="C4" s="1722">
        <v>199628</v>
      </c>
      <c r="D4" s="1723">
        <f>B4-C4</f>
        <v>1882345</v>
      </c>
      <c r="E4" s="1722">
        <v>2382281</v>
      </c>
      <c r="F4" s="1723">
        <f>E4-C4</f>
        <v>2182653</v>
      </c>
    </row>
    <row r="5" spans="1:8" ht="13.7" customHeight="1" x14ac:dyDescent="0.2">
      <c r="A5" s="579" t="s">
        <v>865</v>
      </c>
      <c r="B5" s="1724">
        <f>'Revenues 9-14'!D5</f>
        <v>400290</v>
      </c>
      <c r="C5" s="1664">
        <v>40912</v>
      </c>
      <c r="D5" s="1725">
        <f t="shared" ref="D5:D18" si="0">B5-C5</f>
        <v>359378</v>
      </c>
      <c r="E5" s="1664">
        <v>488225</v>
      </c>
      <c r="F5" s="1725">
        <f>E5-C5</f>
        <v>447313</v>
      </c>
    </row>
    <row r="6" spans="1:8" ht="13.7" customHeight="1" x14ac:dyDescent="0.2">
      <c r="A6" s="579" t="s">
        <v>408</v>
      </c>
      <c r="B6" s="1724">
        <f>'Revenues 9-14'!E5</f>
        <v>439959</v>
      </c>
      <c r="C6" s="1664">
        <v>41707</v>
      </c>
      <c r="D6" s="1725">
        <f t="shared" si="0"/>
        <v>398252</v>
      </c>
      <c r="E6" s="1664">
        <v>497711</v>
      </c>
      <c r="F6" s="1725">
        <f t="shared" ref="F6:F18" si="1">E6-C6</f>
        <v>456004</v>
      </c>
    </row>
    <row r="7" spans="1:8" ht="13.7" customHeight="1" x14ac:dyDescent="0.2">
      <c r="A7" s="579" t="s">
        <v>154</v>
      </c>
      <c r="B7" s="1724">
        <f>'Revenues 9-14'!F5</f>
        <v>190096</v>
      </c>
      <c r="C7" s="1664">
        <v>17712</v>
      </c>
      <c r="D7" s="1725">
        <f t="shared" si="0"/>
        <v>172384</v>
      </c>
      <c r="E7" s="1664">
        <v>211374</v>
      </c>
      <c r="F7" s="1725">
        <f t="shared" si="1"/>
        <v>193662</v>
      </c>
    </row>
    <row r="8" spans="1:8" ht="13.7" customHeight="1" x14ac:dyDescent="0.2">
      <c r="A8" s="579" t="s">
        <v>1169</v>
      </c>
      <c r="B8" s="1724">
        <f>'Revenues 9-14'!G5</f>
        <v>67686</v>
      </c>
      <c r="C8" s="1664">
        <v>5986</v>
      </c>
      <c r="D8" s="1725">
        <f t="shared" si="0"/>
        <v>61700</v>
      </c>
      <c r="E8" s="1664">
        <v>71437</v>
      </c>
      <c r="F8" s="1725">
        <f t="shared" si="1"/>
        <v>65451</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5758</v>
      </c>
      <c r="C10" s="1664">
        <v>542</v>
      </c>
      <c r="D10" s="1725">
        <f t="shared" si="0"/>
        <v>5216</v>
      </c>
      <c r="E10" s="1664">
        <v>6464</v>
      </c>
      <c r="F10" s="1725">
        <f t="shared" si="1"/>
        <v>5922</v>
      </c>
    </row>
    <row r="11" spans="1:8" x14ac:dyDescent="0.2">
      <c r="A11" s="579" t="s">
        <v>406</v>
      </c>
      <c r="B11" s="1724">
        <f>'Revenues 9-14'!J5</f>
        <v>108457</v>
      </c>
      <c r="C11" s="1664">
        <v>10812</v>
      </c>
      <c r="D11" s="1725">
        <f t="shared" si="0"/>
        <v>97645</v>
      </c>
      <c r="E11" s="1664">
        <v>129024</v>
      </c>
      <c r="F11" s="1725">
        <f t="shared" si="1"/>
        <v>118212</v>
      </c>
    </row>
    <row r="12" spans="1:8" ht="13.7" customHeight="1" x14ac:dyDescent="0.2">
      <c r="A12" s="579" t="s">
        <v>156</v>
      </c>
      <c r="B12" s="1724">
        <f>'Revenues 9-14'!K5</f>
        <v>31520</v>
      </c>
      <c r="C12" s="1664">
        <v>2167</v>
      </c>
      <c r="D12" s="1725">
        <f t="shared" si="0"/>
        <v>29353</v>
      </c>
      <c r="E12" s="1664">
        <v>25855</v>
      </c>
      <c r="F12" s="1725">
        <f t="shared" si="1"/>
        <v>23688</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38849</v>
      </c>
      <c r="C14" s="1664">
        <v>3630</v>
      </c>
      <c r="D14" s="1725">
        <f t="shared" si="0"/>
        <v>35219</v>
      </c>
      <c r="E14" s="1664">
        <v>43316</v>
      </c>
      <c r="F14" s="1725">
        <f t="shared" si="1"/>
        <v>39686</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72052</v>
      </c>
      <c r="C16" s="1664">
        <v>6633</v>
      </c>
      <c r="D16" s="1725">
        <f t="shared" si="0"/>
        <v>65419</v>
      </c>
      <c r="E16" s="1664">
        <v>79160</v>
      </c>
      <c r="F16" s="1725">
        <f t="shared" si="1"/>
        <v>72527</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3436640</v>
      </c>
      <c r="C19" s="1726">
        <f>SUM(C4:C18)</f>
        <v>329729</v>
      </c>
      <c r="D19" s="1726">
        <f>SUM(D4:D18)</f>
        <v>3106911</v>
      </c>
      <c r="E19" s="1726">
        <f>SUM(E4:E18)</f>
        <v>3934847</v>
      </c>
      <c r="F19" s="1726">
        <f>SUM(F4:F18)</f>
        <v>3605118</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M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7" t="s">
        <v>625</v>
      </c>
      <c r="B1" s="2298"/>
      <c r="C1" s="585"/>
    </row>
    <row r="2" spans="1:7" ht="33.75" x14ac:dyDescent="0.2">
      <c r="A2" s="2306" t="s">
        <v>1779</v>
      </c>
      <c r="B2" s="230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0" t="s">
        <v>1104</v>
      </c>
      <c r="B3" s="2311"/>
      <c r="C3" s="2299"/>
      <c r="D3" s="2300"/>
      <c r="E3" s="2300"/>
      <c r="F3" s="2301"/>
    </row>
    <row r="4" spans="1:7" ht="12.75" customHeight="1" thickBot="1" x14ac:dyDescent="0.25">
      <c r="A4" s="2308" t="s">
        <v>626</v>
      </c>
      <c r="B4" s="2309"/>
      <c r="C4" s="1656"/>
      <c r="D4" s="1656"/>
      <c r="E4" s="1656"/>
      <c r="F4" s="1732">
        <f>SUM(C4+D4)-E4</f>
        <v>0</v>
      </c>
    </row>
    <row r="5" spans="1:7" ht="15.75" customHeight="1" thickTop="1" x14ac:dyDescent="0.2">
      <c r="A5" s="2293" t="s">
        <v>1101</v>
      </c>
      <c r="B5" s="2294"/>
      <c r="C5" s="2302"/>
      <c r="D5" s="2303"/>
      <c r="E5" s="2303"/>
      <c r="F5" s="230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5" t="s">
        <v>627</v>
      </c>
      <c r="B15" s="2296"/>
      <c r="C15" s="1732">
        <f>SUM(C6:C14)</f>
        <v>0</v>
      </c>
      <c r="D15" s="1732">
        <f>SUM(D6:D14)</f>
        <v>0</v>
      </c>
      <c r="E15" s="1732">
        <f>SUM(E6:E14)</f>
        <v>0</v>
      </c>
      <c r="F15" s="1732">
        <f>SUM(F6:F14)</f>
        <v>0</v>
      </c>
      <c r="G15" s="473"/>
    </row>
    <row r="16" spans="1:7" s="197" customFormat="1" ht="15.75" customHeight="1" thickTop="1" x14ac:dyDescent="0.2">
      <c r="A16" s="2305" t="s">
        <v>1102</v>
      </c>
      <c r="B16" s="2294"/>
      <c r="C16" s="2302"/>
      <c r="D16" s="2303"/>
      <c r="E16" s="2303"/>
      <c r="F16" s="2304"/>
    </row>
    <row r="17" spans="1:11" ht="12.75" customHeight="1" thickBot="1" x14ac:dyDescent="0.25">
      <c r="A17" s="2318" t="s">
        <v>64</v>
      </c>
      <c r="B17" s="2319"/>
      <c r="C17" s="1733"/>
      <c r="D17" s="1664"/>
      <c r="E17" s="1733"/>
      <c r="F17" s="1732">
        <f>SUM(C17+D17)-E17</f>
        <v>0</v>
      </c>
    </row>
    <row r="18" spans="1:11" ht="12.75" customHeight="1" thickTop="1" thickBot="1" x14ac:dyDescent="0.25">
      <c r="A18" s="2318" t="s">
        <v>6</v>
      </c>
      <c r="B18" s="2319"/>
      <c r="C18" s="1733"/>
      <c r="D18" s="1664"/>
      <c r="E18" s="1733"/>
      <c r="F18" s="1732">
        <f>SUM(C18+D18)-E18</f>
        <v>0</v>
      </c>
    </row>
    <row r="19" spans="1:11" ht="12.75" customHeight="1" thickTop="1" thickBot="1" x14ac:dyDescent="0.25">
      <c r="A19" s="2318" t="s">
        <v>385</v>
      </c>
      <c r="B19" s="2319"/>
      <c r="C19" s="1733"/>
      <c r="D19" s="1664"/>
      <c r="E19" s="1733"/>
      <c r="F19" s="1732">
        <f>SUM(C19+D19)-E19</f>
        <v>0</v>
      </c>
    </row>
    <row r="20" spans="1:11" ht="12.75" customHeight="1" thickTop="1" thickBot="1" x14ac:dyDescent="0.25">
      <c r="A20" s="2318" t="s">
        <v>445</v>
      </c>
      <c r="B20" s="2319"/>
      <c r="C20" s="1733"/>
      <c r="D20" s="1664"/>
      <c r="E20" s="1733"/>
      <c r="F20" s="1732">
        <f>SUM(C20+D20)-E20</f>
        <v>0</v>
      </c>
    </row>
    <row r="21" spans="1:11" ht="14.25" thickTop="1" thickBot="1" x14ac:dyDescent="0.25">
      <c r="A21" s="2295" t="s">
        <v>628</v>
      </c>
      <c r="B21" s="2296"/>
      <c r="C21" s="1732">
        <f>SUM(C17:C20)</f>
        <v>0</v>
      </c>
      <c r="D21" s="1732">
        <f>SUM(D17:D20)</f>
        <v>0</v>
      </c>
      <c r="E21" s="1732">
        <f>SUM(E17:E20)</f>
        <v>0</v>
      </c>
      <c r="F21" s="1732">
        <f>SUM(F17:F20)</f>
        <v>0</v>
      </c>
      <c r="G21" s="473"/>
    </row>
    <row r="22" spans="1:11" ht="15.75" customHeight="1" thickTop="1" x14ac:dyDescent="0.2">
      <c r="A22" s="2320" t="s">
        <v>1103</v>
      </c>
      <c r="B22" s="2294"/>
      <c r="C22" s="2302"/>
      <c r="D22" s="2303"/>
      <c r="E22" s="2303"/>
      <c r="F22" s="2304"/>
    </row>
    <row r="23" spans="1:11" ht="13.5" thickBot="1" x14ac:dyDescent="0.25">
      <c r="A23" s="2308" t="s">
        <v>629</v>
      </c>
      <c r="B23" s="2309"/>
      <c r="C23" s="1656"/>
      <c r="D23" s="1656"/>
      <c r="E23" s="1656"/>
      <c r="F23" s="1732">
        <f>SUM(C23+D23)-E23</f>
        <v>0</v>
      </c>
      <c r="G23" s="473"/>
    </row>
    <row r="24" spans="1:11" ht="15.75" customHeight="1" thickTop="1" x14ac:dyDescent="0.2">
      <c r="A24" s="2320" t="s">
        <v>2006</v>
      </c>
      <c r="B24" s="2294"/>
      <c r="C24" s="2302"/>
      <c r="D24" s="2303"/>
      <c r="E24" s="2303"/>
      <c r="F24" s="2304"/>
    </row>
    <row r="25" spans="1:11" ht="13.5" thickBot="1" x14ac:dyDescent="0.25">
      <c r="A25" s="2308" t="s">
        <v>2007</v>
      </c>
      <c r="B25" s="2309"/>
      <c r="C25" s="1656"/>
      <c r="D25" s="1656"/>
      <c r="E25" s="1656"/>
      <c r="F25" s="1732">
        <f>SUM(C25+D25)-E25</f>
        <v>0</v>
      </c>
      <c r="G25" s="473"/>
    </row>
    <row r="26" spans="1:11" ht="15.75" customHeight="1" thickTop="1" x14ac:dyDescent="0.2">
      <c r="A26" s="2293" t="s">
        <v>652</v>
      </c>
      <c r="B26" s="2294"/>
      <c r="C26" s="589"/>
      <c r="D26" s="589"/>
      <c r="E26" s="589"/>
      <c r="F26" s="590"/>
    </row>
    <row r="27" spans="1:11" ht="13.5" thickBot="1" x14ac:dyDescent="0.25">
      <c r="A27" s="2295" t="s">
        <v>1061</v>
      </c>
      <c r="B27" s="2296"/>
      <c r="C27" s="1664"/>
      <c r="D27" s="1664"/>
      <c r="E27" s="1664"/>
      <c r="F27" s="1732">
        <f>SUM(C27+D27)-E27</f>
        <v>0</v>
      </c>
      <c r="G27" s="473"/>
    </row>
    <row r="28" spans="1:11" ht="7.5" customHeight="1" thickTop="1" x14ac:dyDescent="0.2">
      <c r="A28" s="489"/>
    </row>
    <row r="29" spans="1:11" ht="23.25" customHeight="1" x14ac:dyDescent="0.2">
      <c r="A29" s="2321" t="s">
        <v>578</v>
      </c>
      <c r="B29" s="229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40505</v>
      </c>
      <c r="C31" s="1734">
        <v>6220000</v>
      </c>
      <c r="D31" s="1735">
        <v>6</v>
      </c>
      <c r="E31" s="1734">
        <v>425000</v>
      </c>
      <c r="F31" s="1734"/>
      <c r="G31" s="1734"/>
      <c r="H31" s="1734">
        <v>205000</v>
      </c>
      <c r="I31" s="1736">
        <f>((E31+F31)-H31)+G31</f>
        <v>220000</v>
      </c>
      <c r="J31" s="1734"/>
      <c r="K31" s="596"/>
    </row>
    <row r="32" spans="1:11" ht="12" customHeight="1" x14ac:dyDescent="0.2">
      <c r="A32" s="594" t="s">
        <v>2069</v>
      </c>
      <c r="B32" s="595">
        <v>42661</v>
      </c>
      <c r="C32" s="1734">
        <v>3000000</v>
      </c>
      <c r="D32" s="1735">
        <v>3</v>
      </c>
      <c r="E32" s="1734">
        <v>2620000</v>
      </c>
      <c r="F32" s="1734"/>
      <c r="G32" s="1734"/>
      <c r="H32" s="1734">
        <v>130000</v>
      </c>
      <c r="I32" s="1736">
        <f>((E32+F32)-H32)+G32</f>
        <v>2490000</v>
      </c>
      <c r="J32" s="1734">
        <v>2139623</v>
      </c>
      <c r="K32" s="596"/>
    </row>
    <row r="33" spans="1:11" ht="12" customHeight="1" x14ac:dyDescent="0.2">
      <c r="A33" s="594" t="s">
        <v>2070</v>
      </c>
      <c r="B33" s="595">
        <v>42661</v>
      </c>
      <c r="C33" s="1734">
        <v>4650000</v>
      </c>
      <c r="D33" s="1735">
        <v>3</v>
      </c>
      <c r="E33" s="1734">
        <v>4650000</v>
      </c>
      <c r="F33" s="1734"/>
      <c r="G33" s="1734"/>
      <c r="H33" s="1734"/>
      <c r="I33" s="1736">
        <f t="shared" ref="I33:I48" si="1">((E33+F33)-H33)+G33</f>
        <v>4650000</v>
      </c>
      <c r="J33" s="1734">
        <v>4650000</v>
      </c>
      <c r="K33" s="596"/>
    </row>
    <row r="34" spans="1:11" ht="12" customHeight="1" x14ac:dyDescent="0.2">
      <c r="A34" s="594" t="s">
        <v>2071</v>
      </c>
      <c r="B34" s="595">
        <v>43501</v>
      </c>
      <c r="C34" s="1734">
        <v>1344000</v>
      </c>
      <c r="D34" s="1735">
        <v>1</v>
      </c>
      <c r="E34" s="1734">
        <v>1344000</v>
      </c>
      <c r="F34" s="1734"/>
      <c r="G34" s="1734"/>
      <c r="H34" s="1734">
        <v>244000</v>
      </c>
      <c r="I34" s="1736">
        <f t="shared" si="1"/>
        <v>1100000</v>
      </c>
      <c r="J34" s="1734">
        <v>1100000</v>
      </c>
      <c r="K34" s="597"/>
    </row>
    <row r="35" spans="1:11" ht="12" customHeight="1" x14ac:dyDescent="0.2">
      <c r="A35" s="594" t="s">
        <v>2072</v>
      </c>
      <c r="B35" s="595">
        <v>43282</v>
      </c>
      <c r="C35" s="1737">
        <v>181900</v>
      </c>
      <c r="D35" s="1735">
        <v>7</v>
      </c>
      <c r="E35" s="1737">
        <v>74879</v>
      </c>
      <c r="F35" s="1737"/>
      <c r="G35" s="1737"/>
      <c r="H35" s="1737">
        <v>59893</v>
      </c>
      <c r="I35" s="1736">
        <f t="shared" si="1"/>
        <v>14986</v>
      </c>
      <c r="J35" s="1737">
        <v>14986</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15395900</v>
      </c>
      <c r="D49" s="1742"/>
      <c r="E49" s="1736">
        <f t="shared" ref="E49:J49" si="2">SUM(E31:E48)</f>
        <v>9113879</v>
      </c>
      <c r="F49" s="1736">
        <f t="shared" si="2"/>
        <v>0</v>
      </c>
      <c r="G49" s="1736">
        <f t="shared" si="2"/>
        <v>0</v>
      </c>
      <c r="H49" s="1736">
        <f t="shared" si="2"/>
        <v>638893</v>
      </c>
      <c r="I49" s="1736">
        <f t="shared" si="2"/>
        <v>8474986</v>
      </c>
      <c r="J49" s="1736">
        <f t="shared" si="2"/>
        <v>7904609</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2" t="s">
        <v>580</v>
      </c>
      <c r="C52" s="2313"/>
      <c r="D52" s="2313"/>
      <c r="E52" s="603" t="s">
        <v>840</v>
      </c>
      <c r="F52" s="2314" t="s">
        <v>2073</v>
      </c>
      <c r="G52" s="2315"/>
      <c r="H52" s="596"/>
      <c r="I52" s="596"/>
      <c r="J52" s="600"/>
    </row>
    <row r="53" spans="1:11" ht="11.25" customHeight="1" x14ac:dyDescent="0.2">
      <c r="A53" s="604" t="s">
        <v>907</v>
      </c>
      <c r="B53" s="605" t="s">
        <v>945</v>
      </c>
      <c r="C53" s="600"/>
      <c r="D53" s="597"/>
      <c r="E53" s="603" t="s">
        <v>494</v>
      </c>
      <c r="F53" s="2316"/>
      <c r="G53" s="2317"/>
      <c r="H53" s="596"/>
      <c r="I53" s="596"/>
      <c r="J53" s="600"/>
    </row>
    <row r="54" spans="1:11" ht="11.25" customHeight="1" x14ac:dyDescent="0.2">
      <c r="A54" s="606" t="s">
        <v>908</v>
      </c>
      <c r="B54" s="601" t="s">
        <v>946</v>
      </c>
      <c r="C54" s="600"/>
      <c r="D54" s="597"/>
      <c r="E54" s="603" t="s">
        <v>495</v>
      </c>
      <c r="F54" s="2316"/>
      <c r="G54" s="231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M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8" t="s">
        <v>851</v>
      </c>
      <c r="B1" s="2349"/>
      <c r="C1" s="2349"/>
      <c r="D1" s="2349"/>
      <c r="E1" s="2349"/>
      <c r="F1" s="2349"/>
      <c r="G1" s="2350"/>
      <c r="H1" s="1298"/>
      <c r="I1" s="614"/>
      <c r="J1" s="400"/>
    </row>
    <row r="2" spans="1:11" ht="26.25" x14ac:dyDescent="0.2">
      <c r="A2" s="2325" t="s">
        <v>1658</v>
      </c>
      <c r="B2" s="2326"/>
      <c r="C2" s="2326"/>
      <c r="D2" s="2326"/>
      <c r="E2" s="2327"/>
      <c r="F2" s="615" t="s">
        <v>898</v>
      </c>
      <c r="G2" s="616" t="s">
        <v>1655</v>
      </c>
      <c r="H2" s="616" t="s">
        <v>407</v>
      </c>
      <c r="I2" s="616" t="s">
        <v>1148</v>
      </c>
      <c r="J2" s="616" t="s">
        <v>1789</v>
      </c>
      <c r="K2" s="616" t="s">
        <v>137</v>
      </c>
    </row>
    <row r="3" spans="1:11" x14ac:dyDescent="0.2">
      <c r="A3" s="2328" t="str">
        <f>"Cash Basis Fund Balance as of July 1, "&amp;'AFR20'!E2-1</f>
        <v>Cash Basis Fund Balance as of July 1, 2019</v>
      </c>
      <c r="B3" s="2329"/>
      <c r="C3" s="2329"/>
      <c r="D3" s="2329"/>
      <c r="E3" s="2330"/>
      <c r="F3" s="617"/>
      <c r="G3" s="1744"/>
      <c r="H3" s="1744"/>
      <c r="I3" s="1744"/>
      <c r="J3" s="1745"/>
      <c r="K3" s="1745"/>
    </row>
    <row r="4" spans="1:11" x14ac:dyDescent="0.2">
      <c r="A4" s="2331" t="s">
        <v>366</v>
      </c>
      <c r="B4" s="2332"/>
      <c r="C4" s="2332"/>
      <c r="D4" s="2332"/>
      <c r="E4" s="2313"/>
      <c r="F4" s="620"/>
      <c r="G4" s="1746"/>
      <c r="H4" s="1747"/>
      <c r="I4" s="1746"/>
      <c r="J4" s="1748"/>
      <c r="K4" s="1748"/>
    </row>
    <row r="5" spans="1:11" x14ac:dyDescent="0.2">
      <c r="A5" s="2351" t="s">
        <v>1060</v>
      </c>
      <c r="B5" s="2322"/>
      <c r="C5" s="2322"/>
      <c r="D5" s="2322"/>
      <c r="E5" s="2352"/>
      <c r="F5" s="622" t="s">
        <v>843</v>
      </c>
      <c r="G5" s="1749"/>
      <c r="H5" s="1744">
        <v>38849</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2225</v>
      </c>
    </row>
    <row r="8" spans="1:11" x14ac:dyDescent="0.2">
      <c r="A8" s="629" t="s">
        <v>342</v>
      </c>
      <c r="B8" s="630"/>
      <c r="C8" s="630"/>
      <c r="D8" s="630"/>
      <c r="E8" s="631"/>
      <c r="F8" s="622" t="s">
        <v>846</v>
      </c>
      <c r="G8" s="1753"/>
      <c r="H8" s="1753"/>
      <c r="I8" s="1753"/>
      <c r="J8" s="1745">
        <v>457392</v>
      </c>
      <c r="K8" s="1748"/>
    </row>
    <row r="9" spans="1:11" x14ac:dyDescent="0.2">
      <c r="A9" s="629" t="s">
        <v>137</v>
      </c>
      <c r="B9" s="630"/>
      <c r="C9" s="630"/>
      <c r="D9" s="630"/>
      <c r="E9" s="631"/>
      <c r="F9" s="628" t="s">
        <v>848</v>
      </c>
      <c r="G9" s="1753"/>
      <c r="H9" s="1749"/>
      <c r="I9" s="1749"/>
      <c r="J9" s="1752"/>
      <c r="K9" s="1745">
        <v>5678</v>
      </c>
    </row>
    <row r="10" spans="1:11" x14ac:dyDescent="0.2">
      <c r="A10" s="2351" t="s">
        <v>1790</v>
      </c>
      <c r="B10" s="2322"/>
      <c r="C10" s="2322"/>
      <c r="D10" s="2322"/>
      <c r="E10" s="2353"/>
      <c r="F10" s="633" t="s">
        <v>857</v>
      </c>
      <c r="G10" s="1753"/>
      <c r="H10" s="1754"/>
      <c r="I10" s="1744"/>
      <c r="J10" s="1745"/>
      <c r="K10" s="1745"/>
    </row>
    <row r="11" spans="1:11" x14ac:dyDescent="0.2">
      <c r="A11" s="2351" t="s">
        <v>159</v>
      </c>
      <c r="B11" s="2322"/>
      <c r="C11" s="2322"/>
      <c r="D11" s="2322"/>
      <c r="E11" s="2352"/>
      <c r="F11" s="622" t="s">
        <v>847</v>
      </c>
      <c r="G11" s="1749"/>
      <c r="H11" s="1744"/>
      <c r="I11" s="1744"/>
      <c r="J11" s="1745"/>
      <c r="K11" s="1751"/>
    </row>
    <row r="12" spans="1:11" ht="13.5" thickBot="1" x14ac:dyDescent="0.25">
      <c r="A12" s="2339" t="s">
        <v>899</v>
      </c>
      <c r="B12" s="2340"/>
      <c r="C12" s="2340"/>
      <c r="D12" s="2340"/>
      <c r="E12" s="2341"/>
      <c r="F12" s="1433"/>
      <c r="G12" s="1755">
        <f>SUM(G5:G11)</f>
        <v>0</v>
      </c>
      <c r="H12" s="1755">
        <f>SUM(H5:H11)</f>
        <v>38849</v>
      </c>
      <c r="I12" s="1755">
        <f>SUM(I5:I11)</f>
        <v>0</v>
      </c>
      <c r="J12" s="1755">
        <f>SUM(J5:J11)</f>
        <v>457392</v>
      </c>
      <c r="K12" s="1755">
        <f>SUM(K5:K11)</f>
        <v>7903</v>
      </c>
    </row>
    <row r="13" spans="1:11" ht="13.5" thickTop="1" x14ac:dyDescent="0.2">
      <c r="A13" s="2333" t="s">
        <v>367</v>
      </c>
      <c r="B13" s="2334"/>
      <c r="C13" s="2334"/>
      <c r="D13" s="2334"/>
      <c r="E13" s="2335"/>
      <c r="F13" s="634"/>
      <c r="G13" s="1756"/>
      <c r="H13" s="1757"/>
      <c r="I13" s="1758"/>
      <c r="J13" s="1758"/>
      <c r="K13" s="1758"/>
    </row>
    <row r="14" spans="1:11" x14ac:dyDescent="0.2">
      <c r="A14" s="2357" t="s">
        <v>453</v>
      </c>
      <c r="B14" s="2357"/>
      <c r="C14" s="2357"/>
      <c r="D14" s="2357"/>
      <c r="E14" s="2358"/>
      <c r="F14" s="635" t="s">
        <v>849</v>
      </c>
      <c r="G14" s="1753"/>
      <c r="H14" s="1744">
        <v>38849</v>
      </c>
      <c r="I14" s="1749"/>
      <c r="J14" s="1751"/>
      <c r="K14" s="1745">
        <v>7903</v>
      </c>
    </row>
    <row r="15" spans="1:11" x14ac:dyDescent="0.2">
      <c r="A15" s="2322" t="s">
        <v>4</v>
      </c>
      <c r="B15" s="2322"/>
      <c r="C15" s="2322"/>
      <c r="D15" s="2322"/>
      <c r="E15" s="2352"/>
      <c r="F15" s="635" t="s">
        <v>850</v>
      </c>
      <c r="G15" s="1749"/>
      <c r="H15" s="1744"/>
      <c r="I15" s="1744"/>
      <c r="J15" s="1745"/>
      <c r="K15" s="1745"/>
    </row>
    <row r="16" spans="1:11" x14ac:dyDescent="0.2">
      <c r="A16" s="2322" t="s">
        <v>295</v>
      </c>
      <c r="B16" s="2322"/>
      <c r="C16" s="2322"/>
      <c r="D16" s="2322"/>
      <c r="E16" s="2352"/>
      <c r="F16" s="635" t="s">
        <v>917</v>
      </c>
      <c r="G16" s="1750"/>
      <c r="H16" s="1746"/>
      <c r="I16" s="1746"/>
      <c r="J16" s="1748"/>
      <c r="K16" s="1748"/>
    </row>
    <row r="17" spans="1:15" x14ac:dyDescent="0.2">
      <c r="A17" s="2346" t="s">
        <v>929</v>
      </c>
      <c r="B17" s="2346"/>
      <c r="C17" s="2346"/>
      <c r="D17" s="2346"/>
      <c r="E17" s="2347"/>
      <c r="F17" s="636"/>
      <c r="G17" s="1759"/>
      <c r="H17" s="1760"/>
      <c r="I17" s="1760"/>
      <c r="J17" s="1761"/>
      <c r="K17" s="1762"/>
    </row>
    <row r="18" spans="1:15" x14ac:dyDescent="0.2">
      <c r="A18" s="2336" t="s">
        <v>365</v>
      </c>
      <c r="B18" s="2337"/>
      <c r="C18" s="2337"/>
      <c r="D18" s="2337"/>
      <c r="E18" s="2338"/>
      <c r="F18" s="635" t="s">
        <v>926</v>
      </c>
      <c r="G18" s="1753"/>
      <c r="H18" s="1753"/>
      <c r="I18" s="1753"/>
      <c r="J18" s="1745"/>
      <c r="K18" s="1763"/>
    </row>
    <row r="19" spans="1:15" ht="21.75" customHeight="1" x14ac:dyDescent="0.2">
      <c r="A19" s="2359" t="s">
        <v>1786</v>
      </c>
      <c r="B19" s="2359"/>
      <c r="C19" s="2359"/>
      <c r="D19" s="2359"/>
      <c r="E19" s="2360"/>
      <c r="F19" s="635" t="s">
        <v>927</v>
      </c>
      <c r="G19" s="1753"/>
      <c r="H19" s="1753"/>
      <c r="I19" s="1753"/>
      <c r="J19" s="1745">
        <v>457392</v>
      </c>
      <c r="K19" s="1763"/>
    </row>
    <row r="20" spans="1:15" x14ac:dyDescent="0.2">
      <c r="A20" s="2336" t="s">
        <v>1791</v>
      </c>
      <c r="B20" s="2337"/>
      <c r="C20" s="2337"/>
      <c r="D20" s="2337"/>
      <c r="E20" s="2338"/>
      <c r="F20" s="635" t="s">
        <v>928</v>
      </c>
      <c r="G20" s="1753"/>
      <c r="H20" s="1753"/>
      <c r="I20" s="1753"/>
      <c r="J20" s="1745"/>
      <c r="K20" s="1763"/>
    </row>
    <row r="21" spans="1:15" ht="13.5" thickBot="1" x14ac:dyDescent="0.25">
      <c r="A21" s="2342" t="s">
        <v>633</v>
      </c>
      <c r="B21" s="2342"/>
      <c r="C21" s="2342"/>
      <c r="D21" s="2342"/>
      <c r="E21" s="2342"/>
      <c r="F21" s="1434"/>
      <c r="G21" s="1760"/>
      <c r="H21" s="1764"/>
      <c r="I21" s="1764"/>
      <c r="J21" s="1765">
        <f>SUM(J18:J20)</f>
        <v>457392</v>
      </c>
      <c r="K21" s="1761"/>
    </row>
    <row r="22" spans="1:15" ht="13.5" thickTop="1" x14ac:dyDescent="0.2">
      <c r="A22" s="2322" t="s">
        <v>1792</v>
      </c>
      <c r="B22" s="2322"/>
      <c r="C22" s="2322"/>
      <c r="D22" s="2322"/>
      <c r="E22" s="2352"/>
      <c r="F22" s="635" t="s">
        <v>857</v>
      </c>
      <c r="G22" s="1753"/>
      <c r="H22" s="1744"/>
      <c r="I22" s="1744"/>
      <c r="J22" s="1766"/>
      <c r="K22" s="1745"/>
    </row>
    <row r="23" spans="1:15" ht="13.5" thickBot="1" x14ac:dyDescent="0.25">
      <c r="A23" s="2343" t="s">
        <v>900</v>
      </c>
      <c r="B23" s="2342"/>
      <c r="C23" s="2342"/>
      <c r="D23" s="2342"/>
      <c r="E23" s="2342"/>
      <c r="F23" s="1436"/>
      <c r="G23" s="1755">
        <f>SUM(G14:G16,G21,G22)</f>
        <v>0</v>
      </c>
      <c r="H23" s="1755">
        <f>SUM(H14:H16,H21,H22)</f>
        <v>38849</v>
      </c>
      <c r="I23" s="1755">
        <f>SUM(I14:I16,I21,I22)</f>
        <v>0</v>
      </c>
      <c r="J23" s="1755">
        <f>SUM(J14:J16,J21,J22)</f>
        <v>457392</v>
      </c>
      <c r="K23" s="1755">
        <f>SUM(K14:K16,K21,K22)</f>
        <v>7903</v>
      </c>
      <c r="M23" s="1846"/>
      <c r="N23" s="1846"/>
      <c r="O23" s="1846"/>
    </row>
    <row r="24" spans="1:15" ht="14.25" thickTop="1" thickBot="1" x14ac:dyDescent="0.25">
      <c r="A24" s="2344" t="str">
        <f>"Ending Cash Basis Fund Balance as of June 30, "&amp;'AFR20'!E2</f>
        <v>Ending Cash Basis Fund Balance as of June 30, 2020</v>
      </c>
      <c r="B24" s="2345"/>
      <c r="C24" s="2345"/>
      <c r="D24" s="2345"/>
      <c r="E24" s="234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4"/>
      <c r="I31" s="2355"/>
      <c r="J31" s="2355"/>
      <c r="K31" s="2355"/>
    </row>
    <row r="32" spans="1:15" x14ac:dyDescent="0.2">
      <c r="A32" s="649"/>
      <c r="B32" s="232"/>
      <c r="C32" s="232"/>
      <c r="D32" s="232"/>
      <c r="E32" s="645"/>
      <c r="F32" s="651" t="s">
        <v>537</v>
      </c>
      <c r="G32" s="618"/>
      <c r="H32" s="2356"/>
      <c r="I32" s="2355"/>
      <c r="J32" s="2355"/>
      <c r="K32" s="2355"/>
    </row>
    <row r="33" spans="1:11" ht="1.5" customHeight="1" x14ac:dyDescent="0.2">
      <c r="A33" s="652" t="s">
        <v>1159</v>
      </c>
      <c r="B33" s="341"/>
      <c r="C33" s="341"/>
      <c r="D33" s="341"/>
      <c r="E33" s="341"/>
      <c r="F33" s="341"/>
      <c r="G33" s="653"/>
      <c r="H33" s="2356"/>
      <c r="I33" s="2355"/>
      <c r="J33" s="2355"/>
      <c r="K33" s="2355"/>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23"/>
      <c r="C41" s="2323"/>
      <c r="D41" s="2323"/>
      <c r="E41" s="2323"/>
      <c r="F41" s="232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M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1875</v>
      </c>
      <c r="B1" s="2364"/>
      <c r="C1" s="2365"/>
      <c r="D1" s="666"/>
      <c r="E1" s="667"/>
      <c r="F1" s="667"/>
      <c r="G1" s="668"/>
      <c r="H1" s="669"/>
      <c r="I1" s="670"/>
      <c r="J1" s="2361"/>
      <c r="K1" s="2362"/>
      <c r="L1" s="236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505331</v>
      </c>
      <c r="D5" s="1770"/>
      <c r="E5" s="1770"/>
      <c r="F5" s="1765">
        <f>(C5+D5)-E5</f>
        <v>505331</v>
      </c>
      <c r="G5" s="676"/>
      <c r="H5" s="680"/>
      <c r="I5" s="680"/>
      <c r="J5" s="680"/>
      <c r="K5" s="637"/>
      <c r="L5" s="1442">
        <f>F5-K5</f>
        <v>505331</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18908558</v>
      </c>
      <c r="D8" s="1771"/>
      <c r="E8" s="1771"/>
      <c r="F8" s="1765">
        <f>(C8+D8)-E8</f>
        <v>18908558</v>
      </c>
      <c r="G8" s="681">
        <v>50</v>
      </c>
      <c r="H8" s="619">
        <v>5666866</v>
      </c>
      <c r="I8" s="619">
        <v>377747</v>
      </c>
      <c r="J8" s="619"/>
      <c r="K8" s="1442">
        <f>(H8+I8)-J8</f>
        <v>6044613</v>
      </c>
      <c r="L8" s="1442">
        <f>F8-K8</f>
        <v>12863945</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782413</v>
      </c>
      <c r="D10" s="1772">
        <v>715479</v>
      </c>
      <c r="E10" s="1772"/>
      <c r="F10" s="1773">
        <f>(C10+D10)-E10</f>
        <v>1497892</v>
      </c>
      <c r="G10" s="681">
        <v>20</v>
      </c>
      <c r="H10" s="683">
        <v>392555</v>
      </c>
      <c r="I10" s="683">
        <v>66900</v>
      </c>
      <c r="J10" s="683"/>
      <c r="K10" s="1442">
        <f>(H10+I10)-J10</f>
        <v>459455</v>
      </c>
      <c r="L10" s="1442">
        <f>F10-K10</f>
        <v>1038437</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1765522</v>
      </c>
      <c r="D12" s="1771">
        <v>71931</v>
      </c>
      <c r="E12" s="1771"/>
      <c r="F12" s="1765">
        <f>(C12+D12)-E12</f>
        <v>1837453</v>
      </c>
      <c r="G12" s="681">
        <v>10</v>
      </c>
      <c r="H12" s="619">
        <v>1578503</v>
      </c>
      <c r="I12" s="619">
        <v>43503</v>
      </c>
      <c r="J12" s="619"/>
      <c r="K12" s="1442">
        <f>(H12+I12)-J12</f>
        <v>1622006</v>
      </c>
      <c r="L12" s="1442">
        <f>F12-K12</f>
        <v>215447</v>
      </c>
    </row>
    <row r="13" spans="1:14" ht="14.25" thickTop="1" thickBot="1" x14ac:dyDescent="0.25">
      <c r="A13" s="684" t="s">
        <v>1112</v>
      </c>
      <c r="B13" s="679">
        <v>252</v>
      </c>
      <c r="C13" s="1771">
        <v>1155232</v>
      </c>
      <c r="D13" s="1771"/>
      <c r="E13" s="1771"/>
      <c r="F13" s="1765">
        <f>(C13+D13)-E13</f>
        <v>1155232</v>
      </c>
      <c r="G13" s="681">
        <v>5</v>
      </c>
      <c r="H13" s="619">
        <v>882959</v>
      </c>
      <c r="I13" s="619">
        <v>11054</v>
      </c>
      <c r="J13" s="619"/>
      <c r="K13" s="1442">
        <f>(H13+I13)-J13</f>
        <v>894013</v>
      </c>
      <c r="L13" s="1442">
        <f>F13-K13</f>
        <v>261219</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23117056</v>
      </c>
      <c r="D16" s="1765">
        <f>SUM(D3,D5:D6,D8:D10,D12:D15)</f>
        <v>787410</v>
      </c>
      <c r="E16" s="1765">
        <f>SUM(E3,E5:E6,E8:E10,E12:E15)</f>
        <v>0</v>
      </c>
      <c r="F16" s="1765">
        <f>SUM(F3,F5:F6,F8:F10,F12:F15)</f>
        <v>23904466</v>
      </c>
      <c r="G16" s="681"/>
      <c r="H16" s="1435">
        <f>SUM(H3,H6,H8:H10,H12:H14,)</f>
        <v>8520883</v>
      </c>
      <c r="I16" s="1435">
        <f>SUM(I3,I6,I8:I10,I12:I14,)</f>
        <v>499204</v>
      </c>
      <c r="J16" s="1435">
        <f>SUM(J3,J6,J8:J10,J12:J14,)</f>
        <v>0</v>
      </c>
      <c r="K16" s="1435">
        <f>(H16+I16)-J16</f>
        <v>9020087</v>
      </c>
      <c r="L16" s="1435">
        <f>F16-K16</f>
        <v>14884379</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7428</v>
      </c>
      <c r="G17" s="676">
        <v>10</v>
      </c>
      <c r="H17" s="621"/>
      <c r="I17" s="1442">
        <f>F17/G17</f>
        <v>742.8</v>
      </c>
      <c r="J17" s="621"/>
      <c r="K17" s="638"/>
      <c r="L17" s="638"/>
    </row>
    <row r="18" spans="1:12" ht="14.25" thickTop="1" thickBot="1" x14ac:dyDescent="0.25">
      <c r="A18" s="1440" t="s">
        <v>680</v>
      </c>
      <c r="B18" s="1441"/>
      <c r="C18" s="623"/>
      <c r="D18" s="623"/>
      <c r="E18" s="623"/>
      <c r="F18" s="686"/>
      <c r="G18" s="687"/>
      <c r="H18" s="624"/>
      <c r="I18" s="1435">
        <f>SUM(I16,I17)</f>
        <v>499946.8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M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5268334</v>
      </c>
      <c r="G8" s="701"/>
    </row>
    <row r="9" spans="1:9" x14ac:dyDescent="0.2">
      <c r="A9" s="705" t="s">
        <v>457</v>
      </c>
      <c r="B9" s="706" t="s">
        <v>1848</v>
      </c>
      <c r="C9" s="707"/>
      <c r="D9" s="705" t="s">
        <v>498</v>
      </c>
      <c r="E9" s="704"/>
      <c r="F9" s="1775">
        <f>'Expenditures 15-22'!K151</f>
        <v>1153612</v>
      </c>
      <c r="G9" s="708"/>
    </row>
    <row r="10" spans="1:9" x14ac:dyDescent="0.2">
      <c r="A10" s="705" t="s">
        <v>496</v>
      </c>
      <c r="B10" s="706" t="s">
        <v>1849</v>
      </c>
      <c r="C10" s="707"/>
      <c r="D10" s="705" t="s">
        <v>498</v>
      </c>
      <c r="E10" s="704"/>
      <c r="F10" s="1775">
        <f>'Expenditures 15-22'!K174</f>
        <v>1011858</v>
      </c>
      <c r="G10" s="708"/>
    </row>
    <row r="11" spans="1:9" x14ac:dyDescent="0.2">
      <c r="A11" s="705" t="s">
        <v>458</v>
      </c>
      <c r="B11" s="706" t="s">
        <v>1850</v>
      </c>
      <c r="C11" s="707"/>
      <c r="D11" s="705" t="s">
        <v>498</v>
      </c>
      <c r="E11" s="704"/>
      <c r="F11" s="1775">
        <f>'Expenditures 15-22'!K210</f>
        <v>292683</v>
      </c>
      <c r="G11" s="708"/>
    </row>
    <row r="12" spans="1:9" x14ac:dyDescent="0.2">
      <c r="A12" s="705" t="s">
        <v>459</v>
      </c>
      <c r="B12" s="706" t="s">
        <v>1851</v>
      </c>
      <c r="C12" s="707"/>
      <c r="D12" s="705" t="s">
        <v>498</v>
      </c>
      <c r="E12" s="704"/>
      <c r="F12" s="1775">
        <f>'Expenditures 15-22'!K295</f>
        <v>182310</v>
      </c>
      <c r="G12" s="708"/>
    </row>
    <row r="13" spans="1:9" x14ac:dyDescent="0.2">
      <c r="A13" s="705" t="s">
        <v>106</v>
      </c>
      <c r="B13" s="706" t="s">
        <v>1852</v>
      </c>
      <c r="C13" s="707"/>
      <c r="D13" s="705" t="s">
        <v>498</v>
      </c>
      <c r="E13" s="704"/>
      <c r="F13" s="1775">
        <f>'Expenditures 15-22'!K342</f>
        <v>131442</v>
      </c>
      <c r="G13" s="709"/>
    </row>
    <row r="14" spans="1:9" ht="12" customHeight="1" thickBot="1" x14ac:dyDescent="0.25">
      <c r="A14" s="1443"/>
      <c r="B14" s="1444"/>
      <c r="C14" s="1445"/>
      <c r="D14" s="1446" t="s">
        <v>498</v>
      </c>
      <c r="E14" s="1447" t="s">
        <v>952</v>
      </c>
      <c r="F14" s="1776">
        <f>SUM(F8:F13)</f>
        <v>8040239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713</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270107</v>
      </c>
      <c r="G53" s="701"/>
    </row>
    <row r="54" spans="1:7" x14ac:dyDescent="0.2">
      <c r="A54" s="705" t="s">
        <v>456</v>
      </c>
      <c r="B54" s="705" t="s">
        <v>1459</v>
      </c>
      <c r="C54" s="724" t="s">
        <v>975</v>
      </c>
      <c r="D54" s="720" t="s">
        <v>1086</v>
      </c>
      <c r="E54" s="704"/>
      <c r="F54" s="1782">
        <f>'Expenditures 15-22'!G114</f>
        <v>71931</v>
      </c>
      <c r="G54" s="701"/>
    </row>
    <row r="55" spans="1:7" x14ac:dyDescent="0.2">
      <c r="A55" s="705" t="s">
        <v>456</v>
      </c>
      <c r="B55" s="705" t="s">
        <v>1460</v>
      </c>
      <c r="C55" s="724" t="s">
        <v>975</v>
      </c>
      <c r="D55" s="720" t="s">
        <v>288</v>
      </c>
      <c r="E55" s="704"/>
      <c r="F55" s="1782">
        <f>'Expenditures 15-22'!I114</f>
        <v>7428</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715479</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579000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59893</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1704551</v>
      </c>
      <c r="G77" s="701"/>
    </row>
    <row r="78" spans="1:9" s="728" customFormat="1" ht="12" customHeight="1" thickTop="1" thickBot="1" x14ac:dyDescent="0.25">
      <c r="A78" s="1450"/>
      <c r="B78" s="1448"/>
      <c r="C78" s="1445"/>
      <c r="D78" s="1449" t="s">
        <v>2012</v>
      </c>
      <c r="E78" s="1447"/>
      <c r="F78" s="1788">
        <f>(F14-F77)</f>
        <v>6335688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518.9</v>
      </c>
      <c r="G79" s="733"/>
      <c r="H79" s="705"/>
      <c r="I79" s="705"/>
    </row>
    <row r="80" spans="1:9" s="728" customFormat="1" ht="12" customHeight="1" thickBot="1" x14ac:dyDescent="0.25">
      <c r="A80" s="1452"/>
      <c r="B80" s="1448"/>
      <c r="C80" s="1445"/>
      <c r="D80" s="1449" t="s">
        <v>2013</v>
      </c>
      <c r="E80" s="1447" t="s">
        <v>952</v>
      </c>
      <c r="F80" s="1790">
        <f>IF(F79&gt;0,F78/F79," Complete Line 79")</f>
        <v>12209.843900558875</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88220</v>
      </c>
      <c r="G95" s="745"/>
    </row>
    <row r="96" spans="1:7" x14ac:dyDescent="0.2">
      <c r="A96" s="741" t="s">
        <v>139</v>
      </c>
      <c r="B96" s="741" t="s">
        <v>174</v>
      </c>
      <c r="C96" s="743">
        <v>1700</v>
      </c>
      <c r="D96" s="751" t="str">
        <f>'Revenues 9-14'!A82</f>
        <v>Total District/School Activity Income</v>
      </c>
      <c r="E96" s="739"/>
      <c r="F96" s="1793">
        <f>SUM('Revenues 9-14'!C82,'Revenues 9-14'!D82)</f>
        <v>125064</v>
      </c>
      <c r="G96" s="745"/>
    </row>
    <row r="97" spans="1:7" x14ac:dyDescent="0.2">
      <c r="A97" s="741" t="s">
        <v>456</v>
      </c>
      <c r="B97" s="741" t="s">
        <v>175</v>
      </c>
      <c r="C97" s="743">
        <f>'Revenues 9-14'!B84</f>
        <v>1811</v>
      </c>
      <c r="D97" s="744" t="str">
        <f>'Revenues 9-14'!A84</f>
        <v>Rentals - Regular Textbooks</v>
      </c>
      <c r="E97" s="739"/>
      <c r="F97" s="1793">
        <f>'Revenues 9-14'!C84</f>
        <v>28558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6426</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17317</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10745</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768</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5678</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159250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30000</v>
      </c>
      <c r="G121" s="763"/>
    </row>
    <row r="122" spans="1:7" x14ac:dyDescent="0.2">
      <c r="A122" s="760" t="s">
        <v>497</v>
      </c>
      <c r="B122" s="760" t="s">
        <v>1926</v>
      </c>
      <c r="C122" s="761">
        <f>'Revenues 9-14'!B168</f>
        <v>3999</v>
      </c>
      <c r="D122" s="762" t="s">
        <v>540</v>
      </c>
      <c r="E122" s="764"/>
      <c r="F122" s="1793">
        <f>SUM('Revenues 9-14'!C168:G168,'Revenues 9-14'!J168)</f>
        <v>1500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84055</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105553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4023</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126203</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13917</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53047</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53047</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29149</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7158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24475</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14192</v>
      </c>
      <c r="G171" s="760"/>
    </row>
    <row r="172" spans="1:7" x14ac:dyDescent="0.2">
      <c r="A172" s="1529" t="s">
        <v>5</v>
      </c>
      <c r="B172" s="1530" t="s">
        <v>1885</v>
      </c>
      <c r="C172" s="1531">
        <v>3100</v>
      </c>
      <c r="D172" s="1532" t="s">
        <v>1887</v>
      </c>
      <c r="E172" s="739"/>
      <c r="F172" s="1794">
        <v>181441</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1116739</v>
      </c>
    </row>
    <row r="176" spans="1:7" ht="12" customHeight="1" x14ac:dyDescent="0.2">
      <c r="A176" s="1443"/>
      <c r="B176" s="1453"/>
      <c r="C176" s="1454"/>
      <c r="D176" s="1455" t="s">
        <v>2014</v>
      </c>
      <c r="E176" s="1456"/>
      <c r="F176" s="1793">
        <f>'PCTC-OEPP 27-28'!F78-F175</f>
        <v>5218949</v>
      </c>
    </row>
    <row r="177" spans="1:9" ht="12" customHeight="1" x14ac:dyDescent="0.2">
      <c r="A177" s="1443"/>
      <c r="B177" s="1453"/>
      <c r="C177" s="1454"/>
      <c r="D177" s="1455" t="s">
        <v>1794</v>
      </c>
      <c r="E177" s="1456"/>
      <c r="F177" s="1793">
        <f>'Cap Outlay Deprec 26'!I18</f>
        <v>499946.8</v>
      </c>
    </row>
    <row r="178" spans="1:9" ht="12" customHeight="1" x14ac:dyDescent="0.2">
      <c r="A178" s="1443"/>
      <c r="B178" s="1453"/>
      <c r="C178" s="1454"/>
      <c r="D178" s="1455" t="s">
        <v>2015</v>
      </c>
      <c r="E178" s="1456"/>
      <c r="F178" s="1793">
        <f>F176+F177</f>
        <v>5718895.7999999998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518.9</v>
      </c>
      <c r="G179" s="763"/>
      <c r="I179" s="701"/>
    </row>
    <row r="180" spans="1:9" ht="12" customHeight="1" thickBot="1" x14ac:dyDescent="0.25">
      <c r="A180" s="1443"/>
      <c r="B180" s="1457"/>
      <c r="C180" s="1454"/>
      <c r="D180" s="1455" t="s">
        <v>2017</v>
      </c>
      <c r="E180" s="1456" t="s">
        <v>1528</v>
      </c>
      <c r="F180" s="1798">
        <f>F178/F179</f>
        <v>11021.190595490461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sqref="A1:M1"/>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0" t="s">
        <v>1795</v>
      </c>
      <c r="B4" s="2381"/>
      <c r="C4" s="2381"/>
      <c r="D4" s="2381"/>
      <c r="E4" s="2381"/>
      <c r="F4" s="2382"/>
    </row>
    <row r="5" spans="1:6" x14ac:dyDescent="0.25">
      <c r="A5" s="2383"/>
      <c r="B5" s="2384"/>
      <c r="C5" s="2384"/>
      <c r="D5" s="2384"/>
      <c r="E5" s="2384"/>
      <c r="F5" s="2385"/>
    </row>
    <row r="6" spans="1:6" ht="18.75" x14ac:dyDescent="0.25">
      <c r="A6" s="1867" t="s">
        <v>1796</v>
      </c>
      <c r="B6" s="1868"/>
      <c r="C6" s="1869"/>
      <c r="D6" s="1869"/>
      <c r="E6" s="1869"/>
      <c r="F6" s="1870"/>
    </row>
    <row r="7" spans="1:6" ht="47.25" customHeight="1" x14ac:dyDescent="0.25">
      <c r="A7" s="2386" t="s">
        <v>1985</v>
      </c>
      <c r="B7" s="2387"/>
      <c r="C7" s="2387"/>
      <c r="D7" s="2387"/>
      <c r="E7" s="2387"/>
      <c r="F7" s="2388"/>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9" t="s">
        <v>1981</v>
      </c>
      <c r="B10" s="2390"/>
      <c r="C10" s="2390"/>
      <c r="D10" s="2390"/>
      <c r="E10" s="2390"/>
      <c r="F10" s="2391"/>
    </row>
    <row r="11" spans="1:6" ht="33" customHeight="1" x14ac:dyDescent="0.25">
      <c r="A11" s="2386" t="s">
        <v>1986</v>
      </c>
      <c r="B11" s="2387"/>
      <c r="C11" s="2387"/>
      <c r="D11" s="2387"/>
      <c r="E11" s="2387"/>
      <c r="F11" s="2388"/>
    </row>
    <row r="12" spans="1:6" ht="15" customHeight="1" x14ac:dyDescent="0.25">
      <c r="A12" s="1873" t="s">
        <v>1982</v>
      </c>
      <c r="B12" s="1874"/>
      <c r="C12" s="1875"/>
      <c r="D12" s="1875"/>
      <c r="E12" s="1875"/>
      <c r="F12" s="1876"/>
    </row>
    <row r="13" spans="1:6" ht="17.25" customHeight="1" x14ac:dyDescent="0.25">
      <c r="A13" s="2386" t="s">
        <v>1983</v>
      </c>
      <c r="B13" s="2387"/>
      <c r="C13" s="2387"/>
      <c r="D13" s="2387"/>
      <c r="E13" s="2387"/>
      <c r="F13" s="2388"/>
    </row>
    <row r="14" spans="1:6" ht="15" customHeight="1" x14ac:dyDescent="0.25">
      <c r="A14" s="1873" t="s">
        <v>1800</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2074</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sqref="A1:M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69124</v>
      </c>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3554988</v>
      </c>
      <c r="F19" s="1802"/>
      <c r="G19" s="1804">
        <f>'Expenditures 15-22'!K33-SUM('Expenditures 15-22'!G33,'Expenditures 15-22'!I33)+'Expenditures 15-22'!D229</f>
        <v>3554988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171969</v>
      </c>
      <c r="F21" s="1805"/>
      <c r="G21" s="1808">
        <f>'Expenditures 15-22'!K42-SUM('Expenditures 15-22'!G42,'Expenditures 15-22'!I42)+'Expenditures 15-22'!K120-SUM('Expenditures 15-22'!G120,'Expenditures 15-22'!I120)+'Expenditures 15-22'!K180-SUM('Expenditures 15-22'!G180,'Expenditures 15-22'!I180)+'Expenditures 15-22'!D238</f>
        <v>171969</v>
      </c>
      <c r="H21" s="817"/>
      <c r="I21" s="157"/>
    </row>
    <row r="22" spans="1:9" s="542" customFormat="1" ht="12" customHeight="1" x14ac:dyDescent="0.2">
      <c r="A22" s="824" t="s">
        <v>560</v>
      </c>
      <c r="B22" s="825"/>
      <c r="C22" s="823">
        <v>2200</v>
      </c>
      <c r="D22" s="1805"/>
      <c r="E22" s="1807">
        <f>'Expenditures 15-22'!K47-SUM('Expenditures 15-22'!G47,'Expenditures 15-22'!I47)+'Expenditures 15-22'!D243</f>
        <v>200976</v>
      </c>
      <c r="F22" s="1805"/>
      <c r="G22" s="1808">
        <f>'Expenditures 15-22'!K47-SUM('Expenditures 15-22'!G47,'Expenditures 15-22'!I47)+'Expenditures 15-22'!D243</f>
        <v>200976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384452</v>
      </c>
      <c r="F23" s="1805"/>
      <c r="G23" s="1807">
        <f>'Expenditures 15-22'!K53-SUM('Expenditures 15-22'!G53,'Expenditures 15-22'!I53)+'Expenditures 15-22'!D257+'Expenditures 15-22'!K330-SUM('Expenditures 15-22'!G330,'Expenditures 15-22'!I330)</f>
        <v>384452</v>
      </c>
      <c r="H23" s="817"/>
      <c r="I23" s="157"/>
    </row>
    <row r="24" spans="1:9" s="542" customFormat="1" ht="12" customHeight="1" x14ac:dyDescent="0.2">
      <c r="A24" s="824" t="s">
        <v>562</v>
      </c>
      <c r="B24" s="825"/>
      <c r="C24" s="823">
        <v>2400</v>
      </c>
      <c r="D24" s="1805"/>
      <c r="E24" s="1807">
        <f>'Expenditures 15-22'!K57-SUM('Expenditures 15-22'!G57,'Expenditures 15-22'!I57)+'Expenditures 15-22'!D261</f>
        <v>509149</v>
      </c>
      <c r="F24" s="1805"/>
      <c r="G24" s="1808">
        <f>'Expenditures 15-22'!K57-SUM('Expenditures 15-22'!G57,'Expenditures 15-22'!I57)+'Expenditures 15-22'!D261</f>
        <v>509149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67731</v>
      </c>
      <c r="E27" s="1807">
        <f>E8</f>
        <v>0</v>
      </c>
      <c r="F27" s="1807">
        <f>'Expenditures 15-22'!K60-SUM('Expenditures 15-22'!G60,'Expenditures 15-22'!I60)+'Expenditures 15-22'!D264-E8</f>
        <v>67731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592429</v>
      </c>
      <c r="F28" s="1809">
        <f>'Expenditures 15-22'!K61-SUM('Expenditures 15-22'!G61,'Expenditures 15-22'!I61)+'Expenditures 15-22'!K124-SUM('Expenditures 15-22'!G124,'Expenditures 15-22'!I124)+'Expenditures 15-22'!D266-E9</f>
        <v>592429</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251010</v>
      </c>
      <c r="F29" s="1805"/>
      <c r="G29" s="1808">
        <f>'Expenditures 15-22'!K62-SUM('Expenditures 15-22'!G62,'Expenditures 15-22'!I62)+'Expenditures 15-22'!K125-SUM('Expenditures 15-22'!G125,'Expenditures 15-22'!I125)+'Expenditures 15-22'!K182-SUM('Expenditures 15-22'!G182,'Expenditures 15-22'!I182)+'Expenditures 15-22'!D267</f>
        <v>251010</v>
      </c>
      <c r="H29" s="815"/>
    </row>
    <row r="30" spans="1:9" ht="12" customHeight="1" x14ac:dyDescent="0.2">
      <c r="A30" s="824" t="s">
        <v>100</v>
      </c>
      <c r="B30" s="827"/>
      <c r="C30" s="823">
        <v>2560</v>
      </c>
      <c r="D30" s="1805"/>
      <c r="E30" s="1807">
        <f>'Expenditures 15-22'!K63-SUM('Expenditures 15-22'!G63,'Expenditures 15-22'!I63)+'Expenditures 15-22'!D268-E10</f>
        <v>98348</v>
      </c>
      <c r="F30" s="1805"/>
      <c r="G30" s="1807">
        <f>'Expenditures 15-22'!K63-SUM('Expenditures 15-22'!G63,'Expenditures 15-22'!I63)+'Expenditures 15-22'!D268-E10</f>
        <v>98348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67731</v>
      </c>
      <c r="E41" s="1809">
        <f>SUM(E19:E40)</f>
        <v>5763321</v>
      </c>
      <c r="F41" s="1809">
        <f>SUM(F19:F39)</f>
        <v>660160</v>
      </c>
      <c r="G41" s="1809">
        <f>SUM(G19:G40)</f>
        <v>5170892</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67731</v>
      </c>
      <c r="F43" s="1458" t="s">
        <v>470</v>
      </c>
      <c r="G43" s="1810">
        <f>F41</f>
        <v>660160</v>
      </c>
    </row>
    <row r="44" spans="1:7" ht="12" customHeight="1" x14ac:dyDescent="0.2">
      <c r="A44" s="817"/>
      <c r="B44" s="157"/>
      <c r="C44" s="831"/>
      <c r="D44" s="1458" t="s">
        <v>471</v>
      </c>
      <c r="E44" s="1810">
        <f>E41</f>
        <v>5763321</v>
      </c>
      <c r="F44" s="1458" t="s">
        <v>471</v>
      </c>
      <c r="G44" s="1810">
        <f>G41</f>
        <v>5170892</v>
      </c>
    </row>
    <row r="45" spans="1:7" ht="12" customHeight="1" x14ac:dyDescent="0.2">
      <c r="A45" s="817"/>
      <c r="B45" s="157"/>
      <c r="C45" s="157"/>
      <c r="D45" s="1459" t="s">
        <v>999</v>
      </c>
      <c r="E45" s="1811">
        <f>(E43/E44)</f>
        <v>1.1752078358987813E-2</v>
      </c>
      <c r="F45" s="1459" t="s">
        <v>999</v>
      </c>
      <c r="G45" s="1811">
        <f>(G43/G44)</f>
        <v>0.12766849510684036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M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3" t="s">
        <v>1363</v>
      </c>
      <c r="B1" s="2403"/>
      <c r="C1" s="2403"/>
      <c r="D1" s="2403"/>
      <c r="E1" s="2403"/>
      <c r="F1" s="240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4" t="s">
        <v>1529</v>
      </c>
      <c r="B5" s="2405"/>
      <c r="C5" s="2406"/>
      <c r="D5" s="2406"/>
      <c r="E5" s="2406"/>
      <c r="F5" s="2406"/>
      <c r="G5" s="1507"/>
      <c r="L5" s="1507"/>
      <c r="M5" s="1855"/>
      <c r="N5" s="1855"/>
      <c r="O5" s="1855"/>
    </row>
    <row r="6" spans="1:15" ht="12" customHeight="1" x14ac:dyDescent="0.25">
      <c r="A6" s="1480"/>
      <c r="B6" s="1481"/>
      <c r="C6" s="2407" t="str">
        <f>COVER!A17</f>
        <v xml:space="preserve"> Fisher CUSD 1  </v>
      </c>
      <c r="D6" s="2407"/>
      <c r="E6" s="2407"/>
      <c r="F6" s="1482"/>
      <c r="G6" s="1507"/>
      <c r="L6" s="1507"/>
      <c r="M6" s="1855"/>
      <c r="N6" s="1855"/>
      <c r="O6" s="1855"/>
    </row>
    <row r="7" spans="1:15" ht="11.25" customHeight="1" thickBot="1" x14ac:dyDescent="0.3">
      <c r="A7" s="1480"/>
      <c r="B7" s="1481"/>
      <c r="C7" s="2408">
        <f>COVER!A13</f>
        <v>9010001026</v>
      </c>
      <c r="D7" s="2408"/>
      <c r="E7" s="240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2076</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t="s">
        <v>2051</v>
      </c>
      <c r="F31" s="1497" t="s">
        <v>2075</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09"/>
      <c r="D35" s="2409"/>
      <c r="E35" s="2409"/>
      <c r="F35" s="2410"/>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14"/>
      <c r="B38" s="2415"/>
      <c r="C38" s="2415"/>
      <c r="D38" s="2415"/>
      <c r="E38" s="2415"/>
      <c r="F38" s="2416"/>
    </row>
    <row r="39" spans="1:15" ht="4.5" hidden="1" customHeight="1" x14ac:dyDescent="0.2">
      <c r="A39" s="1502"/>
      <c r="B39" s="1502"/>
      <c r="C39" s="1502"/>
      <c r="D39" s="1502"/>
      <c r="E39" s="1502"/>
      <c r="F39" s="1502"/>
    </row>
    <row r="40" spans="1:15" s="1499" customFormat="1" ht="12" customHeight="1" x14ac:dyDescent="0.25">
      <c r="A40" s="1503" t="s">
        <v>1375</v>
      </c>
      <c r="B40" s="1504"/>
      <c r="C40" s="2417"/>
      <c r="D40" s="2417"/>
      <c r="E40" s="2417"/>
      <c r="F40" s="2418"/>
      <c r="H40" s="1508"/>
      <c r="I40" s="1508"/>
      <c r="J40" s="1508"/>
      <c r="K40" s="1508"/>
    </row>
    <row r="41" spans="1:15" s="1499" customFormat="1" ht="12" customHeight="1" x14ac:dyDescent="0.25">
      <c r="A41" s="2419"/>
      <c r="B41" s="2420"/>
      <c r="C41" s="2420"/>
      <c r="D41" s="2420"/>
      <c r="E41" s="2420"/>
      <c r="F41" s="2421"/>
      <c r="H41" s="1508"/>
      <c r="I41" s="1508"/>
      <c r="J41" s="1508"/>
      <c r="K41" s="1508"/>
    </row>
    <row r="42" spans="1:15" s="1499" customFormat="1" ht="12" customHeight="1" x14ac:dyDescent="0.25">
      <c r="A42" s="2419"/>
      <c r="B42" s="2420"/>
      <c r="C42" s="2420"/>
      <c r="D42" s="2420"/>
      <c r="E42" s="2420"/>
      <c r="F42" s="2421"/>
      <c r="H42" s="1508"/>
      <c r="I42" s="1508"/>
      <c r="J42" s="1508"/>
      <c r="K42" s="1508"/>
    </row>
    <row r="43" spans="1:15" s="1499" customFormat="1" ht="15" x14ac:dyDescent="0.25">
      <c r="A43" s="2411"/>
      <c r="B43" s="2412"/>
      <c r="C43" s="2412"/>
      <c r="D43" s="2412"/>
      <c r="E43" s="2412"/>
      <c r="F43" s="2413"/>
      <c r="H43" s="1508"/>
      <c r="I43" s="1508"/>
      <c r="J43" s="1508"/>
      <c r="K43" s="1508"/>
    </row>
    <row r="44" spans="1:15" s="1499" customFormat="1" ht="12" hidden="1" customHeight="1" x14ac:dyDescent="0.25">
      <c r="A44" s="2411"/>
      <c r="B44" s="2412"/>
      <c r="C44" s="2412"/>
      <c r="D44" s="2412"/>
      <c r="E44" s="2412"/>
      <c r="F44" s="241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sqref="A1:M1"/>
    </sheetView>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3" t="str">
        <f>COVER!A17</f>
        <v xml:space="preserve"> Fisher CUSD 1  </v>
      </c>
      <c r="K6" s="2423"/>
      <c r="L6" s="2424"/>
      <c r="M6" s="838"/>
      <c r="N6" s="1999"/>
    </row>
    <row r="7" spans="1:14" x14ac:dyDescent="0.2">
      <c r="A7" s="2425" t="s">
        <v>864</v>
      </c>
      <c r="B7" s="2426"/>
      <c r="C7" s="2426"/>
      <c r="D7" s="2426"/>
      <c r="E7" s="2427"/>
      <c r="F7" s="839"/>
      <c r="G7" s="838"/>
      <c r="H7" s="838"/>
      <c r="I7" s="1925" t="s">
        <v>369</v>
      </c>
      <c r="J7" s="2428">
        <f>COVER!A13</f>
        <v>9010001026</v>
      </c>
      <c r="K7" s="2428"/>
      <c r="L7" s="2428"/>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9" t="s">
        <v>478</v>
      </c>
      <c r="B11" s="2430"/>
      <c r="C11" s="2431"/>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201492</v>
      </c>
      <c r="F12" s="1943"/>
      <c r="G12" s="1969">
        <f>G68</f>
        <v>0</v>
      </c>
      <c r="H12" s="1945">
        <f t="shared" ref="H12:H18" si="0">SUM(E12:G12)</f>
        <v>201492</v>
      </c>
      <c r="I12" s="1944">
        <v>209899</v>
      </c>
      <c r="J12" s="1943"/>
      <c r="K12" s="1944"/>
      <c r="L12" s="1945">
        <f t="shared" ref="L12:L18" si="1">SUM(I12:K12)</f>
        <v>209899</v>
      </c>
      <c r="M12" s="838"/>
      <c r="N12" s="1999"/>
    </row>
    <row r="13" spans="1:14" x14ac:dyDescent="0.2">
      <c r="A13" s="2004">
        <v>2</v>
      </c>
      <c r="B13" s="1941" t="s">
        <v>42</v>
      </c>
      <c r="C13" s="842"/>
      <c r="D13" s="1942">
        <v>2330</v>
      </c>
      <c r="E13" s="1945">
        <f>'Expenditures 15-22'!K51</f>
        <v>0</v>
      </c>
      <c r="F13" s="1943"/>
      <c r="G13" s="1969">
        <f>H68</f>
        <v>0</v>
      </c>
      <c r="H13" s="1945">
        <f t="shared" si="0"/>
        <v>0</v>
      </c>
      <c r="I13" s="1944">
        <v>50</v>
      </c>
      <c r="J13" s="1943"/>
      <c r="K13" s="1944"/>
      <c r="L13" s="1945">
        <f t="shared" si="1"/>
        <v>50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2" t="s">
        <v>7</v>
      </c>
      <c r="C18" s="2433"/>
      <c r="D18" s="2434"/>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201492</v>
      </c>
      <c r="F19" s="1951">
        <f t="shared" si="2"/>
        <v>0</v>
      </c>
      <c r="G19" s="1951">
        <f t="shared" ref="G19" si="3">SUM(G12:G17)-G18</f>
        <v>0</v>
      </c>
      <c r="H19" s="1951">
        <f t="shared" si="2"/>
        <v>201492</v>
      </c>
      <c r="I19" s="1951">
        <f t="shared" si="2"/>
        <v>209949</v>
      </c>
      <c r="J19" s="1951">
        <f t="shared" si="2"/>
        <v>0</v>
      </c>
      <c r="K19" s="1951">
        <f t="shared" si="2"/>
        <v>0</v>
      </c>
      <c r="L19" s="1951">
        <f t="shared" si="2"/>
        <v>209949</v>
      </c>
      <c r="M19" s="838"/>
      <c r="N19" s="1999"/>
    </row>
    <row r="20" spans="1:14" ht="13.5" thickTop="1" x14ac:dyDescent="0.2">
      <c r="A20" s="2004">
        <v>9</v>
      </c>
      <c r="B20" s="2435" t="s">
        <v>2021</v>
      </c>
      <c r="C20" s="2435"/>
      <c r="D20" s="2436"/>
      <c r="E20" s="1952"/>
      <c r="F20" s="1952"/>
      <c r="G20" s="1952"/>
      <c r="H20" s="1952"/>
      <c r="I20" s="1952"/>
      <c r="J20" s="1952"/>
      <c r="K20" s="1952"/>
      <c r="L20" s="1953">
        <f>IF(AND(H19&gt;0,L19&gt;0),(((L19-H19)/H19)),"Enter Budget Data")</f>
        <v>4.1971889702816984E-2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7"/>
      <c r="D27" s="2437"/>
      <c r="E27" s="843"/>
      <c r="F27" s="2438"/>
      <c r="G27" s="2438"/>
      <c r="H27" s="2438"/>
      <c r="I27" s="838"/>
      <c r="J27" s="838"/>
      <c r="K27" s="838"/>
      <c r="L27" s="838"/>
      <c r="M27" s="838"/>
      <c r="N27" s="1999"/>
    </row>
    <row r="28" spans="1:14" x14ac:dyDescent="0.2">
      <c r="A28" s="1998"/>
      <c r="B28" s="2008"/>
      <c r="C28" s="1958" t="s">
        <v>1026</v>
      </c>
      <c r="D28" s="844"/>
      <c r="E28" s="1959"/>
      <c r="F28" s="2439" t="s">
        <v>1492</v>
      </c>
      <c r="G28" s="2439"/>
      <c r="H28" s="2439"/>
      <c r="I28" s="838"/>
      <c r="J28" s="838"/>
      <c r="K28" s="838"/>
      <c r="L28" s="838"/>
      <c r="M28" s="838"/>
      <c r="N28" s="1999"/>
    </row>
    <row r="29" spans="1:14" x14ac:dyDescent="0.2">
      <c r="A29" s="1998"/>
      <c r="B29" s="2008"/>
      <c r="C29" s="2440"/>
      <c r="D29" s="2440"/>
      <c r="E29" s="845"/>
      <c r="F29" s="2440"/>
      <c r="G29" s="2440"/>
      <c r="H29" s="2440"/>
      <c r="I29" s="838"/>
      <c r="J29" s="838"/>
      <c r="K29" s="838"/>
      <c r="L29" s="838"/>
      <c r="M29" s="838"/>
      <c r="N29" s="1999"/>
    </row>
    <row r="30" spans="1:14" x14ac:dyDescent="0.2">
      <c r="A30" s="1998"/>
      <c r="B30" s="2008"/>
      <c r="C30" s="1961" t="s">
        <v>1544</v>
      </c>
      <c r="D30" s="838"/>
      <c r="E30" s="1960"/>
      <c r="F30" s="2422" t="s">
        <v>1493</v>
      </c>
      <c r="G30" s="2422"/>
      <c r="H30" s="2422"/>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3" t="s">
        <v>2024</v>
      </c>
      <c r="D34" s="2444"/>
      <c r="E34" s="2444"/>
      <c r="F34" s="2444"/>
      <c r="G34" s="2444"/>
      <c r="H34" s="2444"/>
      <c r="I34" s="2444"/>
      <c r="J34" s="2444"/>
      <c r="K34" s="2017"/>
      <c r="L34" s="838"/>
      <c r="M34" s="838"/>
      <c r="N34" s="1999"/>
    </row>
    <row r="35" spans="1:14" x14ac:dyDescent="0.2">
      <c r="A35" s="1998"/>
      <c r="B35" s="838"/>
      <c r="C35" s="2444"/>
      <c r="D35" s="2444"/>
      <c r="E35" s="2444"/>
      <c r="F35" s="2444"/>
      <c r="G35" s="2444"/>
      <c r="H35" s="2444"/>
      <c r="I35" s="2444"/>
      <c r="J35" s="2444"/>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3" t="s">
        <v>2025</v>
      </c>
      <c r="D37" s="2444"/>
      <c r="E37" s="2444"/>
      <c r="F37" s="2444"/>
      <c r="G37" s="2444"/>
      <c r="H37" s="2444"/>
      <c r="I37" s="2444"/>
      <c r="J37" s="2444"/>
      <c r="K37" s="2017"/>
      <c r="L37" s="2019"/>
      <c r="M37" s="838"/>
      <c r="N37" s="1999"/>
    </row>
    <row r="38" spans="1:14" x14ac:dyDescent="0.2">
      <c r="A38" s="1998"/>
      <c r="B38" s="838"/>
      <c r="C38" s="2444"/>
      <c r="D38" s="2444"/>
      <c r="E38" s="2444"/>
      <c r="F38" s="2444"/>
      <c r="G38" s="2444"/>
      <c r="H38" s="2444"/>
      <c r="I38" s="2444"/>
      <c r="J38" s="2444"/>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5" t="s">
        <v>2026</v>
      </c>
      <c r="D40" s="2446"/>
      <c r="E40" s="2446"/>
      <c r="F40" s="2446"/>
      <c r="G40" s="2446"/>
      <c r="H40" s="2446"/>
      <c r="I40" s="2446"/>
      <c r="J40" s="2446"/>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7" t="s">
        <v>2027</v>
      </c>
      <c r="B43" s="2448"/>
      <c r="C43" s="2448"/>
      <c r="D43" s="2448"/>
      <c r="E43" s="2448"/>
      <c r="F43" s="2448"/>
      <c r="G43" s="2448"/>
      <c r="H43" s="2448"/>
      <c r="I43" s="2448"/>
      <c r="J43" s="2448"/>
      <c r="K43" s="2448"/>
      <c r="L43" s="2448"/>
      <c r="M43" s="2448"/>
      <c r="N43" s="2449"/>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50" t="s">
        <v>2029</v>
      </c>
      <c r="B46" s="2451"/>
      <c r="C46" s="2451"/>
      <c r="D46" s="2451"/>
      <c r="E46" s="2451"/>
      <c r="F46" s="2451"/>
      <c r="G46" s="2451"/>
      <c r="H46" s="2451"/>
      <c r="I46" s="2451"/>
      <c r="J46" s="2451"/>
      <c r="K46" s="2451"/>
      <c r="L46" s="2451"/>
      <c r="M46" s="2451"/>
      <c r="N46" s="2452"/>
    </row>
    <row r="47" spans="1:14" x14ac:dyDescent="0.2">
      <c r="A47" s="2450"/>
      <c r="B47" s="2451"/>
      <c r="C47" s="2451"/>
      <c r="D47" s="2451"/>
      <c r="E47" s="2451"/>
      <c r="F47" s="2451"/>
      <c r="G47" s="2451"/>
      <c r="H47" s="2451"/>
      <c r="I47" s="2451"/>
      <c r="J47" s="2451"/>
      <c r="K47" s="2451"/>
      <c r="L47" s="2451"/>
      <c r="M47" s="2451"/>
      <c r="N47" s="2452"/>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3" t="str">
        <f>J6</f>
        <v xml:space="preserve"> Fisher CUSD 1  </v>
      </c>
      <c r="M52" s="2423"/>
      <c r="N52" s="2453"/>
    </row>
    <row r="53" spans="1:14" x14ac:dyDescent="0.2">
      <c r="A53" s="1983"/>
      <c r="B53" s="1984"/>
      <c r="C53" s="1984"/>
      <c r="D53" s="1984"/>
      <c r="E53" s="1984"/>
      <c r="F53" s="1984"/>
      <c r="G53" s="1984"/>
      <c r="H53" s="1984"/>
      <c r="I53" s="1984"/>
      <c r="J53" s="1984"/>
      <c r="K53" s="1925" t="s">
        <v>369</v>
      </c>
      <c r="L53" s="2428">
        <f>J7</f>
        <v>9010001026</v>
      </c>
      <c r="M53" s="2428"/>
      <c r="N53" s="2454"/>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5"/>
      <c r="B55" s="2456"/>
      <c r="C55" s="2456"/>
      <c r="D55" s="1971"/>
      <c r="E55" s="1971"/>
      <c r="F55" s="1971"/>
      <c r="G55" s="2457" t="s">
        <v>2030</v>
      </c>
      <c r="H55" s="2457"/>
      <c r="I55" s="2457"/>
      <c r="J55" s="2457"/>
      <c r="K55" s="2457"/>
      <c r="L55" s="2457"/>
      <c r="M55" s="2457"/>
      <c r="N55" s="2458"/>
    </row>
    <row r="56" spans="1:14" ht="63.75" x14ac:dyDescent="0.2">
      <c r="A56" s="2459" t="s">
        <v>2031</v>
      </c>
      <c r="B56" s="2460"/>
      <c r="C56" s="2461"/>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62" t="s">
        <v>296</v>
      </c>
      <c r="B57" s="2463"/>
      <c r="C57" s="2463"/>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41" t="s">
        <v>2041</v>
      </c>
      <c r="B58" s="2442"/>
      <c r="C58" s="2442"/>
      <c r="D58" s="1968">
        <v>2362</v>
      </c>
      <c r="E58" s="1978">
        <f>'Expenditures 15-22'!K320</f>
        <v>26578</v>
      </c>
      <c r="F58" s="1973"/>
      <c r="G58" s="2032"/>
      <c r="H58" s="2033"/>
      <c r="I58" s="2033"/>
      <c r="J58" s="2033"/>
      <c r="K58" s="2033"/>
      <c r="L58" s="2033"/>
      <c r="M58" s="2033"/>
      <c r="N58" s="1976" t="str">
        <f>IF((SUM(G58:M58))=E58,SUM(G58:M58),"Column N does not agree with Column E")</f>
        <v>Column N does not agree with Column E</v>
      </c>
    </row>
    <row r="59" spans="1:14" ht="24.75" customHeight="1" x14ac:dyDescent="0.2">
      <c r="A59" s="2464" t="s">
        <v>297</v>
      </c>
      <c r="B59" s="2465"/>
      <c r="C59" s="2465"/>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64" t="s">
        <v>236</v>
      </c>
      <c r="B60" s="2465"/>
      <c r="C60" s="2465"/>
      <c r="D60" s="1968">
        <v>2364</v>
      </c>
      <c r="E60" s="1978">
        <f>'Expenditures 15-22'!K322</f>
        <v>104864</v>
      </c>
      <c r="F60" s="1973"/>
      <c r="G60" s="2032"/>
      <c r="H60" s="2033"/>
      <c r="I60" s="2033"/>
      <c r="J60" s="2033"/>
      <c r="K60" s="2033"/>
      <c r="L60" s="2033"/>
      <c r="M60" s="2033"/>
      <c r="N60" s="1976" t="str">
        <f t="shared" ref="N60:N67" si="4">IF((SUM(G60:M60))=E60,SUM(G60:M60),"Column N does not agree with Column E")</f>
        <v>Column N does not agree with Column E</v>
      </c>
    </row>
    <row r="61" spans="1:14" ht="24.75" customHeight="1" x14ac:dyDescent="0.2">
      <c r="A61" s="2464" t="s">
        <v>697</v>
      </c>
      <c r="B61" s="2465"/>
      <c r="C61" s="2465"/>
      <c r="D61" s="1968">
        <v>2365</v>
      </c>
      <c r="E61" s="1978">
        <f>'Expenditures 15-22'!K323</f>
        <v>0</v>
      </c>
      <c r="F61" s="1973"/>
      <c r="G61" s="2032"/>
      <c r="H61" s="2033"/>
      <c r="I61" s="2033"/>
      <c r="J61" s="2033"/>
      <c r="K61" s="2033"/>
      <c r="L61" s="2033"/>
      <c r="M61" s="2033"/>
      <c r="N61" s="1976">
        <f t="shared" si="4"/>
        <v>0</v>
      </c>
    </row>
    <row r="62" spans="1:14" ht="24" customHeight="1" x14ac:dyDescent="0.2">
      <c r="A62" s="2464" t="s">
        <v>237</v>
      </c>
      <c r="B62" s="2465"/>
      <c r="C62" s="2465"/>
      <c r="D62" s="1968">
        <v>2366</v>
      </c>
      <c r="E62" s="1978">
        <f>'Expenditures 15-22'!K324</f>
        <v>0</v>
      </c>
      <c r="F62" s="1973"/>
      <c r="G62" s="2032"/>
      <c r="H62" s="2033"/>
      <c r="I62" s="2033"/>
      <c r="J62" s="2033"/>
      <c r="K62" s="2033"/>
      <c r="L62" s="2033"/>
      <c r="M62" s="2033"/>
      <c r="N62" s="1976">
        <f t="shared" si="4"/>
        <v>0</v>
      </c>
    </row>
    <row r="63" spans="1:14" ht="24" customHeight="1" x14ac:dyDescent="0.2">
      <c r="A63" s="2441" t="s">
        <v>1022</v>
      </c>
      <c r="B63" s="2442"/>
      <c r="C63" s="2442"/>
      <c r="D63" s="1968">
        <v>2367</v>
      </c>
      <c r="E63" s="1978">
        <f>'Expenditures 15-22'!K325</f>
        <v>0</v>
      </c>
      <c r="F63" s="1973"/>
      <c r="G63" s="2032"/>
      <c r="H63" s="2033"/>
      <c r="I63" s="2033"/>
      <c r="J63" s="2033"/>
      <c r="K63" s="2033"/>
      <c r="L63" s="2033"/>
      <c r="M63" s="2033"/>
      <c r="N63" s="1976">
        <f t="shared" si="4"/>
        <v>0</v>
      </c>
    </row>
    <row r="64" spans="1:14" ht="24" customHeight="1" x14ac:dyDescent="0.2">
      <c r="A64" s="2464" t="s">
        <v>1023</v>
      </c>
      <c r="B64" s="2465"/>
      <c r="C64" s="2465"/>
      <c r="D64" s="1968">
        <v>2368</v>
      </c>
      <c r="E64" s="1978">
        <f>'Expenditures 15-22'!K326</f>
        <v>0</v>
      </c>
      <c r="F64" s="1973"/>
      <c r="G64" s="2032"/>
      <c r="H64" s="2033"/>
      <c r="I64" s="2033"/>
      <c r="J64" s="2033"/>
      <c r="K64" s="2033"/>
      <c r="L64" s="2033"/>
      <c r="M64" s="2033"/>
      <c r="N64" s="1976">
        <f t="shared" si="4"/>
        <v>0</v>
      </c>
    </row>
    <row r="65" spans="1:14" ht="24" customHeight="1" x14ac:dyDescent="0.2">
      <c r="A65" s="2464" t="s">
        <v>965</v>
      </c>
      <c r="B65" s="2465"/>
      <c r="C65" s="2465"/>
      <c r="D65" s="1968">
        <v>2369</v>
      </c>
      <c r="E65" s="1978">
        <f>'Expenditures 15-22'!K327</f>
        <v>0</v>
      </c>
      <c r="F65" s="1973"/>
      <c r="G65" s="2032"/>
      <c r="H65" s="2033"/>
      <c r="I65" s="2033"/>
      <c r="J65" s="2033"/>
      <c r="K65" s="2033"/>
      <c r="L65" s="2033"/>
      <c r="M65" s="2033"/>
      <c r="N65" s="1976">
        <f t="shared" si="4"/>
        <v>0</v>
      </c>
    </row>
    <row r="66" spans="1:14" ht="24" customHeight="1" x14ac:dyDescent="0.2">
      <c r="A66" s="2464" t="s">
        <v>469</v>
      </c>
      <c r="B66" s="2465"/>
      <c r="C66" s="2465"/>
      <c r="D66" s="1968">
        <v>2371</v>
      </c>
      <c r="E66" s="1978">
        <f>'Expenditures 15-22'!K328</f>
        <v>0</v>
      </c>
      <c r="F66" s="1973"/>
      <c r="G66" s="2032"/>
      <c r="H66" s="2033"/>
      <c r="I66" s="2033"/>
      <c r="J66" s="2033"/>
      <c r="K66" s="2033"/>
      <c r="L66" s="2033"/>
      <c r="M66" s="2033"/>
      <c r="N66" s="1976">
        <f t="shared" si="4"/>
        <v>0</v>
      </c>
    </row>
    <row r="67" spans="1:14" ht="24.75" customHeight="1" x14ac:dyDescent="0.2">
      <c r="A67" s="2466" t="s">
        <v>2042</v>
      </c>
      <c r="B67" s="2467"/>
      <c r="C67" s="2467"/>
      <c r="D67" s="1970">
        <v>2372</v>
      </c>
      <c r="E67" s="1979">
        <f>'Expenditures 15-22'!K329</f>
        <v>0</v>
      </c>
      <c r="F67" s="1973"/>
      <c r="G67" s="2034"/>
      <c r="H67" s="2035"/>
      <c r="I67" s="2035"/>
      <c r="J67" s="2035"/>
      <c r="K67" s="2035"/>
      <c r="L67" s="2035"/>
      <c r="M67" s="2035"/>
      <c r="N67" s="1976">
        <f t="shared" si="4"/>
        <v>0</v>
      </c>
    </row>
    <row r="68" spans="1:14" x14ac:dyDescent="0.2">
      <c r="A68" s="2468" t="s">
        <v>1151</v>
      </c>
      <c r="B68" s="2469"/>
      <c r="C68" s="2469"/>
      <c r="D68" s="1971"/>
      <c r="E68" s="1975">
        <f>SUM(E57:E67)</f>
        <v>131442</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sqref="A1:M1"/>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7" t="s">
        <v>2077</v>
      </c>
    </row>
    <row r="6" spans="1:2" x14ac:dyDescent="0.2">
      <c r="A6" s="847"/>
      <c r="B6" s="2038" t="s">
        <v>2080</v>
      </c>
    </row>
    <row r="7" spans="1:2" x14ac:dyDescent="0.2">
      <c r="A7" s="847"/>
      <c r="B7" s="307" t="s">
        <v>2078</v>
      </c>
    </row>
    <row r="8" spans="1:2" x14ac:dyDescent="0.2">
      <c r="A8" s="847"/>
    </row>
    <row r="9" spans="1:2" x14ac:dyDescent="0.2">
      <c r="A9" s="848">
        <v>2</v>
      </c>
      <c r="B9" s="2037" t="s">
        <v>2079</v>
      </c>
    </row>
    <row r="10" spans="1:2" x14ac:dyDescent="0.2">
      <c r="A10" s="848"/>
      <c r="B10" s="2038" t="s">
        <v>2080</v>
      </c>
    </row>
    <row r="11" spans="1:2" x14ac:dyDescent="0.2">
      <c r="A11" s="848"/>
      <c r="B11" s="307" t="s">
        <v>2081</v>
      </c>
    </row>
    <row r="12" spans="1:2" x14ac:dyDescent="0.2">
      <c r="A12" s="848"/>
      <c r="B12" s="2038" t="s">
        <v>2082</v>
      </c>
    </row>
    <row r="13" spans="1:2" x14ac:dyDescent="0.2">
      <c r="A13" s="848"/>
      <c r="B13" s="307" t="s">
        <v>2084</v>
      </c>
    </row>
    <row r="14" spans="1:2" x14ac:dyDescent="0.2">
      <c r="A14" s="848"/>
      <c r="B14" s="2038" t="s">
        <v>2083</v>
      </c>
    </row>
    <row r="15" spans="1:2" x14ac:dyDescent="0.2">
      <c r="A15" s="848"/>
      <c r="B15" s="307" t="s">
        <v>2085</v>
      </c>
    </row>
    <row r="16" spans="1:2" x14ac:dyDescent="0.2">
      <c r="A16" s="848"/>
    </row>
    <row r="17" spans="1:2" x14ac:dyDescent="0.2">
      <c r="A17" s="848">
        <v>3</v>
      </c>
      <c r="B17" s="2037" t="s">
        <v>2086</v>
      </c>
    </row>
    <row r="18" spans="1:2" x14ac:dyDescent="0.2">
      <c r="A18" s="848"/>
      <c r="B18" s="2038" t="s">
        <v>2087</v>
      </c>
    </row>
    <row r="19" spans="1:2" x14ac:dyDescent="0.2">
      <c r="A19" s="848"/>
      <c r="B19" s="307" t="s">
        <v>2088</v>
      </c>
    </row>
    <row r="20" spans="1:2" x14ac:dyDescent="0.2">
      <c r="A20" s="848"/>
    </row>
    <row r="21" spans="1:2" x14ac:dyDescent="0.2">
      <c r="A21" s="848">
        <v>4</v>
      </c>
      <c r="B21" s="2037" t="s">
        <v>2089</v>
      </c>
    </row>
    <row r="22" spans="1:2" x14ac:dyDescent="0.2">
      <c r="A22" s="848"/>
      <c r="B22" s="2038" t="s">
        <v>2080</v>
      </c>
    </row>
    <row r="23" spans="1:2" x14ac:dyDescent="0.2">
      <c r="A23" s="848"/>
      <c r="B23" s="307" t="s">
        <v>2090</v>
      </c>
    </row>
    <row r="24" spans="1:2" x14ac:dyDescent="0.2">
      <c r="A24" s="848"/>
    </row>
    <row r="25" spans="1:2" x14ac:dyDescent="0.2">
      <c r="A25" s="848">
        <v>5</v>
      </c>
      <c r="B25" s="2037" t="s">
        <v>2091</v>
      </c>
    </row>
    <row r="26" spans="1:2" x14ac:dyDescent="0.2">
      <c r="A26" s="848"/>
      <c r="B26" s="2038" t="s">
        <v>2080</v>
      </c>
    </row>
    <row r="27" spans="1:2" x14ac:dyDescent="0.2">
      <c r="A27" s="848"/>
      <c r="B27" s="307" t="s">
        <v>2092</v>
      </c>
    </row>
    <row r="28" spans="1:2" x14ac:dyDescent="0.2">
      <c r="A28" s="848"/>
    </row>
    <row r="29" spans="1:2" x14ac:dyDescent="0.2">
      <c r="A29" s="848">
        <v>6</v>
      </c>
      <c r="B29" s="2037" t="s">
        <v>2093</v>
      </c>
    </row>
    <row r="30" spans="1:2" x14ac:dyDescent="0.2">
      <c r="A30" s="848"/>
      <c r="B30" s="307" t="s">
        <v>2094</v>
      </c>
    </row>
    <row r="31" spans="1:2" x14ac:dyDescent="0.2">
      <c r="A31" s="848"/>
    </row>
    <row r="32" spans="1:2" x14ac:dyDescent="0.2">
      <c r="A32" s="848">
        <v>7</v>
      </c>
      <c r="B32" s="2037" t="s">
        <v>2095</v>
      </c>
    </row>
    <row r="33" spans="1:2" x14ac:dyDescent="0.2">
      <c r="A33" s="848"/>
      <c r="B33" s="2038" t="s">
        <v>2096</v>
      </c>
    </row>
    <row r="34" spans="1:2" x14ac:dyDescent="0.2">
      <c r="A34" s="848"/>
      <c r="B34" s="307" t="s">
        <v>2097</v>
      </c>
    </row>
    <row r="35" spans="1:2" x14ac:dyDescent="0.2">
      <c r="A35" s="848"/>
      <c r="B35" s="2038" t="s">
        <v>2098</v>
      </c>
    </row>
    <row r="36" spans="1:2" x14ac:dyDescent="0.2">
      <c r="A36" s="848"/>
      <c r="B36" s="307" t="s">
        <v>2099</v>
      </c>
    </row>
    <row r="37" spans="1:2" x14ac:dyDescent="0.2">
      <c r="A37" s="848"/>
    </row>
    <row r="38" spans="1:2" x14ac:dyDescent="0.2">
      <c r="A38" s="848"/>
    </row>
    <row r="39" spans="1:2" x14ac:dyDescent="0.2">
      <c r="A39" s="848"/>
    </row>
    <row r="40" spans="1:2" x14ac:dyDescent="0.2">
      <c r="A40" s="848"/>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Fisher CUSD 1  </v>
      </c>
    </row>
    <row r="65" spans="2:2" x14ac:dyDescent="0.2">
      <c r="B65" s="849">
        <f>COVER!A13</f>
        <v>9010001026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sqref="A1:M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sqref="A1:M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0" t="s">
        <v>1665</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M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1972</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4966040</v>
      </c>
      <c r="C8" s="1813">
        <f>'Acct Summary 7-8'!D8</f>
        <v>474807</v>
      </c>
      <c r="D8" s="1813">
        <f>'Acct Summary 7-8'!F8</f>
        <v>372270</v>
      </c>
      <c r="E8" s="1813">
        <f>'Acct Summary 7-8'!I8</f>
        <v>34129</v>
      </c>
      <c r="F8" s="1813">
        <f>SUM(B8:E8)</f>
        <v>5847246</v>
      </c>
    </row>
    <row r="9" spans="1:8" s="858" customFormat="1" ht="14.25" customHeight="1" thickBot="1" x14ac:dyDescent="0.25">
      <c r="A9" s="857" t="s">
        <v>1353</v>
      </c>
      <c r="B9" s="1814">
        <f>'Acct Summary 7-8'!C17</f>
        <v>5268334</v>
      </c>
      <c r="C9" s="1814">
        <f>'Acct Summary 7-8'!D17</f>
        <v>1153612</v>
      </c>
      <c r="D9" s="1814">
        <f>'Acct Summary 7-8'!F17</f>
        <v>292683</v>
      </c>
      <c r="E9" s="1813"/>
      <c r="F9" s="1813">
        <f>SUM(B9:E9)</f>
        <v>6714629</v>
      </c>
    </row>
    <row r="10" spans="1:8" s="858" customFormat="1" ht="14.25" thickTop="1" thickBot="1" x14ac:dyDescent="0.25">
      <c r="A10" s="859" t="s">
        <v>1354</v>
      </c>
      <c r="B10" s="1815">
        <f>(B8-B9)</f>
        <v>-302294</v>
      </c>
      <c r="C10" s="1815">
        <f>(C8-C9)</f>
        <v>-678805</v>
      </c>
      <c r="D10" s="1815">
        <f>(D8-D9)</f>
        <v>79587</v>
      </c>
      <c r="E10" s="1814">
        <f>(E8-E9)</f>
        <v>34129</v>
      </c>
      <c r="F10" s="1816">
        <f>SUM(F8-F9)</f>
        <v>-867383</v>
      </c>
    </row>
    <row r="11" spans="1:8" s="858" customFormat="1" ht="14.25" thickTop="1" thickBot="1" x14ac:dyDescent="0.25">
      <c r="A11" s="860" t="s">
        <v>1903</v>
      </c>
      <c r="B11" s="1817">
        <f>'Acct Summary 7-8'!C81</f>
        <v>2254722</v>
      </c>
      <c r="C11" s="1817">
        <f>'Acct Summary 7-8'!D81</f>
        <v>1768428</v>
      </c>
      <c r="D11" s="1817">
        <f>'Acct Summary 7-8'!F81</f>
        <v>959083</v>
      </c>
      <c r="E11" s="1817">
        <f>'Acct Summary 7-8'!I81</f>
        <v>907148</v>
      </c>
      <c r="F11" s="1818">
        <f>SUM(B11:E11)</f>
        <v>5889381</v>
      </c>
    </row>
    <row r="12" spans="1:8" ht="16.5" customHeight="1" thickTop="1" x14ac:dyDescent="0.2">
      <c r="A12" s="861"/>
      <c r="B12" s="862"/>
      <c r="C12" s="2475" t="str">
        <f>IF(AND(F10&lt;0,F11&gt;=0,ABS(F10*3)&gt;ABS(F11)),A16,IF(AND(F10&lt;0,F11&gt;0,ABS(F10*3)&lt;=ABS(F11)),A17,IF(AND(F10&lt;0,F11&lt;0),A16,IF(F11=0,A19,A18))))</f>
        <v>Unbalanced -  however, a deficit reduction plan is not required at this time.</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9" colorId="8" zoomScale="110" zoomScaleNormal="110" workbookViewId="0">
      <selection sqref="A1:M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ERROR!</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9010001026</v>
      </c>
      <c r="E2" s="1542">
        <v>2020</v>
      </c>
      <c r="F2" s="1542">
        <v>1</v>
      </c>
      <c r="G2" s="1899">
        <v>101000300</v>
      </c>
    </row>
    <row r="3" spans="1:7" ht="15" x14ac:dyDescent="0.25">
      <c r="A3" t="s">
        <v>950</v>
      </c>
      <c r="B3" s="135" t="str">
        <f>COVER!A15</f>
        <v>CHAMPAIGN</v>
      </c>
      <c r="E3" s="1830" t="s">
        <v>1971</v>
      </c>
      <c r="F3" s="1830" t="s">
        <v>1970</v>
      </c>
      <c r="G3" s="1899">
        <v>101000400</v>
      </c>
    </row>
    <row r="4" spans="1:7" ht="15" x14ac:dyDescent="0.25">
      <c r="A4" t="s">
        <v>1000</v>
      </c>
      <c r="B4" s="135" t="str">
        <f>COVER!A17</f>
        <v xml:space="preserve"> Fisher CUSD 1  </v>
      </c>
      <c r="E4" s="1828">
        <v>44119</v>
      </c>
      <c r="F4" s="1829">
        <v>44151</v>
      </c>
      <c r="G4" s="1899">
        <v>101000600</v>
      </c>
    </row>
    <row r="5" spans="1:7" ht="15" x14ac:dyDescent="0.25">
      <c r="A5" t="s">
        <v>699</v>
      </c>
      <c r="B5" s="135" t="str">
        <f>COVER!A38</f>
        <v>BARBARA THOMPSON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065.018319</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1800000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2254722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2254722</v>
      </c>
      <c r="D92" s="2" t="str">
        <f t="shared" si="0"/>
        <v>Error?</v>
      </c>
      <c r="G92" s="1899">
        <v>102640600</v>
      </c>
    </row>
    <row r="93" spans="1:7" ht="15" x14ac:dyDescent="0.25">
      <c r="A93" s="5">
        <v>32</v>
      </c>
      <c r="B93" s="1832">
        <f>'Assets-Liab 5-6'!C41</f>
        <v>2254722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1525000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1768428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1768428</v>
      </c>
      <c r="D123" s="2" t="str">
        <f t="shared" si="0"/>
        <v>Error?</v>
      </c>
      <c r="G123" s="1899">
        <v>203000400</v>
      </c>
    </row>
    <row r="124" spans="1:7" ht="15" x14ac:dyDescent="0.25">
      <c r="A124" s="5">
        <v>63</v>
      </c>
      <c r="B124" s="1832">
        <f>'Assets-Liab 5-6'!D41</f>
        <v>1768428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461000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570377</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570377</v>
      </c>
      <c r="D140" s="2" t="str">
        <f t="shared" si="1"/>
        <v>Error?</v>
      </c>
    </row>
    <row r="141" spans="1:7" x14ac:dyDescent="0.2">
      <c r="A141" s="5">
        <v>80</v>
      </c>
      <c r="B141" s="1832">
        <f>'Assets-Liab 5-6'!E41</f>
        <v>570377</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890000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959083</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959083</v>
      </c>
      <c r="D170" s="2" t="str">
        <f t="shared" si="1"/>
        <v>Error?</v>
      </c>
    </row>
    <row r="171" spans="1:4" x14ac:dyDescent="0.2">
      <c r="A171" s="5">
        <v>110</v>
      </c>
      <c r="B171" s="1832">
        <f>'Assets-Liab 5-6'!F41</f>
        <v>959083</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15000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32618</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32618</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534</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534</v>
      </c>
      <c r="D212" s="2" t="str">
        <f t="shared" si="2"/>
        <v>Error?</v>
      </c>
    </row>
    <row r="213" spans="1:4" x14ac:dyDescent="0.2">
      <c r="A213" s="12">
        <v>152</v>
      </c>
      <c r="B213" s="1832">
        <f>'Assets-Liab 5-6'!H41</f>
        <v>534</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505331</v>
      </c>
      <c r="D273" s="2" t="str">
        <f t="shared" si="3"/>
        <v>Error?</v>
      </c>
    </row>
    <row r="274" spans="1:4" x14ac:dyDescent="0.2">
      <c r="A274" s="5">
        <v>213</v>
      </c>
      <c r="B274" s="1832">
        <f>'Assets-Liab 5-6'!M17</f>
        <v>18908558</v>
      </c>
      <c r="D274" s="2" t="str">
        <f t="shared" si="3"/>
        <v>Error?</v>
      </c>
    </row>
    <row r="275" spans="1:4" x14ac:dyDescent="0.2">
      <c r="A275" s="5">
        <v>214</v>
      </c>
      <c r="B275" s="1832">
        <f>'Assets-Liab 5-6'!M18</f>
        <v>1497892</v>
      </c>
      <c r="D275" s="2" t="str">
        <f t="shared" si="3"/>
        <v>Error?</v>
      </c>
    </row>
    <row r="276" spans="1:4" x14ac:dyDescent="0.2">
      <c r="A276" s="5">
        <v>215</v>
      </c>
      <c r="B276" s="1832">
        <f>'Assets-Liab 5-6'!M19</f>
        <v>2992685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23904466</v>
      </c>
      <c r="C279" s="2" t="s">
        <v>569</v>
      </c>
      <c r="D279" s="2" t="str">
        <f t="shared" si="3"/>
        <v>Error?</v>
      </c>
    </row>
    <row r="280" spans="1:4" x14ac:dyDescent="0.2">
      <c r="A280" s="5">
        <v>219</v>
      </c>
      <c r="B280" s="1832">
        <f>'Assets-Liab 5-6'!M40</f>
        <v>23904466</v>
      </c>
      <c r="D280" s="2" t="str">
        <f t="shared" si="3"/>
        <v>Error?</v>
      </c>
    </row>
    <row r="281" spans="1:4" x14ac:dyDescent="0.2">
      <c r="A281" s="5">
        <v>220</v>
      </c>
      <c r="B281" s="1832">
        <f>'Assets-Liab 5-6'!M41</f>
        <v>23904466</v>
      </c>
      <c r="C281" s="2" t="s">
        <v>569</v>
      </c>
      <c r="D281" s="2" t="str">
        <f t="shared" si="3"/>
        <v>Error?</v>
      </c>
    </row>
    <row r="282" spans="1:4" x14ac:dyDescent="0.2">
      <c r="A282" s="5">
        <v>221</v>
      </c>
      <c r="B282" s="1832">
        <f>'Assets-Liab 5-6'!N21</f>
        <v>570377</v>
      </c>
      <c r="D282" s="2" t="str">
        <f t="shared" si="3"/>
        <v>Error?</v>
      </c>
    </row>
    <row r="283" spans="1:4" x14ac:dyDescent="0.2">
      <c r="A283" s="5">
        <v>222</v>
      </c>
      <c r="B283" s="1832">
        <f>'Assets-Liab 5-6'!N22</f>
        <v>7904609</v>
      </c>
      <c r="D283" s="2" t="str">
        <f t="shared" si="3"/>
        <v>Error?</v>
      </c>
    </row>
    <row r="284" spans="1:4" x14ac:dyDescent="0.2">
      <c r="A284" s="5">
        <v>223</v>
      </c>
      <c r="B284" s="1832">
        <f>'Assets-Liab 5-6'!N23</f>
        <v>8474986</v>
      </c>
      <c r="C284" s="2" t="s">
        <v>569</v>
      </c>
      <c r="D284" s="2" t="str">
        <f t="shared" si="3"/>
        <v>Error?</v>
      </c>
    </row>
    <row r="285" spans="1:4" x14ac:dyDescent="0.2">
      <c r="A285" s="5">
        <v>224</v>
      </c>
      <c r="B285" s="1832">
        <f>'Assets-Liab 5-6'!N36</f>
        <v>8474986</v>
      </c>
      <c r="D285" s="2" t="str">
        <f t="shared" si="3"/>
        <v>Error?</v>
      </c>
    </row>
    <row r="286" spans="1:4" x14ac:dyDescent="0.2">
      <c r="A286" s="10">
        <v>225</v>
      </c>
      <c r="B286" s="1832"/>
      <c r="D286" s="2" t="str">
        <f t="shared" si="3"/>
        <v>OK</v>
      </c>
    </row>
    <row r="287" spans="1:4" x14ac:dyDescent="0.2">
      <c r="A287" s="5">
        <v>226</v>
      </c>
      <c r="B287" s="1832">
        <f>'Assets-Liab 5-6'!N37</f>
        <v>8474986</v>
      </c>
      <c r="C287" s="2" t="s">
        <v>569</v>
      </c>
      <c r="D287" s="2" t="str">
        <f t="shared" si="3"/>
        <v>Error?</v>
      </c>
    </row>
    <row r="288" spans="1:4" x14ac:dyDescent="0.2">
      <c r="A288" s="5">
        <v>227</v>
      </c>
      <c r="B288" s="1832">
        <f>'Assets-Liab 5-6'!N41</f>
        <v>8474986</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1782116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128499</v>
      </c>
      <c r="D717" s="2" t="str">
        <f t="shared" si="10"/>
        <v>Error?</v>
      </c>
    </row>
    <row r="718" spans="1:4" x14ac:dyDescent="0.2">
      <c r="A718" s="5">
        <v>657</v>
      </c>
      <c r="B718" s="1832">
        <f>'Expenditures 15-22'!C14</f>
        <v>78473</v>
      </c>
      <c r="D718" s="2" t="str">
        <f t="shared" si="10"/>
        <v>Error?</v>
      </c>
    </row>
    <row r="719" spans="1:4" x14ac:dyDescent="0.2">
      <c r="A719" s="5">
        <v>658</v>
      </c>
      <c r="B719" s="1832">
        <f>'Expenditures 15-22'!C15</f>
        <v>713</v>
      </c>
      <c r="D719" s="2" t="str">
        <f t="shared" si="10"/>
        <v>Error?</v>
      </c>
    </row>
    <row r="720" spans="1:4" x14ac:dyDescent="0.2">
      <c r="A720" s="5">
        <v>659</v>
      </c>
      <c r="B720" s="1832">
        <f>'Expenditures 15-22'!C33</f>
        <v>2548856</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57511</v>
      </c>
      <c r="D722" s="2" t="str">
        <f t="shared" si="10"/>
        <v>Error?</v>
      </c>
    </row>
    <row r="723" spans="1:4" x14ac:dyDescent="0.2">
      <c r="A723" s="5">
        <v>662</v>
      </c>
      <c r="B723" s="1832">
        <f>'Expenditures 15-22'!C38</f>
        <v>14590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53410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125511</v>
      </c>
      <c r="C727" s="2" t="s">
        <v>569</v>
      </c>
      <c r="D727" s="2" t="str">
        <f t="shared" si="10"/>
        <v>Error?</v>
      </c>
    </row>
    <row r="728" spans="1:4" x14ac:dyDescent="0.2">
      <c r="A728" s="5">
        <v>667</v>
      </c>
      <c r="B728" s="1832">
        <f>'Expenditures 15-22'!C44</f>
        <v>8825</v>
      </c>
      <c r="D728" s="2" t="str">
        <f t="shared" si="10"/>
        <v>Error?</v>
      </c>
    </row>
    <row r="729" spans="1:4" x14ac:dyDescent="0.2">
      <c r="A729" s="5">
        <v>668</v>
      </c>
      <c r="B729" s="1832">
        <f>'Expenditures 15-22'!C45</f>
        <v>115483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124308</v>
      </c>
      <c r="C731" s="2" t="s">
        <v>569</v>
      </c>
      <c r="D731" s="2" t="str">
        <f t="shared" si="10"/>
        <v>Error?</v>
      </c>
    </row>
    <row r="732" spans="1:4" x14ac:dyDescent="0.2">
      <c r="A732" s="5">
        <v>671</v>
      </c>
      <c r="B732" s="1832">
        <f>'Expenditures 15-22'!C49</f>
        <v>3398</v>
      </c>
      <c r="D732" s="2" t="str">
        <f t="shared" si="10"/>
        <v>Error?</v>
      </c>
    </row>
    <row r="733" spans="1:4" x14ac:dyDescent="0.2">
      <c r="A733" s="5">
        <v>672</v>
      </c>
      <c r="B733" s="1832">
        <f>'Expenditures 15-22'!C50</f>
        <v>146799</v>
      </c>
      <c r="D733" s="2" t="str">
        <f t="shared" si="10"/>
        <v>Error?</v>
      </c>
    </row>
    <row r="734" spans="1:4" x14ac:dyDescent="0.2">
      <c r="A734" s="5">
        <v>673</v>
      </c>
      <c r="B734" s="1832">
        <f>'Expenditures 15-22'!C53</f>
        <v>150197</v>
      </c>
      <c r="C734" s="2" t="s">
        <v>569</v>
      </c>
      <c r="D734" s="2" t="str">
        <f t="shared" si="10"/>
        <v>Error?</v>
      </c>
    </row>
    <row r="735" spans="1:4" x14ac:dyDescent="0.2">
      <c r="A735" s="5">
        <v>674</v>
      </c>
      <c r="B735" s="1832">
        <f>'Expenditures 15-22'!C55</f>
        <v>315357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315357</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47283</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62986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110269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825642</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3374498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455381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37918</v>
      </c>
      <c r="D775" s="2" t="str">
        <f t="shared" si="11"/>
        <v>Error?</v>
      </c>
    </row>
    <row r="776" spans="1:4" x14ac:dyDescent="0.2">
      <c r="A776" s="5">
        <v>715</v>
      </c>
      <c r="B776" s="1832">
        <f>'Expenditures 15-22'!D14</f>
        <v>402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638688</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14662</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8545</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23207</v>
      </c>
      <c r="C785" s="2" t="s">
        <v>569</v>
      </c>
      <c r="D785" s="2" t="str">
        <f t="shared" si="11"/>
        <v>Error?</v>
      </c>
    </row>
    <row r="786" spans="1:4" x14ac:dyDescent="0.2">
      <c r="A786" s="5">
        <v>725</v>
      </c>
      <c r="B786" s="1832">
        <f>'Expenditures 15-22'!D44</f>
        <v>47</v>
      </c>
      <c r="D786" s="2" t="str">
        <f t="shared" si="11"/>
        <v>Error?</v>
      </c>
    </row>
    <row r="787" spans="1:4" x14ac:dyDescent="0.2">
      <c r="A787" s="5">
        <v>726</v>
      </c>
      <c r="B787" s="1832">
        <f>'Expenditures 15-22'!D45</f>
        <v>26578</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26625</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42228</v>
      </c>
      <c r="D791" s="2" t="str">
        <f t="shared" si="11"/>
        <v>Error?</v>
      </c>
    </row>
    <row r="792" spans="1:4" x14ac:dyDescent="0.2">
      <c r="A792" s="5">
        <v>731</v>
      </c>
      <c r="B792" s="1832">
        <f>'Expenditures 15-22'!D53</f>
        <v>42228</v>
      </c>
      <c r="C792" s="2" t="s">
        <v>569</v>
      </c>
      <c r="D792" s="2" t="str">
        <f t="shared" si="11"/>
        <v>Error?</v>
      </c>
    </row>
    <row r="793" spans="1:4" x14ac:dyDescent="0.2">
      <c r="A793" s="5">
        <v>732</v>
      </c>
      <c r="B793" s="1832">
        <f>'Expenditures 15-22'!D55</f>
        <v>92096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92096</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7215</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24020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31235</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215391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854079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10684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2870</v>
      </c>
      <c r="D833" s="2" t="str">
        <f t="shared" si="12"/>
        <v>Error?</v>
      </c>
    </row>
    <row r="834" spans="1:4" x14ac:dyDescent="0.2">
      <c r="A834" s="5">
        <v>773</v>
      </c>
      <c r="B834" s="1832">
        <f>'Expenditures 15-22'!E14</f>
        <v>43646</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57200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3167</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13997</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17164</v>
      </c>
      <c r="C843" s="2" t="s">
        <v>569</v>
      </c>
      <c r="D843" s="2" t="str">
        <f t="shared" si="12"/>
        <v>Error?</v>
      </c>
    </row>
    <row r="844" spans="1:4" x14ac:dyDescent="0.2">
      <c r="A844" s="5">
        <v>783</v>
      </c>
      <c r="B844" s="1832">
        <f>'Expenditures 15-22'!E44</f>
        <v>20167</v>
      </c>
      <c r="D844" s="2" t="str">
        <f t="shared" si="12"/>
        <v>Error?</v>
      </c>
    </row>
    <row r="845" spans="1:4" x14ac:dyDescent="0.2">
      <c r="A845" s="5">
        <v>784</v>
      </c>
      <c r="B845" s="1832">
        <f>'Expenditures 15-22'!E45</f>
        <v>745</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20912</v>
      </c>
      <c r="C847" s="2" t="s">
        <v>569</v>
      </c>
      <c r="D847" s="2" t="str">
        <f t="shared" si="12"/>
        <v>Error?</v>
      </c>
    </row>
    <row r="848" spans="1:4" x14ac:dyDescent="0.2">
      <c r="A848" s="5">
        <v>787</v>
      </c>
      <c r="B848" s="1832">
        <f>'Expenditures 15-22'!E49</f>
        <v>28260</v>
      </c>
      <c r="D848" s="2" t="str">
        <f t="shared" si="12"/>
        <v>Error?</v>
      </c>
    </row>
    <row r="849" spans="1:4" x14ac:dyDescent="0.2">
      <c r="A849" s="5">
        <v>788</v>
      </c>
      <c r="B849" s="1832">
        <f>'Expenditures 15-22'!E50</f>
        <v>3130</v>
      </c>
      <c r="D849" s="2" t="str">
        <f t="shared" si="12"/>
        <v>Error?</v>
      </c>
    </row>
    <row r="850" spans="1:4" x14ac:dyDescent="0.2">
      <c r="A850" s="5">
        <v>789</v>
      </c>
      <c r="B850" s="1832">
        <f>'Expenditures 15-22'!E53</f>
        <v>31390</v>
      </c>
      <c r="C850" s="2" t="s">
        <v>569</v>
      </c>
      <c r="D850" s="2" t="str">
        <f t="shared" si="12"/>
        <v>Error?</v>
      </c>
    </row>
    <row r="851" spans="1:4" x14ac:dyDescent="0.2">
      <c r="A851" s="5">
        <v>790</v>
      </c>
      <c r="B851" s="1832">
        <f>'Expenditures 15-22'!E55</f>
        <v>35961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35961</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4749</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6438</v>
      </c>
      <c r="D857" s="2" t="str">
        <f t="shared" si="12"/>
        <v>Error?</v>
      </c>
    </row>
    <row r="858" spans="1:4" x14ac:dyDescent="0.2">
      <c r="A858" s="5">
        <v>797</v>
      </c>
      <c r="B858" s="1832">
        <f>'Expenditures 15-22'!E63</f>
        <v>5492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16679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122106</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392534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108566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7520</v>
      </c>
      <c r="D891" s="2" t="str">
        <f t="shared" si="12"/>
        <v>Error?</v>
      </c>
    </row>
    <row r="892" spans="1:4" x14ac:dyDescent="0.2">
      <c r="A892" s="5">
        <v>831</v>
      </c>
      <c r="B892" s="1832">
        <f>'Expenditures 15-22'!F14</f>
        <v>99937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220482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186</v>
      </c>
      <c r="D896" s="2" t="str">
        <f t="shared" si="13"/>
        <v>Error?</v>
      </c>
    </row>
    <row r="897" spans="1:4" x14ac:dyDescent="0.2">
      <c r="A897" s="5">
        <v>836</v>
      </c>
      <c r="B897" s="1832">
        <f>'Expenditures 15-22'!F38</f>
        <v>1466</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1652</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17095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17095</v>
      </c>
      <c r="C905" s="2" t="s">
        <v>569</v>
      </c>
      <c r="D905" s="2" t="str">
        <f t="shared" si="13"/>
        <v>Error?</v>
      </c>
    </row>
    <row r="906" spans="1:4" x14ac:dyDescent="0.2">
      <c r="A906" s="5">
        <v>845</v>
      </c>
      <c r="B906" s="1832">
        <f>'Expenditures 15-22'!F49</f>
        <v>7981</v>
      </c>
      <c r="D906" s="2" t="str">
        <f t="shared" si="13"/>
        <v>Error?</v>
      </c>
    </row>
    <row r="907" spans="1:4" x14ac:dyDescent="0.2">
      <c r="A907" s="5">
        <v>846</v>
      </c>
      <c r="B907" s="1832">
        <f>'Expenditures 15-22'!F50</f>
        <v>8466</v>
      </c>
      <c r="D907" s="2" t="str">
        <f t="shared" si="13"/>
        <v>Error?</v>
      </c>
    </row>
    <row r="908" spans="1:4" x14ac:dyDescent="0.2">
      <c r="A908" s="5">
        <v>847</v>
      </c>
      <c r="B908" s="1832">
        <f>'Expenditures 15-22'!F53</f>
        <v>16447</v>
      </c>
      <c r="C908" s="2" t="s">
        <v>569</v>
      </c>
      <c r="D908" s="2" t="str">
        <f t="shared" si="13"/>
        <v>Error?</v>
      </c>
    </row>
    <row r="909" spans="1:4" x14ac:dyDescent="0.2">
      <c r="A909" s="5">
        <v>848</v>
      </c>
      <c r="B909" s="1832">
        <f>'Expenditures 15-22'!F55</f>
        <v>48471</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48471</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125183</v>
      </c>
      <c r="D914" s="2" t="str">
        <f t="shared" si="13"/>
        <v>Error?</v>
      </c>
    </row>
    <row r="915" spans="1:4" x14ac:dyDescent="0.2">
      <c r="A915" s="5">
        <v>854</v>
      </c>
      <c r="B915" s="1832">
        <f>'Expenditures 15-22'!F62</f>
        <v>571</v>
      </c>
      <c r="D915" s="2" t="str">
        <f t="shared" si="13"/>
        <v>Error?</v>
      </c>
    </row>
    <row r="916" spans="1:4" x14ac:dyDescent="0.2">
      <c r="A916" s="5">
        <v>855</v>
      </c>
      <c r="B916" s="1832">
        <f>'Expenditures 15-22'!F63</f>
        <v>63632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189386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273051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493533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57167</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489</v>
      </c>
      <c r="D949" s="2" t="str">
        <f t="shared" si="13"/>
        <v>Error?</v>
      </c>
    </row>
    <row r="950" spans="1:4" x14ac:dyDescent="0.2">
      <c r="A950" s="5">
        <v>889</v>
      </c>
      <c r="B950" s="1832">
        <f>'Expenditures 15-22'!G14</f>
        <v>14275</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71931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71931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258</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6119</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6377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1280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1280</v>
      </c>
      <c r="C1021" s="2" t="s">
        <v>569</v>
      </c>
      <c r="D1021" s="2" t="str">
        <f t="shared" si="14"/>
        <v>Error?</v>
      </c>
    </row>
    <row r="1022" spans="1:4" x14ac:dyDescent="0.2">
      <c r="A1022" s="5">
        <v>961</v>
      </c>
      <c r="B1022" s="1832">
        <f>'Expenditures 15-22'!H49</f>
        <v>7150</v>
      </c>
      <c r="D1022" s="2" t="str">
        <f t="shared" si="14"/>
        <v>Error?</v>
      </c>
    </row>
    <row r="1023" spans="1:4" x14ac:dyDescent="0.2">
      <c r="A1023" s="5">
        <v>962</v>
      </c>
      <c r="B1023" s="1832">
        <f>'Expenditures 15-22'!H50</f>
        <v>869</v>
      </c>
      <c r="D1023" s="2" t="str">
        <f t="shared" ref="D1023:D1086" si="15">IF(ISBLANK(B1023),"OK",IF(A1023-B1023=0,"OK","Error?"))</f>
        <v>Error?</v>
      </c>
    </row>
    <row r="1024" spans="1:4" x14ac:dyDescent="0.2">
      <c r="A1024" s="5">
        <v>963</v>
      </c>
      <c r="B1024" s="1832">
        <f>'Expenditures 15-22'!H53</f>
        <v>8019</v>
      </c>
      <c r="C1024" s="2" t="s">
        <v>569</v>
      </c>
      <c r="D1024" s="2" t="str">
        <f t="shared" si="15"/>
        <v>Error?</v>
      </c>
    </row>
    <row r="1025" spans="1:4" x14ac:dyDescent="0.2">
      <c r="A1025" s="5">
        <v>964</v>
      </c>
      <c r="B1025" s="1832">
        <f>'Expenditures 15-22'!H55</f>
        <v>1776</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1776</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11075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56879</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74331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2418493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177296</v>
      </c>
      <c r="C1105" s="2" t="s">
        <v>569</v>
      </c>
      <c r="D1105" s="2" t="str">
        <f t="shared" si="16"/>
        <v>Error?</v>
      </c>
    </row>
    <row r="1106" spans="1:4" x14ac:dyDescent="0.2">
      <c r="A1106" s="5">
        <v>1045</v>
      </c>
      <c r="B1106" s="1832">
        <f>'Expenditures 15-22'!K14</f>
        <v>242852</v>
      </c>
      <c r="C1106" s="2" t="s">
        <v>569</v>
      </c>
      <c r="D1106" s="2" t="str">
        <f t="shared" si="16"/>
        <v>Error?</v>
      </c>
    </row>
    <row r="1107" spans="1:4" x14ac:dyDescent="0.2">
      <c r="A1107" s="5">
        <v>1046</v>
      </c>
      <c r="B1107" s="1832">
        <f>'Expenditures 15-22'!K15</f>
        <v>713</v>
      </c>
      <c r="C1107" s="2" t="s">
        <v>569</v>
      </c>
      <c r="D1107" s="2" t="str">
        <f t="shared" si="16"/>
        <v>Error?</v>
      </c>
    </row>
    <row r="1108" spans="1:4" x14ac:dyDescent="0.2">
      <c r="A1108" s="5">
        <v>1047</v>
      </c>
      <c r="B1108" s="1832">
        <f>'Expenditures 15-22'!K33</f>
        <v>3547855</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75526</v>
      </c>
      <c r="C1110" s="2" t="s">
        <v>569</v>
      </c>
      <c r="D1110" s="2" t="str">
        <f t="shared" si="16"/>
        <v>Error?</v>
      </c>
    </row>
    <row r="1111" spans="1:4" x14ac:dyDescent="0.2">
      <c r="A1111" s="5">
        <v>1050</v>
      </c>
      <c r="B1111" s="1832">
        <f>'Expenditures 15-22'!K38</f>
        <v>16056</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75952</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167534</v>
      </c>
      <c r="C1115" s="2" t="s">
        <v>569</v>
      </c>
      <c r="D1115" s="2" t="str">
        <f t="shared" si="16"/>
        <v>Error?</v>
      </c>
    </row>
    <row r="1116" spans="1:4" x14ac:dyDescent="0.2">
      <c r="A1116" s="5">
        <v>1055</v>
      </c>
      <c r="B1116" s="1832">
        <f>'Expenditures 15-22'!K44</f>
        <v>29039</v>
      </c>
      <c r="C1116" s="2" t="s">
        <v>569</v>
      </c>
      <c r="D1116" s="2" t="str">
        <f t="shared" si="16"/>
        <v>Error?</v>
      </c>
    </row>
    <row r="1117" spans="1:4" x14ac:dyDescent="0.2">
      <c r="A1117" s="5">
        <v>1056</v>
      </c>
      <c r="B1117" s="1832">
        <f>'Expenditures 15-22'!K45</f>
        <v>161181</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190220</v>
      </c>
      <c r="C1119" s="2" t="s">
        <v>569</v>
      </c>
      <c r="D1119" s="2" t="str">
        <f t="shared" si="16"/>
        <v>Error?</v>
      </c>
    </row>
    <row r="1120" spans="1:4" x14ac:dyDescent="0.2">
      <c r="A1120" s="5">
        <v>1059</v>
      </c>
      <c r="B1120" s="1832">
        <f>'Expenditures 15-22'!K49</f>
        <v>46789</v>
      </c>
      <c r="C1120" s="2" t="s">
        <v>569</v>
      </c>
      <c r="D1120" s="2" t="str">
        <f t="shared" si="16"/>
        <v>Error?</v>
      </c>
    </row>
    <row r="1121" spans="1:4" x14ac:dyDescent="0.2">
      <c r="A1121" s="5">
        <v>1060</v>
      </c>
      <c r="B1121" s="1832">
        <f>'Expenditures 15-22'!K50</f>
        <v>201492</v>
      </c>
      <c r="C1121" s="2" t="s">
        <v>569</v>
      </c>
      <c r="D1121" s="2" t="str">
        <f t="shared" si="16"/>
        <v>Error?</v>
      </c>
    </row>
    <row r="1122" spans="1:4" x14ac:dyDescent="0.2">
      <c r="A1122" s="5">
        <v>1061</v>
      </c>
      <c r="B1122" s="1832">
        <f>'Expenditures 15-22'!K53</f>
        <v>248281</v>
      </c>
      <c r="C1122" s="2" t="s">
        <v>569</v>
      </c>
      <c r="D1122" s="2" t="str">
        <f t="shared" si="16"/>
        <v>Error?</v>
      </c>
    </row>
    <row r="1123" spans="1:4" x14ac:dyDescent="0.2">
      <c r="A1123" s="5">
        <v>1062</v>
      </c>
      <c r="B1123" s="1832">
        <f>'Expenditures 15-22'!K55</f>
        <v>496768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496768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59247</v>
      </c>
      <c r="C1127" s="2" t="s">
        <v>569</v>
      </c>
      <c r="D1127" s="2" t="str">
        <f t="shared" si="16"/>
        <v>Error?</v>
      </c>
    </row>
    <row r="1128" spans="1:4" x14ac:dyDescent="0.2">
      <c r="A1128" s="5">
        <v>1067</v>
      </c>
      <c r="B1128" s="1832">
        <f>'Expenditures 15-22'!K61</f>
        <v>125183</v>
      </c>
      <c r="C1128" s="2" t="s">
        <v>569</v>
      </c>
      <c r="D1128" s="2" t="str">
        <f t="shared" si="16"/>
        <v>Error?</v>
      </c>
    </row>
    <row r="1129" spans="1:4" x14ac:dyDescent="0.2">
      <c r="A1129" s="5">
        <v>1068</v>
      </c>
      <c r="B1129" s="1832">
        <f>'Expenditures 15-22'!K62</f>
        <v>7009</v>
      </c>
      <c r="C1129" s="2" t="s">
        <v>569</v>
      </c>
      <c r="D1129" s="2" t="str">
        <f t="shared" si="16"/>
        <v>Error?</v>
      </c>
    </row>
    <row r="1130" spans="1:4" x14ac:dyDescent="0.2">
      <c r="A1130" s="5">
        <v>1069</v>
      </c>
      <c r="B1130" s="1832">
        <f>'Expenditures 15-22'!K63</f>
        <v>156130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347569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1450372</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270107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5268334</v>
      </c>
      <c r="C1152" s="2" t="s">
        <v>569</v>
      </c>
      <c r="D1152" s="2" t="str">
        <f t="shared" si="17"/>
        <v>Error?</v>
      </c>
    </row>
    <row r="1153" spans="1:4" x14ac:dyDescent="0.2">
      <c r="A1153" s="5">
        <v>1092</v>
      </c>
      <c r="B1153" s="1832">
        <f>'Expenditures 15-22'!K115</f>
        <v>-302294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181006</v>
      </c>
      <c r="D1221" s="2" t="str">
        <f t="shared" si="18"/>
        <v>Error?</v>
      </c>
    </row>
    <row r="1222" spans="1:4" x14ac:dyDescent="0.2">
      <c r="A1222" s="10">
        <v>1161</v>
      </c>
      <c r="B1222" s="1832"/>
      <c r="D1222" s="2" t="str">
        <f t="shared" si="18"/>
        <v>OK</v>
      </c>
    </row>
    <row r="1223" spans="1:4" x14ac:dyDescent="0.2">
      <c r="A1223" s="5">
        <v>1162</v>
      </c>
      <c r="B1223" s="1832">
        <f>'Expenditures 15-22'!C127</f>
        <v>181006</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181006</v>
      </c>
      <c r="C1225" s="2" t="s">
        <v>569</v>
      </c>
      <c r="D1225" s="2" t="str">
        <f t="shared" si="18"/>
        <v>Error?</v>
      </c>
    </row>
    <row r="1226" spans="1:4" x14ac:dyDescent="0.2">
      <c r="A1226" s="5">
        <v>1165</v>
      </c>
      <c r="B1226" s="1832">
        <f>'Expenditures 15-22'!C151</f>
        <v>181006</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35249</v>
      </c>
      <c r="D1229" s="2" t="str">
        <f t="shared" si="18"/>
        <v>Error?</v>
      </c>
    </row>
    <row r="1230" spans="1:4" x14ac:dyDescent="0.2">
      <c r="A1230" s="10">
        <v>1169</v>
      </c>
      <c r="B1230" s="1832"/>
      <c r="D1230" s="2" t="str">
        <f t="shared" si="18"/>
        <v>OK</v>
      </c>
    </row>
    <row r="1231" spans="1:4" x14ac:dyDescent="0.2">
      <c r="A1231" s="5">
        <v>1170</v>
      </c>
      <c r="B1231" s="1832">
        <f>'Expenditures 15-22'!D127</f>
        <v>35249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35249</v>
      </c>
      <c r="C1233" s="2" t="s">
        <v>569</v>
      </c>
      <c r="D1233" s="2" t="str">
        <f t="shared" si="18"/>
        <v>Error?</v>
      </c>
    </row>
    <row r="1234" spans="1:4" x14ac:dyDescent="0.2">
      <c r="A1234" s="5">
        <v>1173</v>
      </c>
      <c r="B1234" s="1832">
        <f>'Expenditures 15-22'!D151</f>
        <v>35249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151760</v>
      </c>
      <c r="D1237" s="2" t="str">
        <f t="shared" si="18"/>
        <v>Error?</v>
      </c>
    </row>
    <row r="1238" spans="1:4" x14ac:dyDescent="0.2">
      <c r="A1238" s="10">
        <v>1177</v>
      </c>
      <c r="B1238" s="1832"/>
      <c r="D1238" s="2" t="str">
        <f t="shared" si="18"/>
        <v>OK</v>
      </c>
    </row>
    <row r="1239" spans="1:4" x14ac:dyDescent="0.2">
      <c r="A1239" s="5">
        <v>1178</v>
      </c>
      <c r="B1239" s="1832">
        <f>'Expenditures 15-22'!E127</f>
        <v>151760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151760</v>
      </c>
      <c r="C1241" s="2" t="s">
        <v>569</v>
      </c>
      <c r="D1241" s="2" t="str">
        <f t="shared" si="18"/>
        <v>Error?</v>
      </c>
    </row>
    <row r="1242" spans="1:4" x14ac:dyDescent="0.2">
      <c r="A1242" s="5">
        <v>1181</v>
      </c>
      <c r="B1242" s="1832">
        <f>'Expenditures 15-22'!E151</f>
        <v>151760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70118</v>
      </c>
      <c r="D1245" s="2" t="str">
        <f t="shared" si="18"/>
        <v>Error?</v>
      </c>
    </row>
    <row r="1246" spans="1:4" x14ac:dyDescent="0.2">
      <c r="A1246" s="10">
        <v>1185</v>
      </c>
      <c r="B1246" s="1832"/>
      <c r="D1246" s="2" t="str">
        <f t="shared" si="18"/>
        <v>OK</v>
      </c>
    </row>
    <row r="1247" spans="1:4" x14ac:dyDescent="0.2">
      <c r="A1247" s="5">
        <v>1186</v>
      </c>
      <c r="B1247" s="1832">
        <f>'Expenditures 15-22'!F127</f>
        <v>70118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70118</v>
      </c>
      <c r="C1249" s="2" t="s">
        <v>569</v>
      </c>
      <c r="D1249" s="2" t="str">
        <f t="shared" si="18"/>
        <v>Error?</v>
      </c>
    </row>
    <row r="1250" spans="1:4" x14ac:dyDescent="0.2">
      <c r="A1250" s="5">
        <v>1189</v>
      </c>
      <c r="B1250" s="1832">
        <f>'Expenditures 15-22'!F151</f>
        <v>70118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715479</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715479</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715479</v>
      </c>
      <c r="C1258" s="2" t="s">
        <v>569</v>
      </c>
      <c r="D1258" s="2" t="str">
        <f t="shared" si="18"/>
        <v>Error?</v>
      </c>
    </row>
    <row r="1259" spans="1:4" x14ac:dyDescent="0.2">
      <c r="A1259" s="5">
        <v>1198</v>
      </c>
      <c r="B1259" s="1832">
        <f>'Expenditures 15-22'!G151</f>
        <v>715479</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1153612</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1153612</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1153612</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1153612</v>
      </c>
      <c r="C1288" s="2" t="s">
        <v>569</v>
      </c>
      <c r="D1288" s="2" t="str">
        <f t="shared" si="19"/>
        <v>Error?</v>
      </c>
    </row>
    <row r="1289" spans="1:4" x14ac:dyDescent="0.2">
      <c r="A1289" s="5">
        <v>1228</v>
      </c>
      <c r="B1289" s="1832">
        <f>'Expenditures 15-22'!K152</f>
        <v>-678805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431316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579000</v>
      </c>
      <c r="D1315" s="2" t="str">
        <f t="shared" si="19"/>
        <v>Error?</v>
      </c>
    </row>
    <row r="1316" spans="1:4" x14ac:dyDescent="0.2">
      <c r="A1316" s="5">
        <v>1255</v>
      </c>
      <c r="B1316" s="1832">
        <f>'Expenditures 15-22'!H171</f>
        <v>1542</v>
      </c>
      <c r="D1316" s="2" t="str">
        <f t="shared" si="19"/>
        <v>Error?</v>
      </c>
    </row>
    <row r="1317" spans="1:4" x14ac:dyDescent="0.2">
      <c r="A1317" s="5">
        <v>1256</v>
      </c>
      <c r="B1317" s="1832">
        <f>'Expenditures 15-22'!H172</f>
        <v>1011858</v>
      </c>
      <c r="C1317" s="2" t="s">
        <v>569</v>
      </c>
      <c r="D1317" s="2" t="str">
        <f t="shared" si="19"/>
        <v>Error?</v>
      </c>
    </row>
    <row r="1318" spans="1:4" x14ac:dyDescent="0.2">
      <c r="A1318" s="5">
        <v>1257</v>
      </c>
      <c r="B1318" s="1832">
        <f>'Expenditures 15-22'!H174</f>
        <v>1011858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431316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579000</v>
      </c>
      <c r="C1329" s="2" t="s">
        <v>569</v>
      </c>
      <c r="D1329" s="2" t="str">
        <f t="shared" si="19"/>
        <v>Error?</v>
      </c>
    </row>
    <row r="1330" spans="1:4" x14ac:dyDescent="0.2">
      <c r="A1330" s="5">
        <v>1269</v>
      </c>
      <c r="B1330" s="1832">
        <f>'Expenditures 15-22'!K171</f>
        <v>1542</v>
      </c>
      <c r="C1330" s="2" t="s">
        <v>569</v>
      </c>
      <c r="D1330" s="2" t="str">
        <f t="shared" si="19"/>
        <v>Error?</v>
      </c>
    </row>
    <row r="1331" spans="1:4" x14ac:dyDescent="0.2">
      <c r="A1331" s="5">
        <v>1270</v>
      </c>
      <c r="B1331" s="1832">
        <f>'Expenditures 15-22'!K172</f>
        <v>1011858</v>
      </c>
      <c r="C1331" s="2" t="s">
        <v>569</v>
      </c>
      <c r="D1331" s="2" t="str">
        <f t="shared" si="19"/>
        <v>Error?</v>
      </c>
    </row>
    <row r="1332" spans="1:4" x14ac:dyDescent="0.2">
      <c r="A1332" s="5">
        <v>1271</v>
      </c>
      <c r="B1332" s="1832">
        <f>'Expenditures 15-22'!K174</f>
        <v>1011858</v>
      </c>
      <c r="C1332" s="2" t="s">
        <v>569</v>
      </c>
      <c r="D1332" s="2" t="str">
        <f t="shared" si="19"/>
        <v>Error?</v>
      </c>
    </row>
    <row r="1333" spans="1:4" x14ac:dyDescent="0.2">
      <c r="A1333" s="5">
        <v>1272</v>
      </c>
      <c r="B1333" s="1832">
        <f>'Expenditures 15-22'!K175</f>
        <v>-46673</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166569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166569</v>
      </c>
      <c r="C1339" s="2" t="s">
        <v>569</v>
      </c>
      <c r="D1339" s="2" t="str">
        <f t="shared" si="19"/>
        <v>Error?</v>
      </c>
    </row>
    <row r="1340" spans="1:4" x14ac:dyDescent="0.2">
      <c r="A1340" s="5">
        <v>1279</v>
      </c>
      <c r="B1340" s="1832">
        <f>'Expenditures 15-22'!C210</f>
        <v>166569</v>
      </c>
      <c r="C1340" s="2" t="s">
        <v>569</v>
      </c>
      <c r="D1340" s="2" t="str">
        <f t="shared" si="19"/>
        <v>Error?</v>
      </c>
    </row>
    <row r="1341" spans="1:4" x14ac:dyDescent="0.2">
      <c r="A1341" s="5">
        <v>1280</v>
      </c>
      <c r="B1341" s="1832">
        <f>'Expenditures 15-22'!D182</f>
        <v>2028</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2028</v>
      </c>
      <c r="C1345" s="2" t="s">
        <v>569</v>
      </c>
      <c r="D1345" s="2" t="str">
        <f t="shared" si="20"/>
        <v>Error?</v>
      </c>
    </row>
    <row r="1346" spans="1:4" x14ac:dyDescent="0.2">
      <c r="A1346" s="5">
        <v>1285</v>
      </c>
      <c r="B1346" s="1832">
        <f>'Expenditures 15-22'!D210</f>
        <v>2028</v>
      </c>
      <c r="C1346" s="2" t="s">
        <v>569</v>
      </c>
      <c r="D1346" s="2" t="str">
        <f t="shared" si="20"/>
        <v>Error?</v>
      </c>
    </row>
    <row r="1347" spans="1:4" x14ac:dyDescent="0.2">
      <c r="A1347" s="5">
        <v>1286</v>
      </c>
      <c r="B1347" s="1832">
        <f>'Expenditures 15-22'!E182</f>
        <v>24534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24534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24534</v>
      </c>
      <c r="C1353" s="2" t="s">
        <v>569</v>
      </c>
      <c r="D1353" s="2" t="str">
        <f t="shared" si="20"/>
        <v>Error?</v>
      </c>
    </row>
    <row r="1354" spans="1:4" x14ac:dyDescent="0.2">
      <c r="A1354" s="5">
        <v>1293</v>
      </c>
      <c r="B1354" s="1832">
        <f>'Expenditures 15-22'!F182</f>
        <v>36292</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36292</v>
      </c>
      <c r="C1358" s="2" t="s">
        <v>569</v>
      </c>
      <c r="D1358" s="2" t="str">
        <f t="shared" si="20"/>
        <v>Error?</v>
      </c>
    </row>
    <row r="1359" spans="1:4" x14ac:dyDescent="0.2">
      <c r="A1359" s="5">
        <v>1298</v>
      </c>
      <c r="B1359" s="1832">
        <f>'Expenditures 15-22'!F210</f>
        <v>36292</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63260</v>
      </c>
      <c r="C1375" s="2" t="s">
        <v>569</v>
      </c>
      <c r="D1375" s="2" t="str">
        <f t="shared" si="20"/>
        <v>Error?</v>
      </c>
    </row>
    <row r="1376" spans="1:4" x14ac:dyDescent="0.2">
      <c r="A1376" s="5">
        <v>1315</v>
      </c>
      <c r="B1376" s="1832">
        <f>'Expenditures 15-22'!H210</f>
        <v>63260</v>
      </c>
      <c r="C1376" s="2" t="s">
        <v>569</v>
      </c>
      <c r="D1376" s="2" t="str">
        <f t="shared" si="20"/>
        <v>Error?</v>
      </c>
    </row>
    <row r="1377" spans="1:4" x14ac:dyDescent="0.2">
      <c r="A1377" s="5">
        <v>1316</v>
      </c>
      <c r="B1377" s="1832">
        <f>'Expenditures 15-22'!K182</f>
        <v>229423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229423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63260</v>
      </c>
      <c r="C1387" s="2" t="s">
        <v>569</v>
      </c>
      <c r="D1387" s="2" t="str">
        <f t="shared" si="20"/>
        <v>Error?</v>
      </c>
    </row>
    <row r="1388" spans="1:4" x14ac:dyDescent="0.2">
      <c r="A1388" s="5">
        <v>1327</v>
      </c>
      <c r="B1388" s="1832">
        <f>'Expenditures 15-22'!K210</f>
        <v>292683</v>
      </c>
      <c r="C1388" s="2" t="s">
        <v>569</v>
      </c>
      <c r="D1388" s="2" t="str">
        <f t="shared" si="20"/>
        <v>Error?</v>
      </c>
    </row>
    <row r="1389" spans="1:4" x14ac:dyDescent="0.2">
      <c r="A1389" s="5">
        <v>1328</v>
      </c>
      <c r="B1389" s="1832">
        <f>'Expenditures 15-22'!K211</f>
        <v>79587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1841</v>
      </c>
      <c r="D1407" s="2" t="str">
        <f t="shared" ref="D1407:D1470" si="21">IF(ISBLANK(B1407),"OK",IF(A1407-B1407=0,"OK","Error?"))</f>
        <v>Error?</v>
      </c>
    </row>
    <row r="1408" spans="1:4" x14ac:dyDescent="0.2">
      <c r="A1408" s="5">
        <v>1347</v>
      </c>
      <c r="B1408" s="1832">
        <f>'Expenditures 15-22'!D223</f>
        <v>2483</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83385</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793</v>
      </c>
      <c r="D1412" s="2" t="str">
        <f t="shared" si="21"/>
        <v>Error?</v>
      </c>
    </row>
    <row r="1413" spans="1:4" x14ac:dyDescent="0.2">
      <c r="A1413" s="5">
        <v>1352</v>
      </c>
      <c r="B1413" s="1832">
        <f>'Expenditures 15-22'!D234</f>
        <v>2634</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1008</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4435</v>
      </c>
      <c r="C1417" s="2" t="s">
        <v>569</v>
      </c>
      <c r="D1417" s="2" t="str">
        <f t="shared" si="21"/>
        <v>Error?</v>
      </c>
    </row>
    <row r="1418" spans="1:4" x14ac:dyDescent="0.2">
      <c r="A1418" s="5">
        <v>1357</v>
      </c>
      <c r="B1418" s="1832">
        <f>'Expenditures 15-22'!D240</f>
        <v>149</v>
      </c>
      <c r="D1418" s="2" t="str">
        <f t="shared" si="21"/>
        <v>Error?</v>
      </c>
    </row>
    <row r="1419" spans="1:4" x14ac:dyDescent="0.2">
      <c r="A1419" s="5">
        <v>1358</v>
      </c>
      <c r="B1419" s="1832">
        <f>'Expenditures 15-22'!D241</f>
        <v>10607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10756</v>
      </c>
      <c r="C1421" s="2" t="s">
        <v>569</v>
      </c>
      <c r="D1421" s="2" t="str">
        <f t="shared" si="21"/>
        <v>Error?</v>
      </c>
    </row>
    <row r="1422" spans="1:4" x14ac:dyDescent="0.2">
      <c r="A1422" s="5">
        <v>1361</v>
      </c>
      <c r="B1422" s="1832">
        <f>'Expenditures 15-22'!D245</f>
        <v>265</v>
      </c>
      <c r="D1422" s="2" t="str">
        <f t="shared" si="21"/>
        <v>Error?</v>
      </c>
    </row>
    <row r="1423" spans="1:4" x14ac:dyDescent="0.2">
      <c r="A1423" s="5">
        <v>1362</v>
      </c>
      <c r="B1423" s="1832">
        <f>'Expenditures 15-22'!D246</f>
        <v>4464</v>
      </c>
      <c r="D1423" s="2" t="str">
        <f t="shared" si="21"/>
        <v>Error?</v>
      </c>
    </row>
    <row r="1424" spans="1:4" x14ac:dyDescent="0.2">
      <c r="A1424" s="5">
        <v>1363</v>
      </c>
      <c r="B1424" s="1832">
        <f>'Expenditures 15-22'!D257</f>
        <v>4729</v>
      </c>
      <c r="C1424" s="2" t="s">
        <v>569</v>
      </c>
      <c r="D1424" s="2" t="str">
        <f t="shared" si="21"/>
        <v>Error?</v>
      </c>
    </row>
    <row r="1425" spans="1:4" x14ac:dyDescent="0.2">
      <c r="A1425" s="5">
        <v>1364</v>
      </c>
      <c r="B1425" s="1832">
        <f>'Expenditures 15-22'!D259</f>
        <v>15488</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15488</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8484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29113</v>
      </c>
      <c r="D1431" s="2" t="str">
        <f t="shared" si="21"/>
        <v>Error?</v>
      </c>
    </row>
    <row r="1432" spans="1:4" x14ac:dyDescent="0.2">
      <c r="A1432" s="5">
        <v>1371</v>
      </c>
      <c r="B1432" s="1832">
        <f>'Expenditures 15-22'!D267</f>
        <v>14578</v>
      </c>
      <c r="D1432" s="2" t="str">
        <f t="shared" si="21"/>
        <v>Error?</v>
      </c>
    </row>
    <row r="1433" spans="1:4" x14ac:dyDescent="0.2">
      <c r="A1433" s="5">
        <v>1372</v>
      </c>
      <c r="B1433" s="1832">
        <f>'Expenditures 15-22'!D268</f>
        <v>11342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63517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98925</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182310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1841</v>
      </c>
      <c r="C1471" s="2" t="s">
        <v>569</v>
      </c>
      <c r="D1471" s="2" t="str">
        <f t="shared" ref="D1471:D1534" si="22">IF(ISBLANK(B1471),"OK",IF(A1471-B1471=0,"OK","Error?"))</f>
        <v>Error?</v>
      </c>
    </row>
    <row r="1472" spans="1:4" x14ac:dyDescent="0.2">
      <c r="A1472" s="5">
        <v>1411</v>
      </c>
      <c r="B1472" s="1832">
        <f>'Expenditures 15-22'!K223</f>
        <v>2483</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83385</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793</v>
      </c>
      <c r="C1476" s="2" t="s">
        <v>569</v>
      </c>
      <c r="D1476" s="2" t="str">
        <f t="shared" si="22"/>
        <v>Error?</v>
      </c>
    </row>
    <row r="1477" spans="1:4" x14ac:dyDescent="0.2">
      <c r="A1477" s="5">
        <v>1416</v>
      </c>
      <c r="B1477" s="1832">
        <f>'Expenditures 15-22'!K234</f>
        <v>2634</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1008</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4435</v>
      </c>
      <c r="C1481" s="2" t="s">
        <v>569</v>
      </c>
      <c r="D1481" s="2" t="str">
        <f t="shared" si="22"/>
        <v>Error?</v>
      </c>
    </row>
    <row r="1482" spans="1:4" x14ac:dyDescent="0.2">
      <c r="A1482" s="5">
        <v>1421</v>
      </c>
      <c r="B1482" s="1832">
        <f>'Expenditures 15-22'!K240</f>
        <v>149</v>
      </c>
      <c r="C1482" s="2" t="s">
        <v>569</v>
      </c>
      <c r="D1482" s="2" t="str">
        <f t="shared" si="22"/>
        <v>Error?</v>
      </c>
    </row>
    <row r="1483" spans="1:4" x14ac:dyDescent="0.2">
      <c r="A1483" s="5">
        <v>1422</v>
      </c>
      <c r="B1483" s="1832">
        <f>'Expenditures 15-22'!K241</f>
        <v>10607</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10756</v>
      </c>
      <c r="C1485" s="2" t="s">
        <v>569</v>
      </c>
      <c r="D1485" s="2" t="str">
        <f t="shared" si="22"/>
        <v>Error?</v>
      </c>
    </row>
    <row r="1486" spans="1:4" x14ac:dyDescent="0.2">
      <c r="A1486" s="5">
        <v>1425</v>
      </c>
      <c r="B1486" s="1832">
        <f>'Expenditures 15-22'!K245</f>
        <v>265</v>
      </c>
      <c r="C1486" s="2" t="s">
        <v>569</v>
      </c>
      <c r="D1486" s="2" t="str">
        <f t="shared" si="22"/>
        <v>Error?</v>
      </c>
    </row>
    <row r="1487" spans="1:4" x14ac:dyDescent="0.2">
      <c r="A1487" s="5">
        <v>1426</v>
      </c>
      <c r="B1487" s="1832">
        <f>'Expenditures 15-22'!K246</f>
        <v>4464</v>
      </c>
      <c r="C1487" s="2" t="s">
        <v>569</v>
      </c>
      <c r="D1487" s="2" t="str">
        <f t="shared" si="22"/>
        <v>Error?</v>
      </c>
    </row>
    <row r="1488" spans="1:4" x14ac:dyDescent="0.2">
      <c r="A1488" s="5">
        <v>1427</v>
      </c>
      <c r="B1488" s="1832">
        <f>'Expenditures 15-22'!K257</f>
        <v>4729</v>
      </c>
      <c r="C1488" s="2" t="s">
        <v>569</v>
      </c>
      <c r="D1488" s="2" t="str">
        <f t="shared" si="22"/>
        <v>Error?</v>
      </c>
    </row>
    <row r="1489" spans="1:4" x14ac:dyDescent="0.2">
      <c r="A1489" s="5">
        <v>1428</v>
      </c>
      <c r="B1489" s="1832">
        <f>'Expenditures 15-22'!K259</f>
        <v>15488</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15488</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8484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29113</v>
      </c>
      <c r="C1495" s="2" t="s">
        <v>569</v>
      </c>
      <c r="D1495" s="2" t="str">
        <f t="shared" si="22"/>
        <v>Error?</v>
      </c>
    </row>
    <row r="1496" spans="1:4" x14ac:dyDescent="0.2">
      <c r="A1496" s="5">
        <v>1435</v>
      </c>
      <c r="B1496" s="1832">
        <f>'Expenditures 15-22'!K267</f>
        <v>14578</v>
      </c>
      <c r="C1496" s="2" t="s">
        <v>569</v>
      </c>
      <c r="D1496" s="2" t="str">
        <f t="shared" si="22"/>
        <v>Error?</v>
      </c>
    </row>
    <row r="1497" spans="1:4" x14ac:dyDescent="0.2">
      <c r="A1497" s="5">
        <v>1436</v>
      </c>
      <c r="B1497" s="1832">
        <f>'Expenditures 15-22'!K268</f>
        <v>11342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63517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98925</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182310</v>
      </c>
      <c r="C1517" s="2" t="s">
        <v>569</v>
      </c>
      <c r="D1517" s="2" t="str">
        <f t="shared" si="22"/>
        <v>Error?</v>
      </c>
    </row>
    <row r="1518" spans="1:4" x14ac:dyDescent="0.2">
      <c r="A1518" s="5">
        <v>1457</v>
      </c>
      <c r="B1518" s="1832">
        <f>'Expenditures 15-22'!K296</f>
        <v>-23127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1</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2478648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2254722</v>
      </c>
      <c r="C1630" s="2" t="s">
        <v>569</v>
      </c>
      <c r="D1630" s="2" t="str">
        <f t="shared" si="24"/>
        <v>Error?</v>
      </c>
    </row>
    <row r="1631" spans="1:4" x14ac:dyDescent="0.2">
      <c r="A1631" s="5">
        <v>1570</v>
      </c>
      <c r="B1631" s="1832">
        <f>'Acct Summary 7-8'!D79</f>
        <v>1185533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1768428</v>
      </c>
      <c r="C1644" s="2" t="s">
        <v>569</v>
      </c>
      <c r="D1644" s="2" t="str">
        <f t="shared" si="24"/>
        <v>Error?</v>
      </c>
    </row>
    <row r="1645" spans="1:4" x14ac:dyDescent="0.2">
      <c r="A1645" s="5">
        <v>1584</v>
      </c>
      <c r="B1645" s="1832">
        <f>'Acct Summary 7-8'!E79</f>
        <v>617050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570377</v>
      </c>
      <c r="C1658" s="2" t="s">
        <v>569</v>
      </c>
      <c r="D1658" s="2" t="str">
        <f t="shared" si="24"/>
        <v>Error?</v>
      </c>
    </row>
    <row r="1659" spans="1:4" x14ac:dyDescent="0.2">
      <c r="A1659" s="5">
        <v>1598</v>
      </c>
      <c r="B1659" s="1832">
        <f>'Acct Summary 7-8'!F79</f>
        <v>879496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959083</v>
      </c>
      <c r="C1672" s="2" t="s">
        <v>569</v>
      </c>
      <c r="D1672" s="2" t="str">
        <f t="shared" si="25"/>
        <v>Error?</v>
      </c>
    </row>
    <row r="1673" spans="1:4" x14ac:dyDescent="0.2">
      <c r="A1673" s="5">
        <v>1612</v>
      </c>
      <c r="B1673" s="1832">
        <f>'Acct Summary 7-8'!G79</f>
        <v>55745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32618</v>
      </c>
      <c r="C1686" s="2" t="s">
        <v>569</v>
      </c>
      <c r="D1686" s="2" t="str">
        <f t="shared" si="25"/>
        <v>Error?</v>
      </c>
    </row>
    <row r="1687" spans="1:4" x14ac:dyDescent="0.2">
      <c r="A1687" s="5">
        <v>1626</v>
      </c>
      <c r="B1687" s="1832">
        <f>'Acct Summary 7-8'!H79</f>
        <v>533</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534</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2081973</v>
      </c>
      <c r="C1744" s="2" t="s">
        <v>569</v>
      </c>
      <c r="D1744" s="2" t="str">
        <f t="shared" si="26"/>
        <v>Error?</v>
      </c>
    </row>
    <row r="1745" spans="1:5" x14ac:dyDescent="0.2">
      <c r="A1745" s="5">
        <v>1684</v>
      </c>
      <c r="B1745" s="1832">
        <f>'Tax Sched 23'!B5</f>
        <v>400290</v>
      </c>
      <c r="C1745" s="2" t="s">
        <v>569</v>
      </c>
      <c r="D1745" s="2" t="str">
        <f t="shared" si="26"/>
        <v>Error?</v>
      </c>
    </row>
    <row r="1746" spans="1:5" x14ac:dyDescent="0.2">
      <c r="A1746" s="5">
        <v>1685</v>
      </c>
      <c r="B1746" s="1832">
        <f>'Tax Sched 23'!B6</f>
        <v>439959</v>
      </c>
      <c r="C1746" s="2" t="s">
        <v>569</v>
      </c>
      <c r="D1746" s="2" t="str">
        <f t="shared" si="26"/>
        <v>Error?</v>
      </c>
    </row>
    <row r="1747" spans="1:5" x14ac:dyDescent="0.2">
      <c r="A1747" s="5">
        <v>1686</v>
      </c>
      <c r="B1747" s="1832">
        <f>'Tax Sched 23'!B7</f>
        <v>190096</v>
      </c>
      <c r="C1747" s="2" t="s">
        <v>569</v>
      </c>
      <c r="D1747" s="2" t="str">
        <f t="shared" si="26"/>
        <v>Error?</v>
      </c>
    </row>
    <row r="1748" spans="1:5" x14ac:dyDescent="0.2">
      <c r="A1748" s="5">
        <v>1687</v>
      </c>
      <c r="B1748" s="1832">
        <f>'Tax Sched 23'!B8</f>
        <v>67686</v>
      </c>
      <c r="C1748" s="2" t="s">
        <v>569</v>
      </c>
      <c r="D1748" s="2" t="str">
        <f t="shared" si="26"/>
        <v>Error?</v>
      </c>
    </row>
    <row r="1749" spans="1:5" x14ac:dyDescent="0.2">
      <c r="A1749" s="5">
        <v>1688</v>
      </c>
      <c r="B1749" s="1832">
        <f>'Tax Sched 23'!B10</f>
        <v>5758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108457</v>
      </c>
      <c r="C1752" s="2" t="s">
        <v>569</v>
      </c>
      <c r="D1752" s="2" t="str">
        <f t="shared" si="26"/>
        <v>Error?</v>
      </c>
    </row>
    <row r="1753" spans="1:5" x14ac:dyDescent="0.2">
      <c r="A1753" s="5">
        <v>1692</v>
      </c>
      <c r="B1753" s="1832">
        <f>'Tax Sched 23'!B12</f>
        <v>31520</v>
      </c>
      <c r="C1753" s="2" t="s">
        <v>569</v>
      </c>
      <c r="D1753" s="2" t="str">
        <f t="shared" si="26"/>
        <v>Error?</v>
      </c>
    </row>
    <row r="1754" spans="1:5" x14ac:dyDescent="0.2">
      <c r="A1754" s="5">
        <v>1693</v>
      </c>
      <c r="B1754" s="1832">
        <f>'Tax Sched 23'!B14</f>
        <v>38849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3436640</v>
      </c>
      <c r="C1759" s="2" t="s">
        <v>569</v>
      </c>
      <c r="D1759" s="2" t="str">
        <f t="shared" si="26"/>
        <v>Error?</v>
      </c>
    </row>
    <row r="1760" spans="1:5" x14ac:dyDescent="0.2">
      <c r="A1760" s="5">
        <v>1699</v>
      </c>
      <c r="B1760" s="1832">
        <f>'Tax Sched 23'!D4</f>
        <v>1882345</v>
      </c>
      <c r="C1760" s="2" t="s">
        <v>569</v>
      </c>
      <c r="D1760" s="2" t="str">
        <f t="shared" si="26"/>
        <v>Error?</v>
      </c>
    </row>
    <row r="1761" spans="1:7" x14ac:dyDescent="0.2">
      <c r="A1761" s="5">
        <v>1700</v>
      </c>
      <c r="B1761" s="1832">
        <f>'Tax Sched 23'!D5</f>
        <v>359378</v>
      </c>
      <c r="C1761" s="2" t="s">
        <v>569</v>
      </c>
      <c r="D1761" s="2" t="str">
        <f t="shared" si="26"/>
        <v>Error?</v>
      </c>
    </row>
    <row r="1762" spans="1:7" s="8" customFormat="1" x14ac:dyDescent="0.2">
      <c r="A1762" s="5">
        <v>1701</v>
      </c>
      <c r="B1762" s="1832">
        <f>'Tax Sched 23'!D6</f>
        <v>398252</v>
      </c>
      <c r="C1762" s="2" t="s">
        <v>569</v>
      </c>
      <c r="D1762" s="2" t="str">
        <f t="shared" si="26"/>
        <v>Error?</v>
      </c>
      <c r="E1762" s="9"/>
      <c r="G1762"/>
    </row>
    <row r="1763" spans="1:7" x14ac:dyDescent="0.2">
      <c r="A1763" s="5">
        <v>1702</v>
      </c>
      <c r="B1763" s="1832">
        <f>'Tax Sched 23'!D7</f>
        <v>172384</v>
      </c>
      <c r="C1763" s="2" t="s">
        <v>569</v>
      </c>
      <c r="D1763" s="2" t="str">
        <f t="shared" si="26"/>
        <v>Error?</v>
      </c>
    </row>
    <row r="1764" spans="1:7" x14ac:dyDescent="0.2">
      <c r="A1764" s="5">
        <v>1703</v>
      </c>
      <c r="B1764" s="1832">
        <f>'Tax Sched 23'!D8</f>
        <v>61700</v>
      </c>
      <c r="C1764" s="2" t="s">
        <v>569</v>
      </c>
      <c r="D1764" s="2" t="str">
        <f t="shared" si="26"/>
        <v>Error?</v>
      </c>
    </row>
    <row r="1765" spans="1:7" x14ac:dyDescent="0.2">
      <c r="A1765" s="5">
        <v>1704</v>
      </c>
      <c r="B1765" s="1832">
        <f>'Tax Sched 23'!D10</f>
        <v>5216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97645</v>
      </c>
      <c r="C1768" s="2" t="s">
        <v>569</v>
      </c>
      <c r="D1768" s="2" t="str">
        <f t="shared" si="26"/>
        <v>Error?</v>
      </c>
    </row>
    <row r="1769" spans="1:7" x14ac:dyDescent="0.2">
      <c r="A1769" s="5">
        <v>1708</v>
      </c>
      <c r="B1769" s="1832">
        <f>'Tax Sched 23'!D12</f>
        <v>29353</v>
      </c>
      <c r="C1769" s="2" t="s">
        <v>569</v>
      </c>
      <c r="D1769" s="2" t="str">
        <f t="shared" si="26"/>
        <v>Error?</v>
      </c>
    </row>
    <row r="1770" spans="1:7" x14ac:dyDescent="0.2">
      <c r="A1770" s="5">
        <v>1709</v>
      </c>
      <c r="B1770" s="1832">
        <f>'Tax Sched 23'!D14</f>
        <v>35219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3106911</v>
      </c>
      <c r="C1775" s="2" t="s">
        <v>569</v>
      </c>
      <c r="D1775" s="2" t="str">
        <f t="shared" si="26"/>
        <v>Error?</v>
      </c>
    </row>
    <row r="1776" spans="1:7" x14ac:dyDescent="0.2">
      <c r="A1776" s="5">
        <v>1715</v>
      </c>
      <c r="B1776" s="1832">
        <f>'Tax Sched 23'!C4</f>
        <v>199628</v>
      </c>
      <c r="D1776" s="2" t="str">
        <f t="shared" si="26"/>
        <v>Error?</v>
      </c>
    </row>
    <row r="1777" spans="1:4" x14ac:dyDescent="0.2">
      <c r="A1777" s="5">
        <v>1716</v>
      </c>
      <c r="B1777" s="1832">
        <f>'Tax Sched 23'!C5</f>
        <v>40912</v>
      </c>
      <c r="D1777" s="2" t="str">
        <f t="shared" si="26"/>
        <v>Error?</v>
      </c>
    </row>
    <row r="1778" spans="1:4" x14ac:dyDescent="0.2">
      <c r="A1778" s="5">
        <v>1717</v>
      </c>
      <c r="B1778" s="1832">
        <f>'Tax Sched 23'!C6</f>
        <v>41707</v>
      </c>
      <c r="D1778" s="2" t="str">
        <f t="shared" si="26"/>
        <v>Error?</v>
      </c>
    </row>
    <row r="1779" spans="1:4" x14ac:dyDescent="0.2">
      <c r="A1779" s="5">
        <v>1718</v>
      </c>
      <c r="B1779" s="1832">
        <f>'Tax Sched 23'!C7</f>
        <v>17712</v>
      </c>
      <c r="D1779" s="2" t="str">
        <f t="shared" si="26"/>
        <v>Error?</v>
      </c>
    </row>
    <row r="1780" spans="1:4" x14ac:dyDescent="0.2">
      <c r="A1780" s="5">
        <v>1719</v>
      </c>
      <c r="B1780" s="1832">
        <f>'Tax Sched 23'!C8</f>
        <v>5986</v>
      </c>
      <c r="D1780" s="2" t="str">
        <f t="shared" si="26"/>
        <v>Error?</v>
      </c>
    </row>
    <row r="1781" spans="1:4" x14ac:dyDescent="0.2">
      <c r="A1781" s="5">
        <v>1720</v>
      </c>
      <c r="B1781" s="1832">
        <f>'Tax Sched 23'!C10</f>
        <v>542</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10812</v>
      </c>
      <c r="D1784" s="2" t="str">
        <f t="shared" si="26"/>
        <v>Error?</v>
      </c>
    </row>
    <row r="1785" spans="1:4" x14ac:dyDescent="0.2">
      <c r="A1785" s="5">
        <v>1724</v>
      </c>
      <c r="B1785" s="1832">
        <f>'Tax Sched 23'!C12</f>
        <v>2167</v>
      </c>
      <c r="D1785" s="2" t="str">
        <f t="shared" si="26"/>
        <v>Error?</v>
      </c>
    </row>
    <row r="1786" spans="1:4" x14ac:dyDescent="0.2">
      <c r="A1786" s="5">
        <v>1725</v>
      </c>
      <c r="B1786" s="1832">
        <f>'Tax Sched 23'!C14</f>
        <v>3630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329729</v>
      </c>
      <c r="C1791" s="2" t="s">
        <v>569</v>
      </c>
      <c r="D1791" s="2" t="str">
        <f t="shared" ref="D1791:D1854" si="27">IF(ISBLANK(B1791),"OK",IF(A1791-B1791=0,"OK","Error?"))</f>
        <v>Error?</v>
      </c>
    </row>
    <row r="1792" spans="1:4" x14ac:dyDescent="0.2">
      <c r="A1792" s="5">
        <v>1731</v>
      </c>
      <c r="B1792" s="1832">
        <f>'Tax Sched 23'!F4</f>
        <v>2182653</v>
      </c>
      <c r="C1792" s="2" t="s">
        <v>569</v>
      </c>
      <c r="D1792" s="2" t="str">
        <f t="shared" si="27"/>
        <v>Error?</v>
      </c>
    </row>
    <row r="1793" spans="1:4" x14ac:dyDescent="0.2">
      <c r="A1793" s="5">
        <v>1732</v>
      </c>
      <c r="B1793" s="1832">
        <f>'Tax Sched 23'!F5</f>
        <v>447313</v>
      </c>
      <c r="C1793" s="2" t="s">
        <v>569</v>
      </c>
      <c r="D1793" s="2" t="str">
        <f t="shared" si="27"/>
        <v>Error?</v>
      </c>
    </row>
    <row r="1794" spans="1:4" x14ac:dyDescent="0.2">
      <c r="A1794" s="5">
        <v>1733</v>
      </c>
      <c r="B1794" s="1832">
        <f>'Tax Sched 23'!F6</f>
        <v>456004</v>
      </c>
      <c r="C1794" s="2" t="s">
        <v>569</v>
      </c>
      <c r="D1794" s="2" t="str">
        <f t="shared" si="27"/>
        <v>Error?</v>
      </c>
    </row>
    <row r="1795" spans="1:4" x14ac:dyDescent="0.2">
      <c r="A1795" s="5">
        <v>1734</v>
      </c>
      <c r="B1795" s="1832">
        <f>'Tax Sched 23'!F7</f>
        <v>193662</v>
      </c>
      <c r="C1795" s="2" t="s">
        <v>569</v>
      </c>
      <c r="D1795" s="2" t="str">
        <f t="shared" si="27"/>
        <v>Error?</v>
      </c>
    </row>
    <row r="1796" spans="1:4" x14ac:dyDescent="0.2">
      <c r="A1796" s="5">
        <v>1735</v>
      </c>
      <c r="B1796" s="1832">
        <f>'Tax Sched 23'!F8</f>
        <v>65451</v>
      </c>
      <c r="C1796" s="2" t="s">
        <v>569</v>
      </c>
      <c r="D1796" s="2" t="str">
        <f t="shared" si="27"/>
        <v>Error?</v>
      </c>
    </row>
    <row r="1797" spans="1:4" x14ac:dyDescent="0.2">
      <c r="A1797" s="5">
        <v>1736</v>
      </c>
      <c r="B1797" s="1832">
        <f>'Tax Sched 23'!F10</f>
        <v>5922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118212</v>
      </c>
      <c r="C1800" s="2" t="s">
        <v>569</v>
      </c>
      <c r="D1800" s="2" t="str">
        <f t="shared" si="27"/>
        <v>Error?</v>
      </c>
    </row>
    <row r="1801" spans="1:4" x14ac:dyDescent="0.2">
      <c r="A1801" s="5">
        <v>1740</v>
      </c>
      <c r="B1801" s="1832">
        <f>'Tax Sched 23'!F12</f>
        <v>23688</v>
      </c>
      <c r="C1801" s="2" t="s">
        <v>569</v>
      </c>
      <c r="D1801" s="2" t="str">
        <f t="shared" si="27"/>
        <v>Error?</v>
      </c>
    </row>
    <row r="1802" spans="1:4" x14ac:dyDescent="0.2">
      <c r="A1802" s="5">
        <v>1741</v>
      </c>
      <c r="B1802" s="1832">
        <f>'Tax Sched 23'!F14</f>
        <v>39686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3605118</v>
      </c>
      <c r="C1807" s="2" t="s">
        <v>569</v>
      </c>
      <c r="D1807" s="2" t="str">
        <f t="shared" si="27"/>
        <v>Error?</v>
      </c>
    </row>
    <row r="1808" spans="1:4" x14ac:dyDescent="0.2">
      <c r="A1808" s="5">
        <v>1747</v>
      </c>
      <c r="B1808" s="1832">
        <f>'Tax Sched 23'!E4</f>
        <v>2382281</v>
      </c>
      <c r="D1808" s="2" t="str">
        <f t="shared" si="27"/>
        <v>Error?</v>
      </c>
    </row>
    <row r="1809" spans="1:4" x14ac:dyDescent="0.2">
      <c r="A1809" s="5">
        <v>1748</v>
      </c>
      <c r="B1809" s="1832">
        <f>'Tax Sched 23'!E5</f>
        <v>488225</v>
      </c>
      <c r="D1809" s="2" t="str">
        <f t="shared" si="27"/>
        <v>Error?</v>
      </c>
    </row>
    <row r="1810" spans="1:4" x14ac:dyDescent="0.2">
      <c r="A1810" s="5">
        <v>1749</v>
      </c>
      <c r="B1810" s="1832">
        <f>'Tax Sched 23'!E6</f>
        <v>497711</v>
      </c>
      <c r="D1810" s="2" t="str">
        <f t="shared" si="27"/>
        <v>Error?</v>
      </c>
    </row>
    <row r="1811" spans="1:4" x14ac:dyDescent="0.2">
      <c r="A1811" s="5">
        <v>1750</v>
      </c>
      <c r="B1811" s="1832">
        <f>'Tax Sched 23'!E7</f>
        <v>211374</v>
      </c>
      <c r="D1811" s="2" t="str">
        <f t="shared" si="27"/>
        <v>Error?</v>
      </c>
    </row>
    <row r="1812" spans="1:4" x14ac:dyDescent="0.2">
      <c r="A1812" s="5">
        <v>1751</v>
      </c>
      <c r="B1812" s="1832">
        <f>'Tax Sched 23'!E8</f>
        <v>71437</v>
      </c>
      <c r="D1812" s="2" t="str">
        <f t="shared" si="27"/>
        <v>Error?</v>
      </c>
    </row>
    <row r="1813" spans="1:4" x14ac:dyDescent="0.2">
      <c r="A1813" s="5">
        <v>1752</v>
      </c>
      <c r="B1813" s="1832">
        <f>'Tax Sched 23'!E10</f>
        <v>6464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129024</v>
      </c>
      <c r="D1816" s="2" t="str">
        <f t="shared" si="27"/>
        <v>Error?</v>
      </c>
    </row>
    <row r="1817" spans="1:4" x14ac:dyDescent="0.2">
      <c r="A1817" s="5">
        <v>1756</v>
      </c>
      <c r="B1817" s="1832">
        <f>'Tax Sched 23'!E12</f>
        <v>25855</v>
      </c>
      <c r="D1817" s="2" t="str">
        <f t="shared" si="27"/>
        <v>Error?</v>
      </c>
    </row>
    <row r="1818" spans="1:4" x14ac:dyDescent="0.2">
      <c r="A1818" s="5">
        <v>1757</v>
      </c>
      <c r="B1818" s="1832">
        <f>'Tax Sched 23'!E14</f>
        <v>43316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3934847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9113879</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38849</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38849</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38849</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505331</v>
      </c>
      <c r="D2008" s="2" t="str">
        <f t="shared" si="30"/>
        <v>Error?</v>
      </c>
    </row>
    <row r="2009" spans="1:4" x14ac:dyDescent="0.2">
      <c r="A2009" s="5">
        <v>1948</v>
      </c>
      <c r="B2009" s="1832">
        <f>'Cap Outlay Deprec 26'!C8</f>
        <v>18908558</v>
      </c>
      <c r="D2009" s="2" t="str">
        <f t="shared" si="30"/>
        <v>Error?</v>
      </c>
    </row>
    <row r="2010" spans="1:4" x14ac:dyDescent="0.2">
      <c r="A2010" s="5">
        <v>1949</v>
      </c>
      <c r="B2010" s="1832">
        <f>'Cap Outlay Deprec 26'!C10</f>
        <v>782413</v>
      </c>
      <c r="D2010" s="2" t="str">
        <f t="shared" si="30"/>
        <v>Error?</v>
      </c>
    </row>
    <row r="2011" spans="1:4" x14ac:dyDescent="0.2">
      <c r="A2011" s="5">
        <v>1950</v>
      </c>
      <c r="B2011" s="1832">
        <f>'Cap Outlay Deprec 26'!C12</f>
        <v>1765522</v>
      </c>
      <c r="D2011" s="2" t="str">
        <f t="shared" si="30"/>
        <v>Error?</v>
      </c>
    </row>
    <row r="2012" spans="1:4" x14ac:dyDescent="0.2">
      <c r="A2012" s="5">
        <v>1951</v>
      </c>
      <c r="B2012" s="1832">
        <f>'Cap Outlay Deprec 26'!C13</f>
        <v>1155232</v>
      </c>
      <c r="D2012" s="2" t="str">
        <f t="shared" si="30"/>
        <v>Error?</v>
      </c>
    </row>
    <row r="2013" spans="1:4" x14ac:dyDescent="0.2">
      <c r="A2013" s="5">
        <v>1952</v>
      </c>
      <c r="B2013" s="1832">
        <f>'Cap Outlay Deprec 26'!C16</f>
        <v>23117056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715479</v>
      </c>
      <c r="D2016" s="2" t="str">
        <f t="shared" si="30"/>
        <v>Error?</v>
      </c>
    </row>
    <row r="2017" spans="1:4" x14ac:dyDescent="0.2">
      <c r="A2017" s="5">
        <v>1956</v>
      </c>
      <c r="B2017" s="1832">
        <f>'Cap Outlay Deprec 26'!D12</f>
        <v>71931</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787410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505331</v>
      </c>
      <c r="C2026" s="2" t="s">
        <v>569</v>
      </c>
      <c r="D2026" s="2" t="str">
        <f t="shared" si="30"/>
        <v>Error?</v>
      </c>
    </row>
    <row r="2027" spans="1:4" x14ac:dyDescent="0.2">
      <c r="A2027" s="5">
        <v>1966</v>
      </c>
      <c r="B2027" s="1832">
        <f>'Cap Outlay Deprec 26'!F8</f>
        <v>18908558</v>
      </c>
      <c r="C2027" s="2" t="s">
        <v>569</v>
      </c>
      <c r="D2027" s="2" t="str">
        <f t="shared" si="30"/>
        <v>Error?</v>
      </c>
    </row>
    <row r="2028" spans="1:4" x14ac:dyDescent="0.2">
      <c r="A2028" s="5">
        <v>1967</v>
      </c>
      <c r="B2028" s="1832">
        <f>'Cap Outlay Deprec 26'!F10</f>
        <v>1497892</v>
      </c>
      <c r="C2028" s="2" t="s">
        <v>569</v>
      </c>
      <c r="D2028" s="2" t="str">
        <f t="shared" si="30"/>
        <v>Error?</v>
      </c>
    </row>
    <row r="2029" spans="1:4" x14ac:dyDescent="0.2">
      <c r="A2029" s="5">
        <v>1968</v>
      </c>
      <c r="B2029" s="1832">
        <f>'Cap Outlay Deprec 26'!F12</f>
        <v>1837453</v>
      </c>
      <c r="C2029" s="2" t="s">
        <v>569</v>
      </c>
      <c r="D2029" s="2" t="str">
        <f t="shared" si="30"/>
        <v>Error?</v>
      </c>
    </row>
    <row r="2030" spans="1:4" x14ac:dyDescent="0.2">
      <c r="A2030" s="5">
        <v>1969</v>
      </c>
      <c r="B2030" s="1832">
        <f>'Cap Outlay Deprec 26'!F13</f>
        <v>1155232</v>
      </c>
      <c r="C2030" s="2" t="s">
        <v>569</v>
      </c>
      <c r="D2030" s="2" t="str">
        <f t="shared" si="30"/>
        <v>Error?</v>
      </c>
    </row>
    <row r="2031" spans="1:4" x14ac:dyDescent="0.2">
      <c r="A2031" s="5">
        <v>1970</v>
      </c>
      <c r="B2031" s="1832">
        <f>'Cap Outlay Deprec 26'!F16</f>
        <v>23904466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5666866</v>
      </c>
      <c r="D2033" s="2" t="str">
        <f t="shared" si="30"/>
        <v>Error?</v>
      </c>
    </row>
    <row r="2034" spans="1:4" x14ac:dyDescent="0.2">
      <c r="A2034" s="5">
        <v>1973</v>
      </c>
      <c r="B2034" s="1832">
        <f>'Cap Outlay Deprec 26'!H10</f>
        <v>392555</v>
      </c>
      <c r="D2034" s="2" t="str">
        <f t="shared" si="30"/>
        <v>Error?</v>
      </c>
    </row>
    <row r="2035" spans="1:4" x14ac:dyDescent="0.2">
      <c r="A2035" s="5">
        <v>1974</v>
      </c>
      <c r="B2035" s="1832">
        <f>'Cap Outlay Deprec 26'!H12</f>
        <v>1578503</v>
      </c>
      <c r="D2035" s="2" t="str">
        <f t="shared" si="30"/>
        <v>Error?</v>
      </c>
    </row>
    <row r="2036" spans="1:4" x14ac:dyDescent="0.2">
      <c r="A2036" s="5">
        <v>1975</v>
      </c>
      <c r="B2036" s="1832">
        <f>'Cap Outlay Deprec 26'!H13</f>
        <v>882959</v>
      </c>
      <c r="D2036" s="2" t="str">
        <f t="shared" si="30"/>
        <v>Error?</v>
      </c>
    </row>
    <row r="2037" spans="1:4" x14ac:dyDescent="0.2">
      <c r="A2037" s="5">
        <v>1976</v>
      </c>
      <c r="B2037" s="1832">
        <f>'Cap Outlay Deprec 26'!H16</f>
        <v>8520883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377747</v>
      </c>
      <c r="D2039" s="2" t="str">
        <f t="shared" si="30"/>
        <v>Error?</v>
      </c>
    </row>
    <row r="2040" spans="1:4" x14ac:dyDescent="0.2">
      <c r="A2040" s="5">
        <v>1979</v>
      </c>
      <c r="B2040" s="1832">
        <f>'Cap Outlay Deprec 26'!I10</f>
        <v>66900</v>
      </c>
      <c r="D2040" s="2" t="str">
        <f t="shared" si="30"/>
        <v>Error?</v>
      </c>
    </row>
    <row r="2041" spans="1:4" x14ac:dyDescent="0.2">
      <c r="A2041" s="5">
        <v>1980</v>
      </c>
      <c r="B2041" s="1832">
        <f>'Cap Outlay Deprec 26'!I12</f>
        <v>43503</v>
      </c>
      <c r="D2041" s="2" t="str">
        <f t="shared" si="30"/>
        <v>Error?</v>
      </c>
    </row>
    <row r="2042" spans="1:4" x14ac:dyDescent="0.2">
      <c r="A2042" s="5">
        <v>1981</v>
      </c>
      <c r="B2042" s="1832">
        <f>'Cap Outlay Deprec 26'!I13</f>
        <v>11054</v>
      </c>
      <c r="D2042" s="2" t="str">
        <f t="shared" si="30"/>
        <v>Error?</v>
      </c>
    </row>
    <row r="2043" spans="1:4" x14ac:dyDescent="0.2">
      <c r="A2043" s="5">
        <v>1982</v>
      </c>
      <c r="B2043" s="1832">
        <f>'Cap Outlay Deprec 26'!I16</f>
        <v>499204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6044613</v>
      </c>
      <c r="C2051" s="2" t="s">
        <v>569</v>
      </c>
      <c r="D2051" s="2" t="str">
        <f t="shared" si="31"/>
        <v>Error?</v>
      </c>
    </row>
    <row r="2052" spans="1:4" x14ac:dyDescent="0.2">
      <c r="A2052" s="5">
        <v>1991</v>
      </c>
      <c r="B2052" s="1832">
        <f>'Cap Outlay Deprec 26'!K10</f>
        <v>459455</v>
      </c>
      <c r="C2052" s="2" t="s">
        <v>569</v>
      </c>
      <c r="D2052" s="2" t="str">
        <f t="shared" si="31"/>
        <v>Error?</v>
      </c>
    </row>
    <row r="2053" spans="1:4" x14ac:dyDescent="0.2">
      <c r="A2053" s="5">
        <v>1992</v>
      </c>
      <c r="B2053" s="1832">
        <f>'Cap Outlay Deprec 26'!K12</f>
        <v>1622006</v>
      </c>
      <c r="C2053" s="2" t="s">
        <v>569</v>
      </c>
      <c r="D2053" s="2" t="str">
        <f t="shared" si="31"/>
        <v>Error?</v>
      </c>
    </row>
    <row r="2054" spans="1:4" x14ac:dyDescent="0.2">
      <c r="A2054" s="5">
        <v>1993</v>
      </c>
      <c r="B2054" s="1832">
        <f>'Cap Outlay Deprec 26'!K13</f>
        <v>894013</v>
      </c>
      <c r="C2054" s="2" t="s">
        <v>569</v>
      </c>
      <c r="D2054" s="2" t="str">
        <f t="shared" si="31"/>
        <v>Error?</v>
      </c>
    </row>
    <row r="2055" spans="1:4" x14ac:dyDescent="0.2">
      <c r="A2055" s="5">
        <v>1994</v>
      </c>
      <c r="B2055" s="1832">
        <f>'Cap Outlay Deprec 26'!K16</f>
        <v>9020087</v>
      </c>
      <c r="C2055" s="2" t="s">
        <v>569</v>
      </c>
      <c r="D2055" s="2" t="str">
        <f t="shared" si="31"/>
        <v>Error?</v>
      </c>
    </row>
    <row r="2056" spans="1:4" x14ac:dyDescent="0.2">
      <c r="A2056" s="5">
        <v>1995</v>
      </c>
      <c r="B2056" s="1832">
        <f>'Cap Outlay Deprec 26'!L5</f>
        <v>505331</v>
      </c>
      <c r="C2056" s="2" t="s">
        <v>569</v>
      </c>
      <c r="D2056" s="2" t="str">
        <f t="shared" si="31"/>
        <v>Error?</v>
      </c>
    </row>
    <row r="2057" spans="1:4" x14ac:dyDescent="0.2">
      <c r="A2057" s="5">
        <v>1996</v>
      </c>
      <c r="B2057" s="1832">
        <f>'Cap Outlay Deprec 26'!L8</f>
        <v>12863945</v>
      </c>
      <c r="C2057" s="2" t="s">
        <v>569</v>
      </c>
      <c r="D2057" s="2" t="str">
        <f t="shared" si="31"/>
        <v>Error?</v>
      </c>
    </row>
    <row r="2058" spans="1:4" x14ac:dyDescent="0.2">
      <c r="A2058" s="5">
        <v>1997</v>
      </c>
      <c r="B2058" s="1832">
        <f>'Cap Outlay Deprec 26'!L10</f>
        <v>1038437</v>
      </c>
      <c r="C2058" s="2" t="s">
        <v>569</v>
      </c>
      <c r="D2058" s="2" t="str">
        <f t="shared" si="31"/>
        <v>Error?</v>
      </c>
    </row>
    <row r="2059" spans="1:4" x14ac:dyDescent="0.2">
      <c r="A2059" s="5">
        <v>1998</v>
      </c>
      <c r="B2059" s="1832">
        <f>'Cap Outlay Deprec 26'!L12</f>
        <v>215447</v>
      </c>
      <c r="C2059" s="2" t="s">
        <v>569</v>
      </c>
      <c r="D2059" s="2" t="str">
        <f t="shared" si="31"/>
        <v>Error?</v>
      </c>
    </row>
    <row r="2060" spans="1:4" x14ac:dyDescent="0.2">
      <c r="A2060" s="5">
        <v>1999</v>
      </c>
      <c r="B2060" s="1832">
        <f>'Cap Outlay Deprec 26'!L13</f>
        <v>261219</v>
      </c>
      <c r="C2060" s="2" t="s">
        <v>569</v>
      </c>
      <c r="D2060" s="2" t="str">
        <f t="shared" si="31"/>
        <v>Error?</v>
      </c>
    </row>
    <row r="2061" spans="1:4" x14ac:dyDescent="0.2">
      <c r="A2061" s="5">
        <v>2000</v>
      </c>
      <c r="B2061" s="1832">
        <f>'Cap Outlay Deprec 26'!L16</f>
        <v>14884379</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23670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236898</v>
      </c>
      <c r="C2088" s="2" t="s">
        <v>569</v>
      </c>
      <c r="D2088" s="2" t="str">
        <f t="shared" si="31"/>
        <v>Error?</v>
      </c>
    </row>
    <row r="2089" spans="1:4" x14ac:dyDescent="0.2">
      <c r="A2089" s="5">
        <v>2028</v>
      </c>
      <c r="B2089" s="1832">
        <f>'Expenditures 15-22'!K92</f>
        <v>33209</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1372368</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32618</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3002666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1551765</v>
      </c>
      <c r="C2553" s="2" t="s">
        <v>569</v>
      </c>
      <c r="D2553" s="2" t="str">
        <f t="shared" si="38"/>
        <v>Error?</v>
      </c>
    </row>
    <row r="2554" spans="1:4" x14ac:dyDescent="0.2">
      <c r="A2554" s="5">
        <v>2493</v>
      </c>
      <c r="B2554" s="1832">
        <f>'Acct Summary 7-8'!C7</f>
        <v>411609</v>
      </c>
      <c r="C2554" s="2" t="s">
        <v>569</v>
      </c>
      <c r="D2554" s="2" t="str">
        <f t="shared" si="38"/>
        <v>Error?</v>
      </c>
    </row>
    <row r="2555" spans="1:4" x14ac:dyDescent="0.2">
      <c r="A2555" s="5">
        <v>2494</v>
      </c>
      <c r="B2555" s="1832">
        <f>'Acct Summary 7-8'!C8</f>
        <v>4966040</v>
      </c>
      <c r="C2555" s="2" t="s">
        <v>569</v>
      </c>
      <c r="D2555" s="2" t="str">
        <f t="shared" si="38"/>
        <v>Error?</v>
      </c>
    </row>
    <row r="2556" spans="1:4" x14ac:dyDescent="0.2">
      <c r="A2556" s="5">
        <v>2495</v>
      </c>
      <c r="B2556" s="1832">
        <f>'Acct Summary 7-8'!C12</f>
        <v>3547855</v>
      </c>
      <c r="C2556" s="2" t="s">
        <v>569</v>
      </c>
      <c r="D2556" s="2" t="str">
        <f t="shared" si="38"/>
        <v>Error?</v>
      </c>
    </row>
    <row r="2557" spans="1:4" x14ac:dyDescent="0.2">
      <c r="A2557" s="5">
        <v>2496</v>
      </c>
      <c r="B2557" s="1832">
        <f>'Acct Summary 7-8'!C13</f>
        <v>1450372</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270107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5268334</v>
      </c>
      <c r="C2561" s="2" t="s">
        <v>569</v>
      </c>
      <c r="D2561" s="2" t="str">
        <f t="shared" si="39"/>
        <v>Error?</v>
      </c>
    </row>
    <row r="2562" spans="1:4" x14ac:dyDescent="0.2">
      <c r="A2562" s="5">
        <v>2501</v>
      </c>
      <c r="B2562" s="1832">
        <f>'Acct Summary 7-8'!C20</f>
        <v>-302294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444807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30000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474807</v>
      </c>
      <c r="C2568" s="2" t="s">
        <v>569</v>
      </c>
      <c r="D2568" s="2" t="str">
        <f t="shared" si="39"/>
        <v>Error?</v>
      </c>
    </row>
    <row r="2569" spans="1:4" x14ac:dyDescent="0.2">
      <c r="A2569" s="5">
        <v>2508</v>
      </c>
      <c r="B2569" s="1832">
        <f>'Acct Summary 7-8'!D13</f>
        <v>1153612</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1153612</v>
      </c>
      <c r="C2573" s="2" t="s">
        <v>569</v>
      </c>
      <c r="D2573" s="2" t="str">
        <f t="shared" si="39"/>
        <v>Error?</v>
      </c>
    </row>
    <row r="2574" spans="1:4" x14ac:dyDescent="0.2">
      <c r="A2574" s="5">
        <v>2513</v>
      </c>
      <c r="B2574" s="1832">
        <f>'Acct Summary 7-8'!D20</f>
        <v>-678805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213020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159250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372270</v>
      </c>
      <c r="C2595" s="2" t="s">
        <v>569</v>
      </c>
      <c r="D2595" s="2" t="str">
        <f t="shared" si="39"/>
        <v>Error?</v>
      </c>
    </row>
    <row r="2596" spans="1:4" x14ac:dyDescent="0.2">
      <c r="A2596" s="5">
        <v>2535</v>
      </c>
      <c r="B2596" s="1832">
        <f>'Acct Summary 7-8'!F13</f>
        <v>229423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63260</v>
      </c>
      <c r="C2599" s="2" t="s">
        <v>569</v>
      </c>
      <c r="D2599" s="2" t="str">
        <f t="shared" si="39"/>
        <v>Error?</v>
      </c>
    </row>
    <row r="2600" spans="1:4" x14ac:dyDescent="0.2">
      <c r="A2600" s="5">
        <v>2539</v>
      </c>
      <c r="B2600" s="1832">
        <f>'Acct Summary 7-8'!F17</f>
        <v>292683</v>
      </c>
      <c r="C2600" s="2" t="s">
        <v>569</v>
      </c>
      <c r="D2600" s="2" t="str">
        <f t="shared" si="39"/>
        <v>Error?</v>
      </c>
    </row>
    <row r="2601" spans="1:4" x14ac:dyDescent="0.2">
      <c r="A2601" s="5">
        <v>2540</v>
      </c>
      <c r="B2601" s="1832">
        <f>'Acct Summary 7-8'!F20</f>
        <v>79587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159183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159183</v>
      </c>
      <c r="C2606" s="2" t="s">
        <v>569</v>
      </c>
      <c r="D2606" s="2" t="str">
        <f t="shared" si="39"/>
        <v>Error?</v>
      </c>
    </row>
    <row r="2607" spans="1:4" x14ac:dyDescent="0.2">
      <c r="A2607" s="5">
        <v>2546</v>
      </c>
      <c r="B2607" s="1832">
        <f>'Acct Summary 7-8'!G12</f>
        <v>83385</v>
      </c>
      <c r="C2607" s="2" t="s">
        <v>569</v>
      </c>
      <c r="D2607" s="2" t="str">
        <f t="shared" si="39"/>
        <v>Error?</v>
      </c>
    </row>
    <row r="2608" spans="1:4" x14ac:dyDescent="0.2">
      <c r="A2608" s="5">
        <v>2547</v>
      </c>
      <c r="B2608" s="1832">
        <f>'Acct Summary 7-8'!G13</f>
        <v>98925</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182310</v>
      </c>
      <c r="C2612" s="2" t="s">
        <v>569</v>
      </c>
      <c r="D2612" s="2" t="str">
        <f t="shared" si="39"/>
        <v>Error?</v>
      </c>
    </row>
    <row r="2613" spans="1:4" x14ac:dyDescent="0.2">
      <c r="A2613" s="5">
        <v>2552</v>
      </c>
      <c r="B2613" s="1832">
        <f>'Acct Summary 7-8'!G20</f>
        <v>-23127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912138</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965185</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1011858</v>
      </c>
      <c r="C2634" s="2" t="s">
        <v>569</v>
      </c>
      <c r="D2634" s="2" t="str">
        <f t="shared" si="40"/>
        <v>Error?</v>
      </c>
    </row>
    <row r="2635" spans="1:4" x14ac:dyDescent="0.2">
      <c r="A2635" s="5">
        <v>2574</v>
      </c>
      <c r="B2635" s="1832">
        <f>'Acct Summary 7-8'!E17</f>
        <v>1011858</v>
      </c>
      <c r="C2635" s="2" t="s">
        <v>569</v>
      </c>
      <c r="D2635" s="2" t="str">
        <f t="shared" si="40"/>
        <v>Error?</v>
      </c>
    </row>
    <row r="2636" spans="1:4" x14ac:dyDescent="0.2">
      <c r="A2636" s="5">
        <v>2575</v>
      </c>
      <c r="B2636" s="1832">
        <f>'Acct Summary 7-8'!E20</f>
        <v>-46673</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1</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213228</v>
      </c>
      <c r="C2789" s="2" t="s">
        <v>569</v>
      </c>
      <c r="D2789" s="2" t="str">
        <f t="shared" si="42"/>
        <v>Error?</v>
      </c>
    </row>
    <row r="2790" spans="1:4" x14ac:dyDescent="0.2">
      <c r="A2790" s="5">
        <v>2729</v>
      </c>
      <c r="B2790" s="1832">
        <f>'Expenditures 15-22'!E102</f>
        <v>213228</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930000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930000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65341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22852</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907148</v>
      </c>
      <c r="D2912" s="2" t="str">
        <f t="shared" si="44"/>
        <v>Error?</v>
      </c>
    </row>
    <row r="2913" spans="1:4" x14ac:dyDescent="0.2">
      <c r="A2913" s="5">
        <v>2852</v>
      </c>
      <c r="B2913" s="1832">
        <f>'Assets-Liab 5-6'!I41</f>
        <v>930000</v>
      </c>
      <c r="C2913" s="2" t="s">
        <v>569</v>
      </c>
      <c r="D2913" s="2" t="str">
        <f t="shared" si="44"/>
        <v>Error?</v>
      </c>
    </row>
    <row r="2914" spans="1:4" x14ac:dyDescent="0.2">
      <c r="A2914" s="5">
        <v>2853</v>
      </c>
      <c r="B2914" s="1832">
        <f>'Assets-Liab 5-6'!L33</f>
        <v>65341</v>
      </c>
      <c r="D2914" s="2" t="str">
        <f t="shared" si="44"/>
        <v>Error?</v>
      </c>
    </row>
    <row r="2915" spans="1:4" x14ac:dyDescent="0.2">
      <c r="A2915" s="10">
        <v>2854</v>
      </c>
      <c r="B2915" s="1832"/>
      <c r="D2915" s="2" t="str">
        <f t="shared" si="44"/>
        <v>OK</v>
      </c>
    </row>
    <row r="2916" spans="1:4" x14ac:dyDescent="0.2">
      <c r="A2916" s="5">
        <v>2855</v>
      </c>
      <c r="B2916" s="1832">
        <f>'Assets-Liab 5-6'!L34</f>
        <v>65341</v>
      </c>
      <c r="C2916" s="2" t="s">
        <v>569</v>
      </c>
      <c r="D2916" s="2" t="str">
        <f t="shared" si="44"/>
        <v>Error?</v>
      </c>
    </row>
    <row r="2917" spans="1:4" x14ac:dyDescent="0.2">
      <c r="A2917" s="5">
        <v>2856</v>
      </c>
      <c r="B2917" s="1832">
        <f>'Assets-Liab 5-6'!L41</f>
        <v>65341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213228</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23033</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637</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236261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637</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77537</v>
      </c>
      <c r="D3055" s="2" t="str">
        <f t="shared" si="46"/>
        <v>Error?</v>
      </c>
    </row>
    <row r="3056" spans="1:4" x14ac:dyDescent="0.2">
      <c r="A3056" s="5">
        <v>2995</v>
      </c>
      <c r="B3056" s="1832">
        <f>'Expenditures 15-22'!D10</f>
        <v>19154</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3037</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99728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34129</v>
      </c>
      <c r="C3225" s="2" t="s">
        <v>569</v>
      </c>
      <c r="D3225" s="2" t="str">
        <f t="shared" si="49"/>
        <v>Error?</v>
      </c>
    </row>
    <row r="3226" spans="1:4" x14ac:dyDescent="0.2">
      <c r="A3226" s="5">
        <v>3165</v>
      </c>
      <c r="B3226" s="1832">
        <f>'Acct Summary 7-8'!I8</f>
        <v>34129</v>
      </c>
      <c r="C3226" s="2" t="s">
        <v>569</v>
      </c>
      <c r="D3226" s="2" t="str">
        <f t="shared" si="49"/>
        <v>Error?</v>
      </c>
    </row>
    <row r="3227" spans="1:4" x14ac:dyDescent="0.2">
      <c r="A3227" s="5">
        <v>3166</v>
      </c>
      <c r="B3227" s="1832">
        <f>'Acct Summary 7-8'!I20</f>
        <v>34129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78368</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78368</v>
      </c>
      <c r="C3232" s="2" t="s">
        <v>569</v>
      </c>
      <c r="D3232" s="2" t="str">
        <f t="shared" si="49"/>
        <v>Error?</v>
      </c>
    </row>
    <row r="3233" spans="1:4" x14ac:dyDescent="0.2">
      <c r="A3233" s="5">
        <v>3172</v>
      </c>
      <c r="B3233" s="1832">
        <f>'Acct Summary 7-8'!C78</f>
        <v>-223926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1261700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1261700</v>
      </c>
      <c r="C3238" s="2" t="s">
        <v>569</v>
      </c>
      <c r="D3238" s="2" t="str">
        <f t="shared" si="49"/>
        <v>Error?</v>
      </c>
    </row>
    <row r="3239" spans="1:4" x14ac:dyDescent="0.2">
      <c r="A3239" s="5">
        <v>3178</v>
      </c>
      <c r="B3239" s="1832">
        <f>'Acct Summary 7-8'!D78</f>
        <v>582895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79587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-23127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-46673</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1372368</v>
      </c>
      <c r="C3318" s="2" t="s">
        <v>569</v>
      </c>
      <c r="D3318" s="2" t="str">
        <f t="shared" si="50"/>
        <v>Error?</v>
      </c>
    </row>
    <row r="3319" spans="1:4" x14ac:dyDescent="0.2">
      <c r="A3319" s="5">
        <v>3258</v>
      </c>
      <c r="B3319" s="1832">
        <f>'Acct Summary 7-8'!I77</f>
        <v>-1372368</v>
      </c>
      <c r="C3319" s="2" t="s">
        <v>569</v>
      </c>
      <c r="D3319" s="2" t="str">
        <f t="shared" si="50"/>
        <v>Error?</v>
      </c>
    </row>
    <row r="3320" spans="1:4" x14ac:dyDescent="0.2">
      <c r="A3320" s="5">
        <v>3259</v>
      </c>
      <c r="B3320" s="1832">
        <f>'Acct Summary 7-8'!I78</f>
        <v>-1338239</v>
      </c>
      <c r="C3320" s="2" t="s">
        <v>569</v>
      </c>
      <c r="D3320" s="2" t="str">
        <f t="shared" si="50"/>
        <v>Error?</v>
      </c>
    </row>
    <row r="3321" spans="1:4" x14ac:dyDescent="0.2">
      <c r="A3321" s="5">
        <v>3260</v>
      </c>
      <c r="B3321" s="1832">
        <f>'Acct Summary 7-8'!I79</f>
        <v>2245387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907148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471268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125030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1422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597720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36685</v>
      </c>
      <c r="D3387" s="2" t="str">
        <f t="shared" si="51"/>
        <v>Error?</v>
      </c>
    </row>
    <row r="3388" spans="1:4" x14ac:dyDescent="0.2">
      <c r="A3388" s="5">
        <v>3327</v>
      </c>
      <c r="B3388" s="1832">
        <f>'Expenditures 15-22'!D217</f>
        <v>42282</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36685</v>
      </c>
      <c r="C3390" s="2" t="s">
        <v>569</v>
      </c>
      <c r="D3390" s="2" t="str">
        <f t="shared" si="51"/>
        <v>Error?</v>
      </c>
    </row>
    <row r="3391" spans="1:4" x14ac:dyDescent="0.2">
      <c r="A3391" s="5">
        <v>3330</v>
      </c>
      <c r="B3391" s="1832">
        <f>'Expenditures 15-22'!K217</f>
        <v>42282</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454722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243428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109377</v>
      </c>
      <c r="D3417" s="2" t="str">
        <f t="shared" si="52"/>
        <v>Error?</v>
      </c>
    </row>
    <row r="3418" spans="1:4" x14ac:dyDescent="0.2">
      <c r="A3418" s="10">
        <v>3357</v>
      </c>
      <c r="B3418" s="1832"/>
      <c r="D3418" s="2" t="str">
        <f t="shared" si="52"/>
        <v>OK</v>
      </c>
    </row>
    <row r="3419" spans="1:4" x14ac:dyDescent="0.2">
      <c r="A3419" s="5">
        <v>3358</v>
      </c>
      <c r="B3419" s="1832">
        <f>'Assets-Liab 5-6'!F4</f>
        <v>69083</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17618</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534</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65341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72052</v>
      </c>
      <c r="C3446" s="2" t="s">
        <v>569</v>
      </c>
      <c r="D3446" s="2" t="str">
        <f t="shared" si="52"/>
        <v>Error?</v>
      </c>
    </row>
    <row r="3447" spans="1:4" x14ac:dyDescent="0.2">
      <c r="A3447" s="5">
        <v>3386</v>
      </c>
      <c r="B3447" s="1832">
        <f>'Tax Sched 23'!D16</f>
        <v>65419</v>
      </c>
      <c r="C3447" s="2" t="s">
        <v>569</v>
      </c>
      <c r="D3447" s="2" t="str">
        <f t="shared" si="52"/>
        <v>Error?</v>
      </c>
    </row>
    <row r="3448" spans="1:4" x14ac:dyDescent="0.2">
      <c r="A3448" s="5">
        <v>3387</v>
      </c>
      <c r="B3448" s="1832">
        <f>'Tax Sched 23'!C16</f>
        <v>6633</v>
      </c>
      <c r="D3448" s="2" t="str">
        <f t="shared" si="52"/>
        <v>Error?</v>
      </c>
    </row>
    <row r="3449" spans="1:4" x14ac:dyDescent="0.2">
      <c r="A3449" s="5">
        <v>3388</v>
      </c>
      <c r="B3449" s="1832">
        <f>'Tax Sched 23'!F16</f>
        <v>72527</v>
      </c>
      <c r="C3449" s="2" t="s">
        <v>569</v>
      </c>
      <c r="D3449" s="2" t="str">
        <f t="shared" si="52"/>
        <v>Error?</v>
      </c>
    </row>
    <row r="3450" spans="1:4" x14ac:dyDescent="0.2">
      <c r="A3450" s="5">
        <v>3389</v>
      </c>
      <c r="B3450" s="1832">
        <f>'Tax Sched 23'!E16</f>
        <v>79160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4095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120000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124095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124095</v>
      </c>
      <c r="D3567" s="2" t="str">
        <f t="shared" si="54"/>
        <v>Error?</v>
      </c>
    </row>
    <row r="3568" spans="1:4" x14ac:dyDescent="0.2">
      <c r="A3568" s="5">
        <v>3507</v>
      </c>
      <c r="B3568" s="1832">
        <f>'Assets-Liab 5-6'!K41</f>
        <v>124095</v>
      </c>
      <c r="C3568" s="2" t="s">
        <v>569</v>
      </c>
      <c r="D3568" s="2" t="str">
        <f t="shared" si="54"/>
        <v>Error?</v>
      </c>
    </row>
    <row r="3569" spans="1:4" x14ac:dyDescent="0.2">
      <c r="A3569" s="5">
        <v>3508</v>
      </c>
      <c r="B3569" s="1832">
        <f>'Acct Summary 7-8'!K4</f>
        <v>34579</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34579</v>
      </c>
      <c r="C3571" s="2" t="s">
        <v>569</v>
      </c>
      <c r="D3571" s="2" t="str">
        <f t="shared" si="54"/>
        <v>Error?</v>
      </c>
    </row>
    <row r="3572" spans="1:4" x14ac:dyDescent="0.2">
      <c r="A3572" s="5">
        <v>3511</v>
      </c>
      <c r="B3572" s="1832">
        <f>'Acct Summary 7-8'!K13</f>
        <v>12776</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12776</v>
      </c>
      <c r="C3575" s="2" t="s">
        <v>569</v>
      </c>
      <c r="D3575" s="2" t="str">
        <f t="shared" si="54"/>
        <v>Error?</v>
      </c>
    </row>
    <row r="3576" spans="1:4" x14ac:dyDescent="0.2">
      <c r="A3576" s="5">
        <v>3515</v>
      </c>
      <c r="B3576" s="1832">
        <f>'Acct Summary 7-8'!K20</f>
        <v>21803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21803</v>
      </c>
      <c r="C3588" s="2" t="s">
        <v>569</v>
      </c>
      <c r="D3588" s="2" t="str">
        <f t="shared" si="55"/>
        <v>Error?</v>
      </c>
    </row>
    <row r="3589" spans="1:4" x14ac:dyDescent="0.2">
      <c r="A3589" s="5">
        <v>3528</v>
      </c>
      <c r="B3589" s="1832">
        <f>'Acct Summary 7-8'!K79</f>
        <v>102292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124095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12776</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12776</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12776</v>
      </c>
      <c r="C3635" s="2" t="s">
        <v>569</v>
      </c>
      <c r="D3635" s="2" t="str">
        <f t="shared" si="55"/>
        <v>Error?</v>
      </c>
    </row>
    <row r="3636" spans="1:4" x14ac:dyDescent="0.2">
      <c r="A3636" s="5">
        <v>3575</v>
      </c>
      <c r="B3636" s="1832">
        <f>'Expenditures 15-22'!E367</f>
        <v>12776</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12776</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12776</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12776</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12776</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21803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69124</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2411872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7377912</v>
      </c>
      <c r="C4122" s="2" t="s">
        <v>569</v>
      </c>
      <c r="D4122" s="2" t="str">
        <f t="shared" si="63"/>
        <v>Error?</v>
      </c>
    </row>
    <row r="4123" spans="1:4" x14ac:dyDescent="0.2">
      <c r="A4123" s="5">
        <v>4062</v>
      </c>
      <c r="B4123" s="1832">
        <f>'Acct Summary 7-8'!D10</f>
        <v>474807</v>
      </c>
      <c r="C4123" s="2" t="s">
        <v>569</v>
      </c>
      <c r="D4123" s="2" t="str">
        <f t="shared" si="63"/>
        <v>Error?</v>
      </c>
    </row>
    <row r="4124" spans="1:4" x14ac:dyDescent="0.2">
      <c r="A4124" s="5">
        <v>4063</v>
      </c>
      <c r="B4124" s="1832">
        <f>'Acct Summary 7-8'!E10</f>
        <v>965185</v>
      </c>
      <c r="C4124" s="2" t="s">
        <v>569</v>
      </c>
      <c r="D4124" s="2" t="str">
        <f t="shared" si="63"/>
        <v>Error?</v>
      </c>
    </row>
    <row r="4125" spans="1:4" x14ac:dyDescent="0.2">
      <c r="A4125" s="5">
        <v>4064</v>
      </c>
      <c r="B4125" s="1832">
        <f>'Acct Summary 7-8'!F10</f>
        <v>372270</v>
      </c>
      <c r="C4125" s="2" t="s">
        <v>569</v>
      </c>
      <c r="D4125" s="2" t="str">
        <f t="shared" si="63"/>
        <v>Error?</v>
      </c>
    </row>
    <row r="4126" spans="1:4" x14ac:dyDescent="0.2">
      <c r="A4126" s="5">
        <v>4065</v>
      </c>
      <c r="B4126" s="1832">
        <f>'Acct Summary 7-8'!G10</f>
        <v>159183</v>
      </c>
      <c r="C4126" s="2" t="s">
        <v>569</v>
      </c>
      <c r="D4126" s="2" t="str">
        <f t="shared" si="63"/>
        <v>Error?</v>
      </c>
    </row>
    <row r="4127" spans="1:4" x14ac:dyDescent="0.2">
      <c r="A4127" s="5">
        <v>4066</v>
      </c>
      <c r="B4127" s="1832">
        <f>'Acct Summary 7-8'!H10</f>
        <v>1</v>
      </c>
      <c r="C4127" s="2" t="s">
        <v>569</v>
      </c>
      <c r="D4127" s="2" t="str">
        <f t="shared" si="63"/>
        <v>Error?</v>
      </c>
    </row>
    <row r="4128" spans="1:4" x14ac:dyDescent="0.2">
      <c r="A4128" s="5">
        <v>4067</v>
      </c>
      <c r="B4128" s="1832">
        <f>'Acct Summary 7-8'!I10</f>
        <v>34129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34579</v>
      </c>
      <c r="C4130" s="2" t="s">
        <v>569</v>
      </c>
      <c r="D4130" s="2" t="str">
        <f t="shared" si="63"/>
        <v>Error?</v>
      </c>
    </row>
    <row r="4131" spans="1:4" x14ac:dyDescent="0.2">
      <c r="A4131" s="5">
        <v>4070</v>
      </c>
      <c r="B4131" s="1832">
        <f>'Acct Summary 7-8'!C18</f>
        <v>2411872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7680206</v>
      </c>
      <c r="C4136" s="2" t="s">
        <v>569</v>
      </c>
      <c r="D4136" s="2" t="str">
        <f t="shared" si="63"/>
        <v>Error?</v>
      </c>
    </row>
    <row r="4137" spans="1:4" x14ac:dyDescent="0.2">
      <c r="A4137" s="5">
        <v>4076</v>
      </c>
      <c r="B4137" s="1832">
        <f>'Acct Summary 7-8'!D19</f>
        <v>1153612</v>
      </c>
      <c r="C4137" s="2" t="s">
        <v>569</v>
      </c>
      <c r="D4137" s="2" t="str">
        <f t="shared" si="63"/>
        <v>Error?</v>
      </c>
    </row>
    <row r="4138" spans="1:4" x14ac:dyDescent="0.2">
      <c r="A4138" s="5">
        <v>4077</v>
      </c>
      <c r="B4138" s="1832">
        <f>'Acct Summary 7-8'!E19</f>
        <v>1011858</v>
      </c>
      <c r="C4138" s="2" t="s">
        <v>569</v>
      </c>
      <c r="D4138" s="2" t="str">
        <f t="shared" si="63"/>
        <v>Error?</v>
      </c>
    </row>
    <row r="4139" spans="1:4" x14ac:dyDescent="0.2">
      <c r="A4139" s="5">
        <v>4078</v>
      </c>
      <c r="B4139" s="1832">
        <f>'Acct Summary 7-8'!F19</f>
        <v>292683</v>
      </c>
      <c r="C4139" s="2" t="s">
        <v>569</v>
      </c>
      <c r="D4139" s="2" t="str">
        <f t="shared" si="63"/>
        <v>Error?</v>
      </c>
    </row>
    <row r="4140" spans="1:4" x14ac:dyDescent="0.2">
      <c r="A4140" s="5">
        <v>4079</v>
      </c>
      <c r="B4140" s="1832">
        <f>'Acct Summary 7-8'!G19</f>
        <v>182310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12776</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8474986</v>
      </c>
      <c r="C4171" s="2" t="s">
        <v>569</v>
      </c>
      <c r="D4171" s="2" t="str">
        <f t="shared" si="64"/>
        <v>Error?</v>
      </c>
    </row>
    <row r="4172" spans="1:4" x14ac:dyDescent="0.2">
      <c r="A4172" s="5">
        <v>4111</v>
      </c>
      <c r="B4172" s="1832">
        <f>'Short-Term Long-Term Debt 24'!J49</f>
        <v>7904609</v>
      </c>
      <c r="C4172" s="2" t="s">
        <v>569</v>
      </c>
      <c r="D4172" s="2" t="str">
        <f t="shared" si="64"/>
        <v>Error?</v>
      </c>
    </row>
    <row r="4173" spans="1:4" x14ac:dyDescent="0.2">
      <c r="A4173" s="5">
        <v>4112</v>
      </c>
      <c r="B4173" s="1832">
        <f>'Short-Term Long-Term Debt 24'!H49</f>
        <v>638893</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59893</v>
      </c>
      <c r="D4210" s="2" t="str">
        <f t="shared" si="64"/>
        <v>Error?</v>
      </c>
    </row>
    <row r="4211" spans="1:4" x14ac:dyDescent="0.2">
      <c r="A4211" s="5">
        <v>4150</v>
      </c>
      <c r="B4211" s="1832">
        <f>'Expenditures 15-22'!K206</f>
        <v>59893</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2837.9</v>
      </c>
      <c r="C4265" s="2" t="s">
        <v>569</v>
      </c>
      <c r="D4265" s="2" t="str">
        <f t="shared" si="65"/>
        <v>Error?</v>
      </c>
      <c r="E4265" s="125"/>
    </row>
    <row r="4266" spans="1:5" x14ac:dyDescent="0.2">
      <c r="A4266" s="12">
        <v>4205</v>
      </c>
      <c r="B4266" s="1832">
        <f>('FP Info 3'!F10)*100000</f>
        <v>581.6</v>
      </c>
      <c r="C4266" s="2" t="s">
        <v>569</v>
      </c>
      <c r="D4266" s="2" t="str">
        <f t="shared" si="65"/>
        <v>Error?</v>
      </c>
      <c r="E4266" s="125"/>
    </row>
    <row r="4267" spans="1:5" x14ac:dyDescent="0.2">
      <c r="A4267" s="12">
        <v>4206</v>
      </c>
      <c r="B4267" s="1832">
        <f>('FP Info 3'!H10)*100000</f>
        <v>251.79999999999998</v>
      </c>
      <c r="C4267" s="2" t="s">
        <v>569</v>
      </c>
      <c r="D4267" s="2" t="str">
        <f t="shared" si="65"/>
        <v>Error?</v>
      </c>
      <c r="E4267" s="125"/>
    </row>
    <row r="4268" spans="1:5" x14ac:dyDescent="0.2">
      <c r="A4268" s="12">
        <v>4207</v>
      </c>
      <c r="B4268" s="1832">
        <f>('FP Info 3'!J10)*100000</f>
        <v>3671</v>
      </c>
      <c r="C4268" s="2" t="s">
        <v>569</v>
      </c>
      <c r="D4268" s="2" t="str">
        <f t="shared" si="65"/>
        <v>Error?</v>
      </c>
    </row>
    <row r="4269" spans="1:5" x14ac:dyDescent="0.2">
      <c r="A4269" s="12">
        <v>4208</v>
      </c>
      <c r="B4269" s="1832">
        <f>'FP Info 3'!J16</f>
        <v>5889381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12310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30000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7158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24475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4023</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29149</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53047</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7.7</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53047</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1500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14192</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83945206</v>
      </c>
      <c r="D4995" s="2" t="str">
        <f t="shared" si="77"/>
        <v>Error?</v>
      </c>
    </row>
    <row r="4996" spans="1:4" x14ac:dyDescent="0.2">
      <c r="A4996" s="12">
        <v>4935</v>
      </c>
      <c r="B4996" s="1832">
        <f>'FP Info 3'!H31</f>
        <v>11584438.428000001</v>
      </c>
      <c r="D4996" s="2" t="str">
        <f t="shared" si="77"/>
        <v>Error?</v>
      </c>
    </row>
    <row r="4997" spans="1:4" x14ac:dyDescent="0.2">
      <c r="A4997" s="12">
        <v>4936</v>
      </c>
      <c r="B4997" s="1832">
        <f>'FP Info 3'!H37</f>
        <v>8474986</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2081973</v>
      </c>
      <c r="D5061" s="2" t="str">
        <f t="shared" si="78"/>
        <v>Error?</v>
      </c>
    </row>
    <row r="5062" spans="1:4" x14ac:dyDescent="0.2">
      <c r="A5062" s="10">
        <v>5001</v>
      </c>
      <c r="B5062" s="1832"/>
      <c r="D5062" s="2" t="str">
        <f t="shared" si="78"/>
        <v>OK</v>
      </c>
    </row>
    <row r="5063" spans="1:4" x14ac:dyDescent="0.2">
      <c r="A5063" s="5">
        <v>5002</v>
      </c>
      <c r="B5063" s="1832">
        <f>'Revenues 9-14'!C7</f>
        <v>38849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2120822</v>
      </c>
      <c r="C5066" s="2" t="s">
        <v>569</v>
      </c>
      <c r="D5066" s="2" t="str">
        <f t="shared" si="78"/>
        <v>Error?</v>
      </c>
    </row>
    <row r="5067" spans="1:4" x14ac:dyDescent="0.2">
      <c r="A5067" s="5">
        <v>5006</v>
      </c>
      <c r="B5067" s="1832">
        <f>'Revenues 9-14'!C14</f>
        <v>1171</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514379</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515550</v>
      </c>
      <c r="C5071" s="2" t="s">
        <v>569</v>
      </c>
      <c r="D5071" s="2" t="str">
        <f t="shared" si="78"/>
        <v>Error?</v>
      </c>
    </row>
    <row r="5072" spans="1:4" x14ac:dyDescent="0.2">
      <c r="A5072" s="5">
        <v>5011</v>
      </c>
      <c r="B5072" s="1832">
        <f>'Revenues 9-14'!C20</f>
        <v>10439</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10439</v>
      </c>
      <c r="C5087" s="2" t="s">
        <v>569</v>
      </c>
      <c r="D5087" s="2" t="str">
        <f t="shared" si="78"/>
        <v>Error?</v>
      </c>
    </row>
    <row r="5088" spans="1:4" x14ac:dyDescent="0.2">
      <c r="A5088" s="5">
        <v>5027</v>
      </c>
      <c r="B5088" s="1832">
        <f>'Revenues 9-14'!C65</f>
        <v>63340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63340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6218</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88220</v>
      </c>
      <c r="C5096" s="2" t="s">
        <v>569</v>
      </c>
      <c r="D5096" s="2" t="str">
        <f t="shared" si="78"/>
        <v>Error?</v>
      </c>
    </row>
    <row r="5097" spans="1:4" x14ac:dyDescent="0.2">
      <c r="A5097" s="5">
        <v>5036</v>
      </c>
      <c r="B5097" s="1832">
        <f>'Revenues 9-14'!C77</f>
        <v>28760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22215</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74089</v>
      </c>
      <c r="D5101" s="2" t="str">
        <f t="shared" si="78"/>
        <v>Error?</v>
      </c>
    </row>
    <row r="5102" spans="1:4" x14ac:dyDescent="0.2">
      <c r="A5102" s="5">
        <v>5041</v>
      </c>
      <c r="B5102" s="1832">
        <f>'Revenues 9-14'!C82</f>
        <v>125064</v>
      </c>
      <c r="C5102" s="2" t="s">
        <v>569</v>
      </c>
      <c r="D5102" s="2" t="str">
        <f t="shared" si="78"/>
        <v>Error?</v>
      </c>
    </row>
    <row r="5103" spans="1:4" x14ac:dyDescent="0.2">
      <c r="A5103" s="5">
        <v>5042</v>
      </c>
      <c r="B5103" s="1832">
        <f>'Revenues 9-14'!C84</f>
        <v>28558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28558</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25791</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2618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20039</v>
      </c>
      <c r="D5119" s="2" t="str">
        <f t="shared" ref="D5119:D5182" si="79">IF(ISBLANK(B5119),"OK",IF(A5119-B5119=0,"OK","Error?"))</f>
        <v>Error?</v>
      </c>
    </row>
    <row r="5120" spans="1:4" x14ac:dyDescent="0.2">
      <c r="A5120" s="5">
        <v>5059</v>
      </c>
      <c r="B5120" s="1832">
        <f>'Revenues 9-14'!C108</f>
        <v>50673</v>
      </c>
      <c r="C5120" s="2" t="s">
        <v>569</v>
      </c>
      <c r="D5120" s="2" t="str">
        <f t="shared" si="79"/>
        <v>Error?</v>
      </c>
    </row>
    <row r="5121" spans="1:4" x14ac:dyDescent="0.2">
      <c r="A5121" s="5">
        <v>5060</v>
      </c>
      <c r="B5121" s="1832">
        <f>'Revenues 9-14'!C109</f>
        <v>3002666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1515757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1515757</v>
      </c>
      <c r="C5132" s="2" t="s">
        <v>569</v>
      </c>
      <c r="D5132" s="2" t="str">
        <f t="shared" si="79"/>
        <v>Error?</v>
      </c>
    </row>
    <row r="5133" spans="1:4" x14ac:dyDescent="0.2">
      <c r="A5133" s="5">
        <v>5072</v>
      </c>
      <c r="B5133" s="1832">
        <f>'Revenues 9-14'!C125</f>
        <v>17317</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17317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7308</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10745</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768</v>
      </c>
      <c r="D5167" s="2" t="str">
        <f t="shared" si="79"/>
        <v>Error?</v>
      </c>
    </row>
    <row r="5168" spans="1:4" x14ac:dyDescent="0.2">
      <c r="A5168" s="5">
        <v>5107</v>
      </c>
      <c r="B5168" s="1832">
        <f>'Revenues 9-14'!C148</f>
        <v>5678</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36008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1551765</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62359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664</v>
      </c>
      <c r="D5241" s="2" t="str">
        <f t="shared" si="80"/>
        <v>Error?</v>
      </c>
    </row>
    <row r="5242" spans="1:4" x14ac:dyDescent="0.2">
      <c r="A5242" s="5">
        <v>5181</v>
      </c>
      <c r="B5242" s="1832">
        <f>'Revenues 9-14'!C194</f>
        <v>21032</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84055</v>
      </c>
      <c r="C5246" s="2" t="s">
        <v>569</v>
      </c>
      <c r="D5246" s="2" t="str">
        <f t="shared" si="80"/>
        <v>Error?</v>
      </c>
    </row>
    <row r="5247" spans="1:4" x14ac:dyDescent="0.2">
      <c r="A5247" s="5">
        <v>5186</v>
      </c>
      <c r="B5247" s="1832">
        <f>'Revenues 9-14'!C200</f>
        <v>105553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4023</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105553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2884</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126203</v>
      </c>
      <c r="D5278" s="2" t="str">
        <f t="shared" si="81"/>
        <v>Error?</v>
      </c>
    </row>
    <row r="5279" spans="1:4" x14ac:dyDescent="0.2">
      <c r="A5279" s="5">
        <v>5218</v>
      </c>
      <c r="B5279" s="1832">
        <f>'Revenues 9-14'!C214</f>
        <v>13917</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143004</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411609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411609</v>
      </c>
      <c r="C5326" s="2" t="s">
        <v>569</v>
      </c>
      <c r="D5326" s="2" t="str">
        <f t="shared" si="82"/>
        <v>Error?</v>
      </c>
    </row>
    <row r="5327" spans="1:5" x14ac:dyDescent="0.2">
      <c r="A5327" s="5">
        <v>5266</v>
      </c>
      <c r="B5327" s="1832">
        <f>'Revenues 9-14'!C268</f>
        <v>4966040</v>
      </c>
      <c r="C5327" s="2" t="s">
        <v>569</v>
      </c>
      <c r="D5327" s="2" t="str">
        <f t="shared" si="82"/>
        <v>Error?</v>
      </c>
    </row>
    <row r="5328" spans="1:5" x14ac:dyDescent="0.2">
      <c r="A5328" s="5">
        <v>5267</v>
      </c>
      <c r="B5328" s="1832">
        <f>'Revenues 9-14'!D5</f>
        <v>400290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400290</v>
      </c>
      <c r="C5334" s="2" t="s">
        <v>569</v>
      </c>
      <c r="D5334" s="2" t="str">
        <f t="shared" si="82"/>
        <v>Error?</v>
      </c>
    </row>
    <row r="5335" spans="1:4" x14ac:dyDescent="0.2">
      <c r="A5335" s="5">
        <v>5274</v>
      </c>
      <c r="B5335" s="1832">
        <f>'Revenues 9-14'!D14</f>
        <v>220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220</v>
      </c>
      <c r="C5339" s="2" t="s">
        <v>569</v>
      </c>
      <c r="D5339" s="2" t="str">
        <f t="shared" si="82"/>
        <v>Error?</v>
      </c>
    </row>
    <row r="5340" spans="1:4" x14ac:dyDescent="0.2">
      <c r="A5340" s="5">
        <v>5279</v>
      </c>
      <c r="B5340" s="1832">
        <f>'Revenues 9-14'!D65</f>
        <v>27721</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27721</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6426</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10150</v>
      </c>
      <c r="D5354" s="2" t="str">
        <f t="shared" si="82"/>
        <v>Error?</v>
      </c>
    </row>
    <row r="5355" spans="1:4" x14ac:dyDescent="0.2">
      <c r="A5355" s="5">
        <v>5294</v>
      </c>
      <c r="B5355" s="1832">
        <f>'Revenues 9-14'!D108</f>
        <v>16576</v>
      </c>
      <c r="C5355" s="2" t="s">
        <v>569</v>
      </c>
      <c r="D5355" s="2" t="str">
        <f t="shared" si="82"/>
        <v>Error?</v>
      </c>
    </row>
    <row r="5356" spans="1:4" x14ac:dyDescent="0.2">
      <c r="A5356" s="5">
        <v>5295</v>
      </c>
      <c r="B5356" s="1832">
        <f>'Revenues 9-14'!D109</f>
        <v>444807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30000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30000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474807</v>
      </c>
      <c r="C5508" s="2" t="s">
        <v>569</v>
      </c>
      <c r="D5508" s="2" t="str">
        <f t="shared" si="85"/>
        <v>Error?</v>
      </c>
    </row>
    <row r="5509" spans="1:4" x14ac:dyDescent="0.2">
      <c r="A5509" s="5">
        <v>5448</v>
      </c>
      <c r="B5509" s="1832">
        <f>'Revenues 9-14'!E5</f>
        <v>439959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439959</v>
      </c>
      <c r="C5513" s="2" t="s">
        <v>569</v>
      </c>
      <c r="D5513" s="2" t="str">
        <f t="shared" si="85"/>
        <v>Error?</v>
      </c>
    </row>
    <row r="5514" spans="1:4" x14ac:dyDescent="0.2">
      <c r="A5514" s="5">
        <v>5453</v>
      </c>
      <c r="B5514" s="1832">
        <f>'Revenues 9-14'!E14</f>
        <v>243</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243</v>
      </c>
      <c r="C5518" s="2" t="s">
        <v>569</v>
      </c>
      <c r="D5518" s="2" t="str">
        <f t="shared" si="85"/>
        <v>Error?</v>
      </c>
    </row>
    <row r="5519" spans="1:4" x14ac:dyDescent="0.2">
      <c r="A5519" s="5">
        <v>5458</v>
      </c>
      <c r="B5519" s="1832">
        <f>'Revenues 9-14'!E65</f>
        <v>14544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14544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457392</v>
      </c>
      <c r="C5526" s="2" t="s">
        <v>569</v>
      </c>
      <c r="D5526" s="2" t="str">
        <f t="shared" si="85"/>
        <v>Error?</v>
      </c>
    </row>
    <row r="5527" spans="1:4" x14ac:dyDescent="0.2">
      <c r="A5527" s="5">
        <v>5466</v>
      </c>
      <c r="B5527" s="1832">
        <f>'Revenues 9-14'!E109</f>
        <v>912138</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965185</v>
      </c>
      <c r="C5552" s="2" t="s">
        <v>569</v>
      </c>
      <c r="D5552" s="2" t="str">
        <f t="shared" si="85"/>
        <v>Error?</v>
      </c>
    </row>
    <row r="5553" spans="1:4" x14ac:dyDescent="0.2">
      <c r="A5553" s="5">
        <v>5492</v>
      </c>
      <c r="B5553" s="1832">
        <f>'Revenues 9-14'!F5</f>
        <v>190096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190096</v>
      </c>
      <c r="C5557" s="2" t="s">
        <v>569</v>
      </c>
      <c r="D5557" s="2" t="str">
        <f t="shared" si="85"/>
        <v>Error?</v>
      </c>
    </row>
    <row r="5558" spans="1:4" x14ac:dyDescent="0.2">
      <c r="A5558" s="5">
        <v>5497</v>
      </c>
      <c r="B5558" s="1832">
        <f>'Revenues 9-14'!F14</f>
        <v>105</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105</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22819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22819</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213020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88292</v>
      </c>
      <c r="D5615" s="2" t="str">
        <f t="shared" si="86"/>
        <v>Error?</v>
      </c>
    </row>
    <row r="5616" spans="1:4" x14ac:dyDescent="0.2">
      <c r="A5616" s="10">
        <v>5555</v>
      </c>
      <c r="B5616" s="1832"/>
      <c r="D5616" s="2" t="str">
        <f t="shared" si="86"/>
        <v>OK</v>
      </c>
    </row>
    <row r="5617" spans="1:5" x14ac:dyDescent="0.2">
      <c r="A5617" s="5">
        <v>5556</v>
      </c>
      <c r="B5617" s="1832">
        <f>'Revenues 9-14'!F153</f>
        <v>58648</v>
      </c>
      <c r="D5617" s="2" t="str">
        <f t="shared" si="86"/>
        <v>Error?</v>
      </c>
    </row>
    <row r="5618" spans="1:5" x14ac:dyDescent="0.2">
      <c r="A5618" s="5">
        <v>5557</v>
      </c>
      <c r="B5618" s="1832">
        <f>'Revenues 9-14'!F155</f>
        <v>159250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159250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159250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372270</v>
      </c>
      <c r="C5720" s="2" t="s">
        <v>569</v>
      </c>
      <c r="D5720" s="2" t="str">
        <f t="shared" si="88"/>
        <v>Error?</v>
      </c>
    </row>
    <row r="5721" spans="1:4" x14ac:dyDescent="0.2">
      <c r="A5721" s="5">
        <v>5660</v>
      </c>
      <c r="B5721" s="1832">
        <f>'Revenues 9-14'!G5</f>
        <v>67686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72052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139738</v>
      </c>
      <c r="C5725" s="2" t="s">
        <v>569</v>
      </c>
      <c r="D5725" s="2" t="str">
        <f t="shared" si="88"/>
        <v>Error?</v>
      </c>
    </row>
    <row r="5726" spans="1:4" x14ac:dyDescent="0.2">
      <c r="A5726" s="5">
        <v>5665</v>
      </c>
      <c r="B5726" s="1832">
        <f>'Revenues 9-14'!G14</f>
        <v>78</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14817</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14895</v>
      </c>
      <c r="C5730" s="2" t="s">
        <v>569</v>
      </c>
      <c r="D5730" s="2" t="str">
        <f t="shared" si="88"/>
        <v>Error?</v>
      </c>
    </row>
    <row r="5731" spans="1:4" x14ac:dyDescent="0.2">
      <c r="A5731" s="5">
        <v>5670</v>
      </c>
      <c r="B5731" s="1832">
        <f>'Revenues 9-14'!G65</f>
        <v>4550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4550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159183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v>
      </c>
      <c r="C5915" s="2" t="s">
        <v>569</v>
      </c>
      <c r="D5915" s="2" t="str">
        <f t="shared" si="91"/>
        <v>Error?</v>
      </c>
    </row>
    <row r="5916" spans="1:4" x14ac:dyDescent="0.2">
      <c r="A5916" s="5">
        <v>5855</v>
      </c>
      <c r="B5916" s="1832">
        <f>'Revenues 9-14'!I5</f>
        <v>5758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5758</v>
      </c>
      <c r="C5918" s="2" t="s">
        <v>569</v>
      </c>
      <c r="D5918" s="2" t="str">
        <f t="shared" si="91"/>
        <v>Error?</v>
      </c>
    </row>
    <row r="5919" spans="1:4" x14ac:dyDescent="0.2">
      <c r="A5919" s="5">
        <v>5858</v>
      </c>
      <c r="B5919" s="1832">
        <f>'Revenues 9-14'!I14</f>
        <v>3</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3</v>
      </c>
      <c r="C5923" s="2" t="s">
        <v>569</v>
      </c>
      <c r="D5923" s="2" t="str">
        <f t="shared" si="91"/>
        <v>Error?</v>
      </c>
    </row>
    <row r="5924" spans="1:4" x14ac:dyDescent="0.2">
      <c r="A5924" s="5">
        <v>5863</v>
      </c>
      <c r="B5924" s="1832">
        <f>'Revenues 9-14'!I65</f>
        <v>28368</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28368</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34129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31520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31520</v>
      </c>
      <c r="C5987" s="2" t="s">
        <v>569</v>
      </c>
      <c r="D5987" s="2" t="str">
        <f t="shared" si="92"/>
        <v>Error?</v>
      </c>
    </row>
    <row r="5988" spans="1:4" x14ac:dyDescent="0.2">
      <c r="A5988" s="5">
        <v>5927</v>
      </c>
      <c r="B5988" s="1832">
        <f>'Revenues 9-14'!K14</f>
        <v>18</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18</v>
      </c>
      <c r="C5992" s="2" t="s">
        <v>569</v>
      </c>
      <c r="D5992" s="2" t="str">
        <f t="shared" si="92"/>
        <v>Error?</v>
      </c>
    </row>
    <row r="5993" spans="1:4" x14ac:dyDescent="0.2">
      <c r="A5993" s="5">
        <v>5932</v>
      </c>
      <c r="B5993" s="1832">
        <f>'Revenues 9-14'!K65</f>
        <v>3041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3041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34579</v>
      </c>
      <c r="C6023" s="2" t="s">
        <v>569</v>
      </c>
      <c r="D6023" s="2" t="str">
        <f t="shared" si="93"/>
        <v>Error?</v>
      </c>
    </row>
    <row r="6024" spans="1:5" x14ac:dyDescent="0.2">
      <c r="A6024" s="5">
        <v>5963</v>
      </c>
      <c r="B6024" s="1832">
        <f>'Revenues 9-14'!G109</f>
        <v>159183</v>
      </c>
      <c r="C6024" s="2" t="s">
        <v>569</v>
      </c>
      <c r="D6024" s="2" t="str">
        <f t="shared" si="93"/>
        <v>Error?</v>
      </c>
    </row>
    <row r="6025" spans="1:5" x14ac:dyDescent="0.2">
      <c r="A6025" s="5">
        <v>5964</v>
      </c>
      <c r="B6025" s="1832">
        <f>'Revenues 9-14'!H109</f>
        <v>1</v>
      </c>
      <c r="C6025" s="2" t="s">
        <v>569</v>
      </c>
      <c r="D6025" s="2" t="str">
        <f t="shared" si="93"/>
        <v>Error?</v>
      </c>
    </row>
    <row r="6026" spans="1:5" x14ac:dyDescent="0.2">
      <c r="A6026" s="5">
        <v>5965</v>
      </c>
      <c r="B6026" s="1832">
        <f>'Revenues 9-14'!I109</f>
        <v>34129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34579</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82002</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518.9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111655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22852</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111655</v>
      </c>
      <c r="D6215" s="2" t="str">
        <f t="shared" si="96"/>
        <v>Error?</v>
      </c>
      <c r="E6215" s="2" t="s">
        <v>189</v>
      </c>
    </row>
    <row r="6216" spans="1:5" x14ac:dyDescent="0.2">
      <c r="A6216">
        <v>6155</v>
      </c>
      <c r="B6216" s="1832">
        <f>'Assets-Liab 5-6'!J41</f>
        <v>111655</v>
      </c>
      <c r="D6216" s="2" t="str">
        <f t="shared" si="96"/>
        <v>Error?</v>
      </c>
      <c r="E6216" s="2" t="s">
        <v>189</v>
      </c>
    </row>
    <row r="6217" spans="1:5" x14ac:dyDescent="0.2">
      <c r="A6217">
        <v>6156</v>
      </c>
      <c r="B6217" s="1832">
        <f>'Assets-Liab 5-6'!J4</f>
        <v>111655</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110229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110229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110229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131442</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131442</v>
      </c>
      <c r="D6229" s="2" t="str">
        <f t="shared" si="96"/>
        <v>Error?</v>
      </c>
      <c r="E6229" s="2" t="s">
        <v>189</v>
      </c>
    </row>
    <row r="6230" spans="1:5" x14ac:dyDescent="0.2">
      <c r="A6230">
        <v>6169</v>
      </c>
      <c r="B6230" s="1832">
        <f>'Acct Summary 7-8'!J20</f>
        <v>-21213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32300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32300</v>
      </c>
      <c r="D6262" s="2" t="str">
        <f t="shared" si="96"/>
        <v>Error?</v>
      </c>
      <c r="E6262" s="2" t="s">
        <v>189</v>
      </c>
    </row>
    <row r="6263" spans="1:5" x14ac:dyDescent="0.2">
      <c r="A6263">
        <v>6202</v>
      </c>
      <c r="B6263" s="1832">
        <f>'Acct Summary 7-8'!J78</f>
        <v>11087</v>
      </c>
      <c r="D6263" s="2" t="str">
        <f t="shared" si="96"/>
        <v>Error?</v>
      </c>
      <c r="E6263" s="2" t="s">
        <v>189</v>
      </c>
    </row>
    <row r="6264" spans="1:5" x14ac:dyDescent="0.2">
      <c r="A6264">
        <v>6203</v>
      </c>
      <c r="B6264" s="1832">
        <f>'Acct Summary 7-8'!J79</f>
        <v>100568</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111655</v>
      </c>
      <c r="D6266" s="2" t="str">
        <f t="shared" si="96"/>
        <v>Error?</v>
      </c>
      <c r="E6266" s="2" t="s">
        <v>189</v>
      </c>
    </row>
    <row r="6267" spans="1:5" x14ac:dyDescent="0.2">
      <c r="A6267">
        <v>6206</v>
      </c>
      <c r="B6267" s="1832">
        <f>'Acct Summary 7-8'!C82</f>
        <v>-223926</v>
      </c>
      <c r="D6267" s="2" t="str">
        <f t="shared" si="96"/>
        <v>Error?</v>
      </c>
      <c r="E6267" s="2" t="s">
        <v>189</v>
      </c>
    </row>
    <row r="6268" spans="1:5" x14ac:dyDescent="0.2">
      <c r="A6268">
        <v>6207</v>
      </c>
      <c r="B6268" s="1832">
        <f>'Acct Summary 7-8'!D82</f>
        <v>582895</v>
      </c>
      <c r="D6268" s="2" t="str">
        <f t="shared" si="96"/>
        <v>Error?</v>
      </c>
      <c r="E6268" s="2" t="s">
        <v>189</v>
      </c>
    </row>
    <row r="6269" spans="1:5" x14ac:dyDescent="0.2">
      <c r="A6269">
        <v>6208</v>
      </c>
      <c r="B6269" s="1832">
        <f>'Acct Summary 7-8'!E82</f>
        <v>-46673</v>
      </c>
      <c r="D6269" s="2" t="str">
        <f t="shared" si="96"/>
        <v>Error?</v>
      </c>
      <c r="E6269" s="2" t="s">
        <v>189</v>
      </c>
    </row>
    <row r="6270" spans="1:5" x14ac:dyDescent="0.2">
      <c r="A6270">
        <v>6209</v>
      </c>
      <c r="B6270" s="1832">
        <f>'Acct Summary 7-8'!F82</f>
        <v>79587</v>
      </c>
      <c r="D6270" s="2" t="str">
        <f t="shared" si="96"/>
        <v>Error?</v>
      </c>
      <c r="E6270" s="2" t="s">
        <v>189</v>
      </c>
    </row>
    <row r="6271" spans="1:5" x14ac:dyDescent="0.2">
      <c r="A6271">
        <v>6210</v>
      </c>
      <c r="B6271" s="1832">
        <f>'Acct Summary 7-8'!G82</f>
        <v>-23127</v>
      </c>
      <c r="D6271" s="2" t="str">
        <f t="shared" ref="D6271:D6334" si="97">IF(ISBLANK(B6271),"OK",IF(A6271-B6271=0,"OK","Error?"))</f>
        <v>Error?</v>
      </c>
      <c r="E6271" s="2" t="s">
        <v>189</v>
      </c>
    </row>
    <row r="6272" spans="1:5" x14ac:dyDescent="0.2">
      <c r="A6272">
        <v>6211</v>
      </c>
      <c r="B6272" s="1832">
        <f>'Acct Summary 7-8'!H82</f>
        <v>1</v>
      </c>
      <c r="D6272" s="2" t="str">
        <f t="shared" si="97"/>
        <v>Error?</v>
      </c>
      <c r="E6272" s="2" t="s">
        <v>189</v>
      </c>
    </row>
    <row r="6273" spans="1:5" x14ac:dyDescent="0.2">
      <c r="A6273">
        <v>6212</v>
      </c>
      <c r="B6273" s="1832">
        <f>'Acct Summary 7-8'!I82</f>
        <v>-1338239</v>
      </c>
      <c r="D6273" s="2" t="str">
        <f t="shared" si="97"/>
        <v>Error?</v>
      </c>
      <c r="E6273" s="2" t="s">
        <v>189</v>
      </c>
    </row>
    <row r="6274" spans="1:5" x14ac:dyDescent="0.2">
      <c r="A6274">
        <v>6213</v>
      </c>
      <c r="B6274" s="1832">
        <f>'Acct Summary 7-8'!J82</f>
        <v>11087</v>
      </c>
      <c r="D6274" s="2" t="str">
        <f t="shared" si="97"/>
        <v>Error?</v>
      </c>
      <c r="E6274" s="2" t="s">
        <v>189</v>
      </c>
    </row>
    <row r="6275" spans="1:5" x14ac:dyDescent="0.2">
      <c r="A6275">
        <v>6214</v>
      </c>
      <c r="B6275" s="1832">
        <f>'Acct Summary 7-8'!K82</f>
        <v>21803</v>
      </c>
      <c r="D6275" s="2" t="str">
        <f t="shared" si="97"/>
        <v>Error?</v>
      </c>
      <c r="E6275" s="2" t="s">
        <v>189</v>
      </c>
    </row>
    <row r="6276" spans="1:5" x14ac:dyDescent="0.2">
      <c r="A6276">
        <v>6215</v>
      </c>
      <c r="B6276" s="1832">
        <f>'Acct Summary 7-8'!C83</f>
        <v>-9.9314239183367167E-2</v>
      </c>
      <c r="D6276" s="2" t="str">
        <f t="shared" si="97"/>
        <v>Error?</v>
      </c>
      <c r="E6276" s="2" t="s">
        <v>189</v>
      </c>
    </row>
    <row r="6277" spans="1:5" x14ac:dyDescent="0.2">
      <c r="A6277">
        <v>6216</v>
      </c>
      <c r="B6277" s="1832">
        <f>'Acct Summary 7-8'!D83</f>
        <v>0.32961194914353315</v>
      </c>
      <c r="D6277" s="2" t="str">
        <f t="shared" si="97"/>
        <v>Error?</v>
      </c>
      <c r="E6277" s="2" t="s">
        <v>189</v>
      </c>
    </row>
    <row r="6278" spans="1:5" x14ac:dyDescent="0.2">
      <c r="A6278">
        <v>6217</v>
      </c>
      <c r="B6278" s="1832">
        <f>'Acct Summary 7-8'!E83</f>
        <v>-8.1828334592734281E-2</v>
      </c>
      <c r="D6278" s="2" t="str">
        <f t="shared" si="97"/>
        <v>Error?</v>
      </c>
      <c r="E6278" s="2" t="s">
        <v>189</v>
      </c>
    </row>
    <row r="6279" spans="1:5" x14ac:dyDescent="0.2">
      <c r="A6279">
        <v>6218</v>
      </c>
      <c r="B6279" s="1832">
        <f>'Acct Summary 7-8'!F83</f>
        <v>8.2982390470897727E-2</v>
      </c>
      <c r="D6279" s="2" t="str">
        <f t="shared" si="97"/>
        <v>Error?</v>
      </c>
      <c r="E6279" s="2" t="s">
        <v>189</v>
      </c>
    </row>
    <row r="6280" spans="1:5" x14ac:dyDescent="0.2">
      <c r="A6280">
        <v>6219</v>
      </c>
      <c r="B6280" s="1832">
        <f>'Acct Summary 7-8'!G83</f>
        <v>-0.70902569133607207</v>
      </c>
      <c r="D6280" s="2" t="str">
        <f t="shared" si="97"/>
        <v>Error?</v>
      </c>
      <c r="E6280" s="2" t="s">
        <v>189</v>
      </c>
    </row>
    <row r="6281" spans="1:5" x14ac:dyDescent="0.2">
      <c r="A6281">
        <v>6220</v>
      </c>
      <c r="B6281" s="1832">
        <f>'Acct Summary 7-8'!H83</f>
        <v>1.8726591760299626E-3</v>
      </c>
      <c r="D6281" s="2" t="str">
        <f t="shared" si="97"/>
        <v>Error?</v>
      </c>
      <c r="E6281" s="2" t="s">
        <v>189</v>
      </c>
    </row>
    <row r="6282" spans="1:5" x14ac:dyDescent="0.2">
      <c r="A6282">
        <v>6221</v>
      </c>
      <c r="B6282" s="1832">
        <f>'Acct Summary 7-8'!I83</f>
        <v>-1.4752157310604224</v>
      </c>
      <c r="D6282" s="2" t="str">
        <f t="shared" si="97"/>
        <v>Error?</v>
      </c>
      <c r="E6282" s="2" t="s">
        <v>189</v>
      </c>
    </row>
    <row r="6283" spans="1:5" x14ac:dyDescent="0.2">
      <c r="A6283">
        <v>6222</v>
      </c>
      <c r="B6283" s="1832">
        <f>'Acct Summary 7-8'!J83</f>
        <v>9.9296941471497022E-2</v>
      </c>
      <c r="D6283" s="2" t="str">
        <f t="shared" si="97"/>
        <v>Error?</v>
      </c>
      <c r="E6283" s="2" t="s">
        <v>189</v>
      </c>
    </row>
    <row r="6284" spans="1:5" x14ac:dyDescent="0.2">
      <c r="A6284">
        <v>6223</v>
      </c>
      <c r="B6284" s="1832">
        <f>'Acct Summary 7-8'!K83</f>
        <v>0.1756960393247109</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108457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108457</v>
      </c>
      <c r="D6301" s="2" t="str">
        <f t="shared" si="97"/>
        <v>Error?</v>
      </c>
      <c r="E6301" s="2" t="s">
        <v>189</v>
      </c>
    </row>
    <row r="6302" spans="1:5" x14ac:dyDescent="0.2">
      <c r="A6302">
        <v>6241</v>
      </c>
      <c r="B6302" s="1832">
        <f>'Revenues 9-14'!J14</f>
        <v>60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60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973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973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2225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739</v>
      </c>
      <c r="D6350" s="2" t="str">
        <f t="shared" si="98"/>
        <v>Error?</v>
      </c>
      <c r="E6350" s="2" t="s">
        <v>189</v>
      </c>
    </row>
    <row r="6351" spans="1:5" x14ac:dyDescent="0.2">
      <c r="A6351">
        <v>6290</v>
      </c>
      <c r="B6351" s="1832">
        <f>'Revenues 9-14'!J108</f>
        <v>739</v>
      </c>
      <c r="D6351" s="2" t="str">
        <f t="shared" si="98"/>
        <v>Error?</v>
      </c>
      <c r="E6351" s="2" t="s">
        <v>189</v>
      </c>
    </row>
    <row r="6352" spans="1:5" x14ac:dyDescent="0.2">
      <c r="A6352">
        <v>6291</v>
      </c>
      <c r="B6352" s="1832">
        <f>'Revenues 9-14'!J109</f>
        <v>110229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3437</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53047</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53047</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4321</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11053</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4321</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3107</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3107</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3107</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8699</v>
      </c>
      <c r="D6981" s="2" t="str">
        <f t="shared" si="108"/>
        <v>Error?</v>
      </c>
    </row>
    <row r="6982" spans="1:4" x14ac:dyDescent="0.2">
      <c r="A6982">
        <v>6921</v>
      </c>
      <c r="B6982" s="1832">
        <f>'Expenditures 15-22'!K85</f>
        <v>8699</v>
      </c>
      <c r="D6982" s="2" t="str">
        <f t="shared" si="108"/>
        <v>Error?</v>
      </c>
    </row>
    <row r="6983" spans="1:4" x14ac:dyDescent="0.2">
      <c r="A6983">
        <v>6922</v>
      </c>
      <c r="B6983" s="1832">
        <f>'Expenditures 15-22'!H86</f>
        <v>24510</v>
      </c>
      <c r="D6983" s="2" t="str">
        <f t="shared" si="108"/>
        <v>Error?</v>
      </c>
    </row>
    <row r="6984" spans="1:4" x14ac:dyDescent="0.2">
      <c r="A6984">
        <v>6923</v>
      </c>
      <c r="B6984" s="1832">
        <f>'Expenditures 15-22'!K86</f>
        <v>24510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33209</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7428</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131442</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110229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3367</v>
      </c>
      <c r="D7067" s="2" t="str">
        <f t="shared" si="109"/>
        <v>Error?</v>
      </c>
    </row>
    <row r="7068" spans="1:4" x14ac:dyDescent="0.2">
      <c r="A7068">
        <v>7007</v>
      </c>
      <c r="B7068" s="1832">
        <f>'Expenditures 15-22'!K205</f>
        <v>3367</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94</v>
      </c>
      <c r="D7079" s="2" t="str">
        <f t="shared" si="109"/>
        <v>Error?</v>
      </c>
    </row>
    <row r="7080" spans="1:4" x14ac:dyDescent="0.2">
      <c r="A7080">
        <v>7019</v>
      </c>
      <c r="B7080" s="1832">
        <f>'Expenditures 15-22'!K226</f>
        <v>94</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26578</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26578</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104864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104864</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131442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131442</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131442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131442</v>
      </c>
      <c r="D7224" s="2" t="str">
        <f t="shared" si="111"/>
        <v>Error?</v>
      </c>
    </row>
    <row r="7225" spans="1:4" x14ac:dyDescent="0.2">
      <c r="A7225">
        <v>7164</v>
      </c>
      <c r="B7225" s="1832">
        <f>'Expenditures 15-22'!K343</f>
        <v>-21213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10250</v>
      </c>
      <c r="D7263" s="2" t="str">
        <f t="shared" si="112"/>
        <v>Error?</v>
      </c>
    </row>
    <row r="7264" spans="1:4" x14ac:dyDescent="0.2">
      <c r="A7264">
        <f t="shared" si="113"/>
        <v>7203</v>
      </c>
      <c r="B7264" s="1832">
        <f>'Expenditures 15-22'!D17</f>
        <v>803</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7428</v>
      </c>
      <c r="D7624" s="2" t="str">
        <f t="shared" si="124"/>
        <v>Error?</v>
      </c>
      <c r="E7624" s="2" t="s">
        <v>19</v>
      </c>
    </row>
    <row r="7625" spans="1:5" x14ac:dyDescent="0.2">
      <c r="A7625">
        <f t="shared" si="123"/>
        <v>7564</v>
      </c>
      <c r="B7625" s="1832">
        <f>'Cap Outlay Deprec 26'!I17</f>
        <v>742.8</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499946.8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2225</v>
      </c>
      <c r="D7712" s="2" t="str">
        <f t="shared" si="126"/>
        <v>Error?</v>
      </c>
      <c r="E7712" s="2" t="s">
        <v>822</v>
      </c>
    </row>
    <row r="7713" spans="1:6" x14ac:dyDescent="0.2">
      <c r="A7713">
        <v>7652</v>
      </c>
      <c r="B7713" s="1832">
        <f>'Rest Tax Levies-Tort Im 25'!J8</f>
        <v>457392</v>
      </c>
      <c r="D7713" s="2" t="str">
        <f t="shared" si="126"/>
        <v>Error?</v>
      </c>
      <c r="E7713" s="2" t="s">
        <v>822</v>
      </c>
    </row>
    <row r="7714" spans="1:6" x14ac:dyDescent="0.2">
      <c r="A7714">
        <v>7653</v>
      </c>
      <c r="B7714" s="1832">
        <f>'Rest Tax Levies-Tort Im 25'!K9</f>
        <v>5678</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457392</v>
      </c>
      <c r="D7718" s="2" t="str">
        <f t="shared" si="126"/>
        <v>Error?</v>
      </c>
      <c r="E7718" s="2" t="s">
        <v>822</v>
      </c>
    </row>
    <row r="7719" spans="1:6" x14ac:dyDescent="0.2">
      <c r="A7719">
        <v>7658</v>
      </c>
      <c r="B7719" s="1832">
        <f>'Rest Tax Levies-Tort Im 25'!K12</f>
        <v>7903</v>
      </c>
      <c r="D7719" s="2" t="str">
        <f t="shared" si="126"/>
        <v>Error?</v>
      </c>
      <c r="E7719" s="2" t="s">
        <v>822</v>
      </c>
    </row>
    <row r="7720" spans="1:6" x14ac:dyDescent="0.2">
      <c r="A7720">
        <v>7659</v>
      </c>
      <c r="B7720" s="1832">
        <f>'Rest Tax Levies-Tort Im 25'!H14</f>
        <v>38849</v>
      </c>
      <c r="D7720" s="2" t="str">
        <f t="shared" si="126"/>
        <v>Error?</v>
      </c>
      <c r="E7720" s="2" t="s">
        <v>822</v>
      </c>
    </row>
    <row r="7721" spans="1:6" x14ac:dyDescent="0.2">
      <c r="A7721">
        <v>7660</v>
      </c>
      <c r="B7721" s="1832">
        <f>'Rest Tax Levies-Tort Im 25'!K14</f>
        <v>7903</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457392</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457392</v>
      </c>
      <c r="D7727" s="2" t="str">
        <f t="shared" si="126"/>
        <v>Error?</v>
      </c>
      <c r="E7727" s="2" t="s">
        <v>822</v>
      </c>
    </row>
    <row r="7728" spans="1:6" x14ac:dyDescent="0.2">
      <c r="A7728">
        <v>7667</v>
      </c>
      <c r="B7728" s="1832">
        <f>'Revenues 9-14'!E103</f>
        <v>457392</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457392</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53047</v>
      </c>
      <c r="D7747" s="2" t="str">
        <f t="shared" si="127"/>
        <v>Error?</v>
      </c>
      <c r="E7747" s="2" t="s">
        <v>822</v>
      </c>
      <c r="F7747" s="2" t="s">
        <v>823</v>
      </c>
    </row>
    <row r="7748" spans="1:6" x14ac:dyDescent="0.2">
      <c r="A7748">
        <v>7687</v>
      </c>
      <c r="B7748" s="1832">
        <f>'Acct Summary 7-8'!C25</f>
        <v>78368</v>
      </c>
      <c r="D7748" s="2" t="str">
        <f t="shared" si="127"/>
        <v>Error?</v>
      </c>
      <c r="E7748" s="4" t="s">
        <v>1322</v>
      </c>
    </row>
    <row r="7749" spans="1:6" x14ac:dyDescent="0.2">
      <c r="A7749">
        <v>7688</v>
      </c>
      <c r="B7749" s="1832">
        <f>'Acct Summary 7-8'!D25</f>
        <v>1261700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32300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7903</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15395900</v>
      </c>
      <c r="D7817" s="2" t="str">
        <f t="shared" si="128"/>
        <v>Error?</v>
      </c>
      <c r="E7817" s="4" t="s">
        <v>1966</v>
      </c>
    </row>
    <row r="7818" spans="1:5" x14ac:dyDescent="0.2">
      <c r="A7818">
        <v>7757</v>
      </c>
      <c r="B7818" s="1832">
        <f>'PCTC-OEPP 27-28'!F172</f>
        <v>181441</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8040239</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713</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1704551</v>
      </c>
      <c r="D7834" s="2" t="str">
        <f t="shared" si="129"/>
        <v>Error?</v>
      </c>
      <c r="E7834" s="4" t="s">
        <v>1998</v>
      </c>
    </row>
    <row r="7835" spans="1:5" x14ac:dyDescent="0.2">
      <c r="A7835">
        <v>7774</v>
      </c>
      <c r="B7835" s="1832">
        <f>'PCTC-OEPP 27-28'!F78</f>
        <v>6335688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12209.843900558875</v>
      </c>
      <c r="D7837" s="2" t="str">
        <f t="shared" si="129"/>
        <v>Error?</v>
      </c>
      <c r="E7837" s="4" t="s">
        <v>1998</v>
      </c>
    </row>
    <row r="7838" spans="1:5" x14ac:dyDescent="0.2">
      <c r="A7838">
        <v>7777</v>
      </c>
      <c r="B7838" s="1832">
        <f>'PCTC-OEPP 27-28'!F96</f>
        <v>125064</v>
      </c>
      <c r="D7838" s="2" t="str">
        <f t="shared" si="129"/>
        <v>Error?</v>
      </c>
      <c r="E7838" s="4" t="s">
        <v>1998</v>
      </c>
    </row>
    <row r="7839" spans="1:5" x14ac:dyDescent="0.2">
      <c r="A7839">
        <v>7778</v>
      </c>
      <c r="B7839" s="1832">
        <f>'PCTC-OEPP 27-28'!F102</f>
        <v>6426</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17317</v>
      </c>
      <c r="D7842" s="2" t="str">
        <f t="shared" si="129"/>
        <v>Error?</v>
      </c>
      <c r="E7842" s="4" t="s">
        <v>1998</v>
      </c>
    </row>
    <row r="7843" spans="1:5" x14ac:dyDescent="0.2">
      <c r="A7843">
        <v>7782</v>
      </c>
      <c r="B7843" s="1832">
        <f>'PCTC-OEPP 27-28'!F107</f>
        <v>10745</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5678</v>
      </c>
      <c r="D7846" s="2" t="str">
        <f t="shared" si="129"/>
        <v>Error?</v>
      </c>
      <c r="E7846" s="4" t="s">
        <v>1998</v>
      </c>
    </row>
    <row r="7847" spans="1:5" x14ac:dyDescent="0.2">
      <c r="A7847">
        <v>7786</v>
      </c>
      <c r="B7847" s="1832">
        <f>'PCTC-OEPP 27-28'!F112</f>
        <v>159250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1500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84055</v>
      </c>
      <c r="D7858" s="2" t="str">
        <f t="shared" si="129"/>
        <v>Error?</v>
      </c>
      <c r="E7858" s="4" t="s">
        <v>1998</v>
      </c>
    </row>
    <row r="7859" spans="1:5" x14ac:dyDescent="0.2">
      <c r="A7859">
        <v>7798</v>
      </c>
      <c r="B7859" s="1832">
        <f>'PCTC-OEPP 27-28'!F127</f>
        <v>105553</v>
      </c>
      <c r="D7859" s="2" t="str">
        <f t="shared" si="129"/>
        <v>Error?</v>
      </c>
      <c r="E7859" s="4" t="s">
        <v>1998</v>
      </c>
    </row>
    <row r="7860" spans="1:5" x14ac:dyDescent="0.2">
      <c r="A7860">
        <v>7799</v>
      </c>
      <c r="B7860" s="1832">
        <f>'PCTC-OEPP 27-28'!F128</f>
        <v>4023</v>
      </c>
      <c r="D7860" s="2" t="str">
        <f t="shared" si="129"/>
        <v>Error?</v>
      </c>
      <c r="E7860" s="4" t="s">
        <v>1998</v>
      </c>
    </row>
    <row r="7861" spans="1:5" x14ac:dyDescent="0.2">
      <c r="A7861">
        <v>7800</v>
      </c>
      <c r="B7861" s="1832">
        <f>'PCTC-OEPP 27-28'!F129</f>
        <v>126203</v>
      </c>
      <c r="D7861" s="2" t="str">
        <f t="shared" si="129"/>
        <v>Error?</v>
      </c>
      <c r="E7861" s="4" t="s">
        <v>1998</v>
      </c>
    </row>
    <row r="7862" spans="1:5" x14ac:dyDescent="0.2">
      <c r="A7862">
        <v>7801</v>
      </c>
      <c r="B7862" s="1832">
        <f>'PCTC-OEPP 27-28'!F130</f>
        <v>13917</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53047</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29149</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7158</v>
      </c>
      <c r="D7874" s="2" t="str">
        <f t="shared" si="129"/>
        <v>Error?</v>
      </c>
      <c r="E7874" s="4" t="s">
        <v>1998</v>
      </c>
    </row>
    <row r="7875" spans="1:5" x14ac:dyDescent="0.2">
      <c r="A7875">
        <v>7814</v>
      </c>
      <c r="B7875" s="1832">
        <f>'PCTC-OEPP 27-28'!F170</f>
        <v>24475</v>
      </c>
      <c r="D7875" s="2" t="str">
        <f t="shared" si="129"/>
        <v>Error?</v>
      </c>
      <c r="E7875" s="4" t="s">
        <v>1998</v>
      </c>
    </row>
    <row r="7876" spans="1:5" x14ac:dyDescent="0.2">
      <c r="A7876">
        <v>7815</v>
      </c>
      <c r="B7876" s="1832">
        <f>'PCTC-OEPP 27-28'!F171</f>
        <v>14192</v>
      </c>
      <c r="D7876" s="2" t="str">
        <f t="shared" si="129"/>
        <v>Error?</v>
      </c>
      <c r="E7876" s="4" t="s">
        <v>1998</v>
      </c>
    </row>
    <row r="7877" spans="1:5" x14ac:dyDescent="0.2">
      <c r="A7877">
        <v>7816</v>
      </c>
      <c r="B7877" s="1832">
        <f>'PCTC-OEPP 27-28'!F175</f>
        <v>1116739</v>
      </c>
      <c r="D7877" s="2" t="str">
        <f t="shared" si="129"/>
        <v>Error?</v>
      </c>
      <c r="E7877" s="4" t="s">
        <v>1998</v>
      </c>
    </row>
    <row r="7878" spans="1:5" x14ac:dyDescent="0.2">
      <c r="A7878">
        <v>7817</v>
      </c>
      <c r="B7878" s="1832">
        <f>'PCTC-OEPP 27-28'!F176</f>
        <v>5218949</v>
      </c>
      <c r="D7878" s="2" t="str">
        <f t="shared" si="129"/>
        <v>Error?</v>
      </c>
      <c r="E7878" s="4" t="s">
        <v>1998</v>
      </c>
    </row>
    <row r="7879" spans="1:5" x14ac:dyDescent="0.2">
      <c r="A7879">
        <v>7818</v>
      </c>
      <c r="B7879" s="1832">
        <f>'PCTC-OEPP 27-28'!F178</f>
        <v>5718895.7999999998</v>
      </c>
      <c r="D7879" s="2" t="str">
        <f t="shared" si="129"/>
        <v>Error?</v>
      </c>
      <c r="E7879" s="4" t="s">
        <v>1998</v>
      </c>
    </row>
    <row r="7880" spans="1:5" x14ac:dyDescent="0.2">
      <c r="A7880">
        <v>7819</v>
      </c>
      <c r="B7880" s="1832">
        <f>'PCTC-OEPP 27-28'!F180</f>
        <v>11021.190595490461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5" t="s">
        <v>1181</v>
      </c>
      <c r="B2" s="2515"/>
      <c r="C2" s="2515"/>
      <c r="D2" s="2515"/>
      <c r="E2" s="2515"/>
      <c r="F2" s="2515"/>
      <c r="G2" s="2515"/>
      <c r="H2" s="2515"/>
      <c r="I2" s="2515"/>
      <c r="J2" s="2515"/>
      <c r="K2" s="2515"/>
      <c r="L2" s="2515"/>
    </row>
    <row r="3" spans="1:29" ht="13.5" customHeight="1" x14ac:dyDescent="0.2">
      <c r="A3" s="2547" t="s">
        <v>1180</v>
      </c>
      <c r="B3" s="2547"/>
      <c r="C3" s="2547"/>
      <c r="D3" s="2547"/>
      <c r="E3" s="2547"/>
      <c r="F3" s="2547"/>
      <c r="G3" s="2547"/>
      <c r="H3" s="2547"/>
      <c r="I3" s="2547"/>
      <c r="J3" s="2547"/>
      <c r="K3" s="2547"/>
      <c r="L3" s="2547"/>
    </row>
    <row r="4" spans="1:29" ht="13.5" customHeight="1" x14ac:dyDescent="0.2">
      <c r="A4" s="2536" t="str">
        <f>"Year Ending June 30, "&amp;'AFR20'!E2</f>
        <v>Year Ending June 30, 2020</v>
      </c>
      <c r="B4" s="2537"/>
      <c r="C4" s="2537"/>
      <c r="D4" s="2537"/>
      <c r="E4" s="2537"/>
      <c r="F4" s="2537"/>
      <c r="G4" s="2537"/>
      <c r="H4" s="2537"/>
      <c r="I4" s="2537"/>
      <c r="J4" s="2537"/>
      <c r="K4" s="2537"/>
      <c r="L4" s="253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8" t="str">
        <f>COVER!A17</f>
        <v xml:space="preserve"> Fisher CUSD 1  </v>
      </c>
      <c r="B7" s="2539"/>
      <c r="C7" s="2539"/>
      <c r="D7" s="2540"/>
      <c r="E7" s="2541">
        <f>COVER!A13</f>
        <v>9010001026</v>
      </c>
      <c r="F7" s="2542"/>
      <c r="G7" s="2548" t="str">
        <f>COVER!T23</f>
        <v>065.018319</v>
      </c>
      <c r="H7" s="2549"/>
      <c r="I7" s="2549"/>
      <c r="J7" s="2549"/>
      <c r="K7" s="2549"/>
      <c r="L7" s="255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1"/>
      <c r="B9" s="2552"/>
      <c r="C9" s="2552"/>
      <c r="D9" s="2552"/>
      <c r="E9" s="2552"/>
      <c r="F9" s="2553"/>
      <c r="G9" s="2521" t="str">
        <f>COVER!T13</f>
        <v>RUSSELL LEIGH &amp; ASSOCIATES LLC</v>
      </c>
      <c r="H9" s="2554"/>
      <c r="I9" s="2554"/>
      <c r="J9" s="2554"/>
      <c r="K9" s="2554"/>
      <c r="L9" s="2555"/>
    </row>
    <row r="10" spans="1:29" ht="13.5" customHeight="1" x14ac:dyDescent="0.2">
      <c r="A10" s="2527" t="str">
        <f>COVER!A38</f>
        <v>BARBARA THOMPSON</v>
      </c>
      <c r="B10" s="2528"/>
      <c r="C10" s="2528"/>
      <c r="D10" s="2528"/>
      <c r="E10" s="2528"/>
      <c r="F10" s="2529"/>
      <c r="G10" s="2521" t="str">
        <f>COVER!T17</f>
        <v>228 E MAIN ST</v>
      </c>
      <c r="H10" s="2522"/>
      <c r="I10" s="2522"/>
      <c r="J10" s="2522"/>
      <c r="K10" s="2522"/>
      <c r="L10" s="2523"/>
    </row>
    <row r="11" spans="1:29" ht="13.5" customHeight="1" x14ac:dyDescent="0.2">
      <c r="A11" s="963" t="s">
        <v>1502</v>
      </c>
      <c r="B11" s="964"/>
      <c r="C11" s="965"/>
      <c r="D11" s="970"/>
      <c r="E11" s="965"/>
      <c r="F11" s="969"/>
      <c r="G11" s="2521" t="str">
        <f>COVER!T19</f>
        <v>HOOPESTON</v>
      </c>
      <c r="H11" s="2522"/>
      <c r="I11" s="2522"/>
      <c r="J11" s="2522"/>
      <c r="K11" s="2522"/>
      <c r="L11" s="2523"/>
    </row>
    <row r="12" spans="1:29" ht="13.5" customHeight="1" x14ac:dyDescent="0.2">
      <c r="A12" s="2530" t="s">
        <v>1501</v>
      </c>
      <c r="B12" s="2531"/>
      <c r="C12" s="2531"/>
      <c r="D12" s="2531"/>
      <c r="E12" s="2531"/>
      <c r="F12" s="2532"/>
      <c r="G12" s="2524"/>
      <c r="H12" s="2525"/>
      <c r="I12" s="2525"/>
      <c r="J12" s="2525"/>
      <c r="K12" s="2525"/>
      <c r="L12" s="2526"/>
    </row>
    <row r="13" spans="1:29" ht="13.5" customHeight="1" x14ac:dyDescent="0.2">
      <c r="A13" s="2521"/>
      <c r="B13" s="2522"/>
      <c r="C13" s="2522"/>
      <c r="D13" s="2522"/>
      <c r="E13" s="2522"/>
      <c r="F13" s="2523"/>
      <c r="G13" s="2516" t="s">
        <v>1503</v>
      </c>
      <c r="H13" s="2517"/>
      <c r="I13" s="2533" t="str">
        <f>COVER!T25</f>
        <v>admin@russleigh.com</v>
      </c>
      <c r="J13" s="2534"/>
      <c r="K13" s="2534"/>
      <c r="L13" s="2535"/>
    </row>
    <row r="14" spans="1:29" ht="13.5" customHeight="1" x14ac:dyDescent="0.2">
      <c r="A14" s="2521" t="str">
        <f>COVER!A19</f>
        <v>801 S 5TH STREET</v>
      </c>
      <c r="B14" s="2522"/>
      <c r="C14" s="2522"/>
      <c r="D14" s="2522"/>
      <c r="E14" s="2522"/>
      <c r="F14" s="2523"/>
      <c r="G14" s="974" t="s">
        <v>1175</v>
      </c>
      <c r="H14" s="972"/>
      <c r="I14" s="972"/>
      <c r="J14" s="972"/>
      <c r="K14" s="972"/>
      <c r="L14" s="973"/>
    </row>
    <row r="15" spans="1:29" ht="13.5" customHeight="1" x14ac:dyDescent="0.2">
      <c r="A15" s="2521" t="str">
        <f>COVER!A21</f>
        <v>FISHER</v>
      </c>
      <c r="B15" s="2522"/>
      <c r="C15" s="2522"/>
      <c r="D15" s="2522"/>
      <c r="E15" s="2522"/>
      <c r="F15" s="2523"/>
      <c r="G15" s="2518" t="str">
        <f>COVER!T15</f>
        <v>RUSS LEIGH</v>
      </c>
      <c r="H15" s="2519"/>
      <c r="I15" s="2519"/>
      <c r="J15" s="2519"/>
      <c r="K15" s="2519"/>
      <c r="L15" s="2520"/>
    </row>
    <row r="16" spans="1:29" ht="12.2" customHeight="1" x14ac:dyDescent="0.2">
      <c r="A16" s="2544">
        <f>COVER!A25</f>
        <v>61843</v>
      </c>
      <c r="B16" s="2545"/>
      <c r="C16" s="2545"/>
      <c r="D16" s="2545"/>
      <c r="E16" s="2545"/>
      <c r="F16" s="2546"/>
      <c r="G16" s="2556"/>
      <c r="H16" s="2557"/>
      <c r="I16" s="2557"/>
      <c r="J16" s="2557"/>
      <c r="K16" s="2557"/>
      <c r="L16" s="2558"/>
    </row>
    <row r="17" spans="1:13" ht="12.2" customHeight="1" x14ac:dyDescent="0.2">
      <c r="A17" s="2559"/>
      <c r="B17" s="2545"/>
      <c r="C17" s="2545"/>
      <c r="D17" s="2545"/>
      <c r="E17" s="2545"/>
      <c r="F17" s="2546"/>
      <c r="G17" s="974" t="s">
        <v>1174</v>
      </c>
      <c r="H17" s="972"/>
      <c r="I17" s="972"/>
      <c r="J17" s="972"/>
      <c r="K17" s="976" t="s">
        <v>1173</v>
      </c>
      <c r="L17" s="969"/>
      <c r="M17" s="962"/>
    </row>
    <row r="18" spans="1:13" ht="12.2" customHeight="1" x14ac:dyDescent="0.2">
      <c r="A18" s="2527"/>
      <c r="B18" s="2528"/>
      <c r="C18" s="2528"/>
      <c r="D18" s="2528"/>
      <c r="E18" s="2528"/>
      <c r="F18" s="2529"/>
      <c r="G18" s="2538" t="str">
        <f>COVER!T21</f>
        <v>217-283-9336</v>
      </c>
      <c r="H18" s="2539"/>
      <c r="I18" s="2539"/>
      <c r="J18" s="2539"/>
      <c r="K18" s="2538" t="str">
        <f>COVER!X21</f>
        <v>217-283-9736</v>
      </c>
      <c r="L18" s="254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Fisher CUSD 1  </v>
      </c>
      <c r="B1" s="2561"/>
      <c r="C1" s="2561"/>
      <c r="D1" s="2561"/>
    </row>
    <row r="2" spans="1:11" s="991" customFormat="1" ht="12.75" x14ac:dyDescent="0.2">
      <c r="A2" s="2562">
        <f>'Single Audit Cover'!E7</f>
        <v>9010001026</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Fisher CUSD 1  </v>
      </c>
      <c r="B1" s="2565"/>
      <c r="C1" s="2565"/>
      <c r="D1" s="2565"/>
      <c r="E1" s="2565"/>
    </row>
    <row r="2" spans="1:5" x14ac:dyDescent="0.2">
      <c r="A2" s="2566">
        <f>'Single Audit Cover'!E7</f>
        <v>9010001026</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464656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-24475</v>
      </c>
    </row>
    <row r="19" spans="1:4" ht="13.5" thickBot="1" x14ac:dyDescent="0.25">
      <c r="A19" s="1041" t="s">
        <v>1224</v>
      </c>
      <c r="D19" s="1042">
        <f>SUM(D10:D17)</f>
        <v>440181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440181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440181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Fisher CUSD 1  </v>
      </c>
      <c r="C1" s="2569"/>
      <c r="D1" s="2569"/>
      <c r="E1" s="2569"/>
      <c r="F1" s="2569"/>
      <c r="G1" s="2569"/>
      <c r="H1" s="2569"/>
      <c r="I1" s="2569"/>
      <c r="J1" s="2569"/>
      <c r="K1" s="2569"/>
      <c r="L1" s="2569"/>
      <c r="M1" s="2569"/>
    </row>
    <row r="2" spans="2:14" ht="15" x14ac:dyDescent="0.2">
      <c r="B2" s="2570">
        <f>'Single Audit Cover'!E7</f>
        <v>9010001026</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Fisher CUSD 1  </v>
      </c>
      <c r="B1" s="2582"/>
      <c r="C1" s="2582"/>
      <c r="D1" s="2582"/>
      <c r="E1" s="2582"/>
      <c r="F1" s="2582"/>
    </row>
    <row r="2" spans="1:7" ht="13.5" customHeight="1" x14ac:dyDescent="0.2">
      <c r="A2" s="2570">
        <f>'Single Audit Cover'!E7</f>
        <v>9010001026</v>
      </c>
      <c r="B2" s="2570"/>
      <c r="C2" s="2570"/>
      <c r="D2" s="2570"/>
      <c r="E2" s="2570"/>
      <c r="F2" s="2570"/>
      <c r="G2" s="1051"/>
    </row>
    <row r="3" spans="1:7" ht="15.75" customHeight="1" x14ac:dyDescent="0.2">
      <c r="A3" s="2583" t="s">
        <v>1260</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1705</v>
      </c>
      <c r="C6" s="295"/>
      <c r="D6" s="295"/>
    </row>
    <row r="7" spans="1:7" ht="60.95" customHeight="1" x14ac:dyDescent="0.2">
      <c r="A7" s="2581" t="s">
        <v>1706</v>
      </c>
      <c r="B7" s="2581"/>
      <c r="C7" s="2581"/>
      <c r="D7" s="2581"/>
      <c r="E7" s="2581"/>
      <c r="F7" s="258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1" t="s">
        <v>1708</v>
      </c>
      <c r="B13" s="2581"/>
      <c r="C13" s="2581"/>
      <c r="D13" s="2581"/>
      <c r="E13" s="2581"/>
      <c r="F13" s="2581"/>
    </row>
    <row r="14" spans="1:7" ht="9.75" customHeight="1" x14ac:dyDescent="0.2">
      <c r="C14" s="1036"/>
      <c r="D14" s="1036"/>
    </row>
    <row r="15" spans="1:7" ht="13.5" customHeight="1" x14ac:dyDescent="0.2">
      <c r="C15" s="1476" t="s">
        <v>1259</v>
      </c>
      <c r="D15" s="2579" t="s">
        <v>1258</v>
      </c>
      <c r="E15" s="2579"/>
      <c r="F15" s="2579"/>
    </row>
    <row r="16" spans="1:7" ht="13.5" customHeight="1" x14ac:dyDescent="0.2">
      <c r="A16" s="1058"/>
      <c r="B16" s="1052" t="s">
        <v>1257</v>
      </c>
      <c r="C16" s="1476" t="s">
        <v>1256</v>
      </c>
      <c r="D16" s="2580" t="s">
        <v>1571</v>
      </c>
      <c r="E16" s="2580"/>
      <c r="F16" s="2580"/>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5" t="s">
        <v>1709</v>
      </c>
      <c r="B32" s="2575"/>
      <c r="C32" s="2575"/>
      <c r="D32" s="2575"/>
      <c r="E32" s="2575"/>
      <c r="F32" s="2575"/>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6">
        <f>+C33+C34</f>
        <v>0</v>
      </c>
      <c r="F34" s="257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8" t="s">
        <v>1573</v>
      </c>
      <c r="C49" s="2578"/>
      <c r="D49" s="2578"/>
      <c r="E49" s="1168"/>
    </row>
    <row r="50" spans="1:5" s="1076" customFormat="1" ht="3.75" customHeight="1" x14ac:dyDescent="0.2">
      <c r="A50" s="1075"/>
      <c r="B50" s="1475"/>
      <c r="C50" s="1475"/>
      <c r="D50" s="1475"/>
      <c r="E50" s="1168"/>
    </row>
    <row r="51" spans="1:5" s="1076" customFormat="1" ht="20.25" customHeight="1" x14ac:dyDescent="0.2">
      <c r="A51" s="1077">
        <v>6</v>
      </c>
      <c r="B51" s="2573" t="s">
        <v>1534</v>
      </c>
      <c r="C51" s="2573"/>
      <c r="D51" s="2573"/>
    </row>
    <row r="52" spans="1:5" ht="14.25" customHeight="1" x14ac:dyDescent="0.2">
      <c r="A52" s="1077"/>
      <c r="B52" s="2573"/>
      <c r="C52" s="2573"/>
      <c r="D52" s="257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sqref="A1:M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1989</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1989</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2067</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Fisher CUSD 1  </v>
      </c>
      <c r="C1" s="2597"/>
      <c r="D1" s="2597"/>
      <c r="E1" s="2597"/>
      <c r="F1" s="2597"/>
      <c r="G1" s="2597"/>
      <c r="H1" s="2597"/>
      <c r="I1" s="2597"/>
      <c r="J1" s="1178"/>
    </row>
    <row r="2" spans="2:10" s="295" customFormat="1" ht="12.75" customHeight="1" x14ac:dyDescent="0.2">
      <c r="B2" s="2598">
        <f>'Single Audit Cover'!E7</f>
        <v>9010001026</v>
      </c>
      <c r="C2" s="2599"/>
      <c r="D2" s="2599"/>
      <c r="E2" s="2599"/>
      <c r="F2" s="2599"/>
      <c r="G2" s="2599"/>
      <c r="H2" s="2599"/>
      <c r="I2" s="2599"/>
      <c r="J2" s="1178"/>
    </row>
    <row r="3" spans="2:10" s="295" customFormat="1" ht="12.75" customHeight="1" x14ac:dyDescent="0.2">
      <c r="B3" s="2600" t="s">
        <v>1274</v>
      </c>
      <c r="C3" s="2601"/>
      <c r="D3" s="2601"/>
      <c r="E3" s="2601"/>
      <c r="F3" s="2601"/>
      <c r="G3" s="2601"/>
      <c r="H3" s="2601"/>
      <c r="I3" s="2601"/>
      <c r="J3" s="1179"/>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0" t="s">
        <v>1273</v>
      </c>
      <c r="C7" s="2601"/>
      <c r="D7" s="2601"/>
      <c r="E7" s="2601"/>
      <c r="F7" s="2601"/>
      <c r="G7" s="2601"/>
      <c r="H7" s="2601"/>
      <c r="I7" s="260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2"/>
      <c r="D11" s="260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3"/>
      <c r="E29" s="2603"/>
      <c r="F29" s="2603"/>
      <c r="G29" s="2603"/>
      <c r="H29" s="2603"/>
      <c r="I29" s="260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4" t="s">
        <v>1728</v>
      </c>
      <c r="D37" s="2605"/>
      <c r="E37" s="2605"/>
      <c r="F37" s="2606"/>
      <c r="G37" s="2604" t="s">
        <v>1575</v>
      </c>
      <c r="H37" s="2605"/>
      <c r="I37" s="2606"/>
    </row>
    <row r="38" spans="2:9" ht="16.5" customHeight="1" x14ac:dyDescent="0.2">
      <c r="B38" s="1200"/>
      <c r="C38" s="2592"/>
      <c r="D38" s="2593"/>
      <c r="E38" s="2593"/>
      <c r="F38" s="2594"/>
      <c r="G38" s="2607"/>
      <c r="H38" s="2608"/>
      <c r="I38" s="2609"/>
    </row>
    <row r="39" spans="2:9" ht="16.5" customHeight="1" x14ac:dyDescent="0.2">
      <c r="B39" s="1200"/>
      <c r="C39" s="2592"/>
      <c r="D39" s="2593"/>
      <c r="E39" s="2593"/>
      <c r="F39" s="2594"/>
      <c r="G39" s="2595"/>
      <c r="H39" s="2595"/>
      <c r="I39" s="2595"/>
    </row>
    <row r="40" spans="2:9" ht="16.5" customHeight="1" x14ac:dyDescent="0.2">
      <c r="B40" s="1200"/>
      <c r="C40" s="2592"/>
      <c r="D40" s="2593"/>
      <c r="E40" s="2593"/>
      <c r="F40" s="2594"/>
      <c r="G40" s="2595"/>
      <c r="H40" s="2595"/>
      <c r="I40" s="2595"/>
    </row>
    <row r="41" spans="2:9" ht="16.5" customHeight="1" x14ac:dyDescent="0.2">
      <c r="B41" s="1200"/>
      <c r="C41" s="2592"/>
      <c r="D41" s="2593"/>
      <c r="E41" s="2593"/>
      <c r="F41" s="2594"/>
      <c r="G41" s="2595"/>
      <c r="H41" s="2595"/>
      <c r="I41" s="2595"/>
    </row>
    <row r="42" spans="2:9" ht="16.5" customHeight="1" x14ac:dyDescent="0.2">
      <c r="B42" s="1200"/>
      <c r="C42" s="2592"/>
      <c r="D42" s="2593"/>
      <c r="E42" s="2593"/>
      <c r="F42" s="2594"/>
      <c r="G42" s="2595"/>
      <c r="H42" s="2595"/>
      <c r="I42" s="2595"/>
    </row>
    <row r="43" spans="2:9" ht="16.5" customHeight="1" x14ac:dyDescent="0.2">
      <c r="B43" s="1200"/>
      <c r="C43" s="2585" t="s">
        <v>1576</v>
      </c>
      <c r="D43" s="2586"/>
      <c r="E43" s="2586"/>
      <c r="F43" s="2587"/>
      <c r="G43" s="2588">
        <f>SUM(G38:I42)</f>
        <v>0</v>
      </c>
      <c r="H43" s="2588"/>
      <c r="I43" s="2588"/>
    </row>
    <row r="44" spans="2:9" ht="12.75" customHeight="1" x14ac:dyDescent="0.2"/>
    <row r="45" spans="2:9" ht="12.75" customHeight="1" x14ac:dyDescent="0.2">
      <c r="B45" s="1918" t="str">
        <f>"Total Federal Expenditures for 7/1/"&amp;MID('AFR20'!E2,3,2)-1&amp;"-6/30/"&amp;MID('AFR20'!E2,3,2)</f>
        <v>Total Federal Expenditures for 7/1/19-6/30/20</v>
      </c>
      <c r="C45" s="1919"/>
      <c r="D45" s="2589">
        <v>0</v>
      </c>
      <c r="E45" s="2590"/>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1"/>
      <c r="F49" s="2591"/>
      <c r="G49" s="2591"/>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Fisher CUSD 1  </v>
      </c>
      <c r="C1" s="2596"/>
      <c r="D1" s="2596"/>
      <c r="E1" s="2596"/>
      <c r="F1" s="2596"/>
      <c r="G1" s="2596"/>
      <c r="H1" s="2596"/>
      <c r="I1" s="2596"/>
      <c r="J1" s="2596"/>
      <c r="K1" s="2596"/>
      <c r="L1" s="1144"/>
      <c r="M1" s="1144"/>
    </row>
    <row r="2" spans="1:13" ht="12" customHeight="1" x14ac:dyDescent="0.2">
      <c r="B2" s="2598">
        <f>'Single Audit Cover'!E7</f>
        <v>9010001026</v>
      </c>
      <c r="C2" s="2598"/>
      <c r="D2" s="2598"/>
      <c r="E2" s="2598"/>
      <c r="F2" s="2598"/>
      <c r="G2" s="2598"/>
      <c r="H2" s="2598"/>
      <c r="I2" s="2598"/>
      <c r="J2" s="2598"/>
      <c r="K2" s="2598"/>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5"/>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0"/>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9" t="str">
        <f>'Single Audit Cover'!A7</f>
        <v xml:space="preserve"> Fisher CUSD 1  </v>
      </c>
      <c r="C1" s="2619"/>
      <c r="D1" s="2619"/>
      <c r="E1" s="2619"/>
      <c r="F1" s="2619"/>
      <c r="G1" s="2619"/>
      <c r="H1" s="2619"/>
      <c r="I1" s="2619"/>
      <c r="J1" s="2619"/>
      <c r="K1" s="2619"/>
      <c r="L1" s="1221"/>
    </row>
    <row r="2" spans="1:12" ht="12.75" customHeight="1" x14ac:dyDescent="0.2">
      <c r="B2" s="2620">
        <f>'Single Audit Cover'!E7</f>
        <v>9010001026</v>
      </c>
      <c r="C2" s="2620"/>
      <c r="D2" s="2620"/>
      <c r="E2" s="2620"/>
      <c r="F2" s="2620"/>
      <c r="G2" s="2620"/>
      <c r="H2" s="2620"/>
      <c r="I2" s="2620"/>
      <c r="J2" s="2620"/>
      <c r="K2" s="2620"/>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21" t="s">
        <v>1297</v>
      </c>
      <c r="C6" s="2621"/>
      <c r="D6" s="2621"/>
      <c r="E6" s="2621"/>
      <c r="F6" s="2621"/>
      <c r="G6" s="2621"/>
      <c r="H6" s="2621"/>
      <c r="I6" s="2621"/>
      <c r="J6" s="2621"/>
      <c r="K6" s="2621"/>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3"/>
      <c r="G12" s="2603"/>
      <c r="H12" s="2603"/>
      <c r="I12" s="2603"/>
      <c r="J12" s="2603"/>
      <c r="K12" s="260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6" t="str">
        <f>'Single Audit Cover'!A7</f>
        <v xml:space="preserve"> Fisher CUSD 1  </v>
      </c>
      <c r="C1" s="2596"/>
      <c r="D1" s="2596"/>
      <c r="E1" s="1240"/>
    </row>
    <row r="2" spans="2:5" s="1058" customFormat="1" ht="12.75" customHeight="1" x14ac:dyDescent="0.2">
      <c r="B2" s="2598">
        <f>'Single Audit Cover'!E7</f>
        <v>9010001026</v>
      </c>
      <c r="C2" s="2598"/>
      <c r="D2" s="2598"/>
      <c r="E2" s="1241"/>
    </row>
    <row r="3" spans="2:5" ht="12.75" customHeight="1" x14ac:dyDescent="0.2">
      <c r="B3" s="2612" t="s">
        <v>1743</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83945206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2.8379000000000001E-2</v>
      </c>
      <c r="E10" s="333" t="s">
        <v>998</v>
      </c>
      <c r="F10" s="332">
        <v>5.816E-3</v>
      </c>
      <c r="G10" s="333" t="s">
        <v>998</v>
      </c>
      <c r="H10" s="332">
        <v>2.5179999999999998E-3</v>
      </c>
      <c r="I10" s="333" t="s">
        <v>999</v>
      </c>
      <c r="J10" s="1424">
        <f>ROUND(D10+F10+H10,5)</f>
        <v>3.671E-2</v>
      </c>
      <c r="K10" s="217"/>
      <c r="L10" s="332">
        <v>7.7000000000000001E-5</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5847246</v>
      </c>
      <c r="E16" s="1547"/>
      <c r="F16" s="1546">
        <f>SUM('Acct Summary 7-8'!C17,'Acct Summary 7-8'!D17,'Acct Summary 7-8'!F17)</f>
        <v>6714629</v>
      </c>
      <c r="G16" s="1547"/>
      <c r="H16" s="1546">
        <f>SUM(D16-F16)</f>
        <v>-867383</v>
      </c>
      <c r="I16" s="1548"/>
      <c r="J16" s="1546">
        <f>SUM('Acct Summary 7-8'!C81,'Acct Summary 7-8'!D81,'Acct Summary 7-8'!F81,'Acct Summary 7-8'!I81)</f>
        <v>5889381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11584438.428000001</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8474986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M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Fisher CUSD 1  </v>
      </c>
      <c r="E7" s="368"/>
      <c r="G7" s="247"/>
      <c r="H7" s="364"/>
      <c r="I7" s="364"/>
      <c r="J7" s="364"/>
      <c r="K7" s="364"/>
      <c r="L7" s="307"/>
      <c r="M7" s="307"/>
      <c r="N7" s="307"/>
      <c r="O7" s="307"/>
      <c r="P7" s="307"/>
    </row>
    <row r="8" spans="1:18" ht="12.75" x14ac:dyDescent="0.2">
      <c r="A8" s="307"/>
      <c r="B8" s="307"/>
      <c r="C8" s="366" t="s">
        <v>1115</v>
      </c>
      <c r="D8" s="369">
        <f>COVER!A13</f>
        <v>9010001026</v>
      </c>
      <c r="E8" s="370"/>
      <c r="G8" s="307"/>
      <c r="H8" s="307"/>
      <c r="I8" s="307"/>
      <c r="J8" s="307"/>
      <c r="K8" s="307"/>
      <c r="L8" s="307"/>
      <c r="M8" s="307"/>
      <c r="N8" s="307"/>
      <c r="O8" s="307"/>
      <c r="P8" s="307"/>
    </row>
    <row r="9" spans="1:18" ht="12.75" x14ac:dyDescent="0.2">
      <c r="A9" s="307"/>
      <c r="B9" s="307"/>
      <c r="C9" s="366" t="s">
        <v>708</v>
      </c>
      <c r="D9" s="371" t="str">
        <f>COVER!A15</f>
        <v>CHAMPAIGN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5889381</v>
      </c>
      <c r="I12" s="380"/>
      <c r="J12" s="380"/>
      <c r="K12" s="1559">
        <f>TRUNC((H12/H13*100000),5)/100000</f>
        <v>1.0072059564</v>
      </c>
      <c r="L12" s="381"/>
      <c r="M12" s="337" t="s">
        <v>1134</v>
      </c>
      <c r="N12" s="337"/>
      <c r="O12" s="1562">
        <v>0.35</v>
      </c>
      <c r="P12" s="213"/>
      <c r="Q12" s="213"/>
    </row>
    <row r="13" spans="1:18" s="382" customFormat="1" ht="12.75" x14ac:dyDescent="0.2">
      <c r="A13" s="213"/>
      <c r="B13" s="377"/>
      <c r="C13" s="2209" t="s">
        <v>1313</v>
      </c>
      <c r="D13" s="2210"/>
      <c r="E13" s="213"/>
      <c r="F13" s="383" t="s">
        <v>788</v>
      </c>
      <c r="G13" s="378"/>
      <c r="H13" s="1551">
        <f>SUM('Acct Summary 7-8'!C8+'Acct Summary 7-8'!D8+'Acct Summary 7-8'!F8+'Acct Summary 7-8'!I8)+H14</f>
        <v>5847246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2</v>
      </c>
      <c r="P16" s="211"/>
      <c r="R16" s="361"/>
    </row>
    <row r="17" spans="1:18" s="382" customFormat="1" ht="11.25" x14ac:dyDescent="0.2">
      <c r="A17" s="213"/>
      <c r="B17" s="377"/>
      <c r="C17" s="213" t="s">
        <v>792</v>
      </c>
      <c r="D17" s="213"/>
      <c r="E17" s="213"/>
      <c r="F17" s="213" t="s">
        <v>441</v>
      </c>
      <c r="G17" s="378"/>
      <c r="H17" s="1551">
        <f>SUM('Acct Summary 7-8'!C17+'Acct Summary 7-8'!D17+'Acct Summary 7-8'!F17)</f>
        <v>6714629</v>
      </c>
      <c r="I17" s="380"/>
      <c r="J17" s="389"/>
      <c r="K17" s="1559">
        <f>TRUNC((H17/H18*100000),5)/100000</f>
        <v>1.1483404323999999</v>
      </c>
      <c r="L17" s="381"/>
      <c r="M17" s="390" t="s">
        <v>1161</v>
      </c>
      <c r="O17" s="1565" t="str">
        <f>IF(AND(O16="2", J20 &gt; 2),"1",IF(AND(O16 = "1", J20 &gt; 2),"2",IF(AND(O16="1", J20 &gt;1),"1","0")))</f>
        <v>1</v>
      </c>
      <c r="P17" s="213"/>
    </row>
    <row r="18" spans="1:18" s="382" customFormat="1" ht="11.25" x14ac:dyDescent="0.2">
      <c r="A18" s="213"/>
      <c r="B18" s="377"/>
      <c r="C18" s="2209" t="s">
        <v>1306</v>
      </c>
      <c r="D18" s="2210"/>
      <c r="E18" s="213"/>
      <c r="F18" s="391" t="s">
        <v>789</v>
      </c>
      <c r="G18" s="378"/>
      <c r="H18" s="1551">
        <f>SUM('Acct Summary 7-8'!C8+'Acct Summary 7-8'!D8+'Acct Summary 7-8'!F8+'Acct Summary 7-8'!I8)+H19</f>
        <v>5847246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6.1157025000000003</v>
      </c>
      <c r="K20" s="1559">
        <f>IF(K17&lt;=1,"0",IF(AND(O16="2", J20 &gt; 2),TRUNC(((K12-0.1)/(K17-1)*100),5)/100,IF(AND(O16 = "1", J20 &gt; 2),TRUNC(((K12-0.1)/(K17-1)*100),5)/100,IF(AND(O16="1", J20 &gt;1),TRUNC(((K12-0.1)/(K17-1)*100),5)/100,""))))</f>
        <v>6.1157025000000003</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6" t="s">
        <v>1395</v>
      </c>
      <c r="D24" s="2206"/>
      <c r="E24" s="213"/>
      <c r="F24" s="213" t="s">
        <v>442</v>
      </c>
      <c r="G24" s="378"/>
      <c r="H24" s="1551">
        <f>SUM('Assets-Liab 5-6'!C4+'Assets-Liab 5-6'!D4+'Assets-Liab 5-6'!F4+'Assets-Liab 5-6'!I4+'Assets-Liab 5-6'!C5+'Assets-Liab 5-6'!D5+'Assets-Liab 5-6'!F5+'Assets-Liab 5-6'!I5)</f>
        <v>5912233</v>
      </c>
      <c r="I24" s="394"/>
      <c r="J24" s="394"/>
      <c r="K24" s="1555">
        <f>TRUNC(((H24/H25*100000)/100000),2)</f>
        <v>316.98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18651.747220000001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2619384.2354199998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8474986</v>
      </c>
      <c r="I32" s="392"/>
      <c r="J32" s="392"/>
      <c r="K32" s="1555">
        <f>TRUNC(100-((((H32/H33*100))*100)/100),2)</f>
        <v>26.84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11584438.428000001</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3.4499999999999997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sqref="A1:M1"/>
      <selection pane="bottomLeft" sqref="A1:M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1632</v>
      </c>
      <c r="B4" s="428"/>
      <c r="C4" s="1572">
        <v>454722</v>
      </c>
      <c r="D4" s="1573">
        <v>243428</v>
      </c>
      <c r="E4" s="1573">
        <v>109377</v>
      </c>
      <c r="F4" s="1573">
        <v>69083</v>
      </c>
      <c r="G4" s="1573">
        <v>17618</v>
      </c>
      <c r="H4" s="1573">
        <v>534</v>
      </c>
      <c r="I4" s="1573"/>
      <c r="J4" s="1574">
        <v>111655</v>
      </c>
      <c r="K4" s="1573">
        <v>4095</v>
      </c>
      <c r="L4" s="1573">
        <v>65341</v>
      </c>
      <c r="M4" s="1575"/>
      <c r="N4" s="1576"/>
    </row>
    <row r="5" spans="1:14" x14ac:dyDescent="0.2">
      <c r="A5" s="427" t="s">
        <v>985</v>
      </c>
      <c r="B5" s="429">
        <v>120</v>
      </c>
      <c r="C5" s="1572">
        <v>1800000</v>
      </c>
      <c r="D5" s="1573">
        <v>1525000</v>
      </c>
      <c r="E5" s="1573">
        <v>461000</v>
      </c>
      <c r="F5" s="1573">
        <v>890000</v>
      </c>
      <c r="G5" s="1573">
        <v>15000</v>
      </c>
      <c r="H5" s="1573"/>
      <c r="I5" s="1573">
        <v>930000</v>
      </c>
      <c r="J5" s="1574"/>
      <c r="K5" s="1577">
        <v>120000</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2254722</v>
      </c>
      <c r="D13" s="1587">
        <f t="shared" ref="D13:L13" si="0">SUM(D4:D12)</f>
        <v>1768428</v>
      </c>
      <c r="E13" s="1587">
        <f t="shared" si="0"/>
        <v>570377</v>
      </c>
      <c r="F13" s="1587">
        <f t="shared" si="0"/>
        <v>959083</v>
      </c>
      <c r="G13" s="1587">
        <f t="shared" si="0"/>
        <v>32618</v>
      </c>
      <c r="H13" s="1587">
        <f t="shared" si="0"/>
        <v>534</v>
      </c>
      <c r="I13" s="1587">
        <f t="shared" si="0"/>
        <v>930000</v>
      </c>
      <c r="J13" s="1587">
        <f t="shared" si="0"/>
        <v>111655</v>
      </c>
      <c r="K13" s="1587">
        <f t="shared" si="0"/>
        <v>124095</v>
      </c>
      <c r="L13" s="1587">
        <f t="shared" si="0"/>
        <v>65341</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505331</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18908558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1497892</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2992685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570377</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7904609</v>
      </c>
    </row>
    <row r="23" spans="1:14" ht="13.5" customHeight="1" thickBot="1" x14ac:dyDescent="0.25">
      <c r="A23" s="1426" t="s">
        <v>638</v>
      </c>
      <c r="B23" s="1429"/>
      <c r="C23" s="1575"/>
      <c r="D23" s="1575"/>
      <c r="E23" s="1575"/>
      <c r="F23" s="1575"/>
      <c r="G23" s="1575"/>
      <c r="H23" s="1575"/>
      <c r="I23" s="1575"/>
      <c r="J23" s="1575"/>
      <c r="K23" s="1575"/>
      <c r="L23" s="1575"/>
      <c r="M23" s="1594">
        <f>SUM(M15:M22)</f>
        <v>23904466</v>
      </c>
      <c r="N23" s="1594">
        <f>SUM(N21:N22)</f>
        <v>8474986</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v>22852</v>
      </c>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65341</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22852</v>
      </c>
      <c r="J34" s="1600">
        <f t="shared" si="1"/>
        <v>0</v>
      </c>
      <c r="K34" s="1600">
        <f t="shared" si="1"/>
        <v>0</v>
      </c>
      <c r="L34" s="1601">
        <f>SUM(L33)</f>
        <v>65341</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8474986</v>
      </c>
    </row>
    <row r="37" spans="1:14" ht="13.5" thickBot="1" x14ac:dyDescent="0.25">
      <c r="A37" s="1426" t="s">
        <v>648</v>
      </c>
      <c r="B37" s="1429"/>
      <c r="C37" s="1582"/>
      <c r="D37" s="1582"/>
      <c r="E37" s="1582"/>
      <c r="F37" s="1582"/>
      <c r="G37" s="1582"/>
      <c r="H37" s="1582"/>
      <c r="I37" s="1582"/>
      <c r="J37" s="1582"/>
      <c r="K37" s="1582"/>
      <c r="L37" s="1585"/>
      <c r="M37" s="1575"/>
      <c r="N37" s="1594">
        <f>SUM(N36:N36)</f>
        <v>8474986</v>
      </c>
    </row>
    <row r="38" spans="1:14" s="307" customFormat="1" ht="13.5" customHeight="1" thickTop="1" x14ac:dyDescent="0.2">
      <c r="A38" s="438" t="s">
        <v>417</v>
      </c>
      <c r="B38" s="432">
        <v>714</v>
      </c>
      <c r="C38" s="1573"/>
      <c r="D38" s="1573"/>
      <c r="E38" s="1573"/>
      <c r="F38" s="1573"/>
      <c r="G38" s="1573">
        <v>32618</v>
      </c>
      <c r="H38" s="1573"/>
      <c r="I38" s="1573"/>
      <c r="J38" s="1574"/>
      <c r="K38" s="1573"/>
      <c r="L38" s="1586"/>
      <c r="M38" s="1604"/>
      <c r="N38" s="1604"/>
    </row>
    <row r="39" spans="1:14" s="307" customFormat="1" ht="13.5" customHeight="1" x14ac:dyDescent="0.2">
      <c r="A39" s="438" t="s">
        <v>339</v>
      </c>
      <c r="B39" s="432">
        <v>730</v>
      </c>
      <c r="C39" s="1573">
        <v>2254722</v>
      </c>
      <c r="D39" s="1573">
        <v>1768428</v>
      </c>
      <c r="E39" s="1573">
        <v>570377</v>
      </c>
      <c r="F39" s="1573">
        <v>959083</v>
      </c>
      <c r="G39" s="1573"/>
      <c r="H39" s="1573">
        <v>534</v>
      </c>
      <c r="I39" s="1573">
        <v>907148</v>
      </c>
      <c r="J39" s="1574">
        <v>111655</v>
      </c>
      <c r="K39" s="1573">
        <v>124095</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23904466</v>
      </c>
      <c r="N40" s="1604"/>
    </row>
    <row r="41" spans="1:14" ht="13.5" customHeight="1" thickBot="1" x14ac:dyDescent="0.25">
      <c r="A41" s="1426" t="s">
        <v>650</v>
      </c>
      <c r="B41" s="1405"/>
      <c r="C41" s="1594">
        <f>(SUM(C34,C37,C38,C39))</f>
        <v>2254722</v>
      </c>
      <c r="D41" s="1594">
        <f t="shared" ref="D41:L41" si="2">SUM(D34,D37,D38:D39)</f>
        <v>1768428</v>
      </c>
      <c r="E41" s="1594">
        <f t="shared" si="2"/>
        <v>570377</v>
      </c>
      <c r="F41" s="1594">
        <f t="shared" si="2"/>
        <v>959083</v>
      </c>
      <c r="G41" s="1594">
        <f t="shared" si="2"/>
        <v>32618</v>
      </c>
      <c r="H41" s="1594">
        <f t="shared" si="2"/>
        <v>534</v>
      </c>
      <c r="I41" s="1594">
        <f t="shared" si="2"/>
        <v>930000</v>
      </c>
      <c r="J41" s="1594">
        <f t="shared" si="2"/>
        <v>111655</v>
      </c>
      <c r="K41" s="1594">
        <f t="shared" si="2"/>
        <v>124095</v>
      </c>
      <c r="L41" s="1594">
        <f t="shared" si="2"/>
        <v>65341</v>
      </c>
      <c r="M41" s="1594">
        <f>SUM(M40)</f>
        <v>23904466</v>
      </c>
      <c r="N41" s="1594">
        <f>SUM(N37)</f>
        <v>8474986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sqref="A1:M1"/>
      <selection pane="bottomLeft" sqref="A1:M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1482</v>
      </c>
      <c r="B4" s="1538">
        <v>1000</v>
      </c>
      <c r="C4" s="1606">
        <f>'Revenues 9-14'!C109</f>
        <v>3002666</v>
      </c>
      <c r="D4" s="1606">
        <f>'Revenues 9-14'!D109</f>
        <v>444807</v>
      </c>
      <c r="E4" s="1606">
        <f>'Revenues 9-14'!E109</f>
        <v>912138</v>
      </c>
      <c r="F4" s="1606">
        <f>'Revenues 9-14'!F109</f>
        <v>213020</v>
      </c>
      <c r="G4" s="1606">
        <f>'Revenues 9-14'!G109</f>
        <v>159183</v>
      </c>
      <c r="H4" s="1606">
        <f>'Revenues 9-14'!H109</f>
        <v>1</v>
      </c>
      <c r="I4" s="1606">
        <f>'Revenues 9-14'!I109</f>
        <v>34129</v>
      </c>
      <c r="J4" s="1606">
        <f>'Revenues 9-14'!J109</f>
        <v>110229</v>
      </c>
      <c r="K4" s="1606">
        <f>'Revenues 9-14'!K109</f>
        <v>34579</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1551765</v>
      </c>
      <c r="D6" s="1607">
        <f>'Revenues 9-14'!D170</f>
        <v>30000</v>
      </c>
      <c r="E6" s="1607">
        <f>'Revenues 9-14'!E170</f>
        <v>0</v>
      </c>
      <c r="F6" s="1607">
        <f>'Revenues 9-14'!F170</f>
        <v>159250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411609</v>
      </c>
      <c r="D7" s="1607">
        <f>'Revenues 9-14'!D267</f>
        <v>0</v>
      </c>
      <c r="E7" s="1607">
        <f>'Revenues 9-14'!E267</f>
        <v>53047</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4966040</v>
      </c>
      <c r="D8" s="1594">
        <f t="shared" ref="D8:K8" si="0">SUM(D4:D7)</f>
        <v>474807</v>
      </c>
      <c r="E8" s="1594">
        <f t="shared" si="0"/>
        <v>965185</v>
      </c>
      <c r="F8" s="1594">
        <f t="shared" si="0"/>
        <v>372270</v>
      </c>
      <c r="G8" s="1594">
        <f t="shared" si="0"/>
        <v>159183</v>
      </c>
      <c r="H8" s="1594">
        <f t="shared" si="0"/>
        <v>1</v>
      </c>
      <c r="I8" s="1594">
        <f t="shared" si="0"/>
        <v>34129</v>
      </c>
      <c r="J8" s="1594">
        <f t="shared" si="0"/>
        <v>110229</v>
      </c>
      <c r="K8" s="1594">
        <f t="shared" si="0"/>
        <v>34579</v>
      </c>
      <c r="L8" s="325"/>
    </row>
    <row r="9" spans="1:13" ht="15.75" thickTop="1" x14ac:dyDescent="0.2">
      <c r="A9" s="449" t="s">
        <v>1634</v>
      </c>
      <c r="B9" s="450">
        <v>3998</v>
      </c>
      <c r="C9" s="1586">
        <v>2411872</v>
      </c>
      <c r="D9" s="1613"/>
      <c r="E9" s="1586"/>
      <c r="F9" s="1586"/>
      <c r="G9" s="1614"/>
      <c r="H9" s="1586"/>
      <c r="I9" s="1609" t="s">
        <v>1159</v>
      </c>
      <c r="J9" s="1583"/>
      <c r="K9" s="1586"/>
      <c r="L9" s="325"/>
    </row>
    <row r="10" spans="1:13" s="452" customFormat="1" ht="13.5" thickBot="1" x14ac:dyDescent="0.25">
      <c r="A10" s="1426" t="s">
        <v>1163</v>
      </c>
      <c r="B10" s="1407"/>
      <c r="C10" s="1594">
        <f>SUM(C8:C9)</f>
        <v>7377912</v>
      </c>
      <c r="D10" s="1594">
        <f t="shared" ref="D10:K10" si="1">SUM(D8:D9)</f>
        <v>474807</v>
      </c>
      <c r="E10" s="1594">
        <f t="shared" si="1"/>
        <v>965185</v>
      </c>
      <c r="F10" s="1594">
        <f t="shared" si="1"/>
        <v>372270</v>
      </c>
      <c r="G10" s="1594">
        <f t="shared" si="1"/>
        <v>159183</v>
      </c>
      <c r="H10" s="1594">
        <f t="shared" si="1"/>
        <v>1</v>
      </c>
      <c r="I10" s="1594">
        <f t="shared" si="1"/>
        <v>34129</v>
      </c>
      <c r="J10" s="1594">
        <f t="shared" si="1"/>
        <v>110229</v>
      </c>
      <c r="K10" s="1594">
        <f t="shared" si="1"/>
        <v>34579</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3547855</v>
      </c>
      <c r="D12" s="1616" t="s">
        <v>1159</v>
      </c>
      <c r="E12" s="1575" t="s">
        <v>1159</v>
      </c>
      <c r="F12" s="1575" t="s">
        <v>1159</v>
      </c>
      <c r="G12" s="1606">
        <f>'Expenditures 15-22'!K229</f>
        <v>83385</v>
      </c>
      <c r="H12" s="1617"/>
      <c r="I12" s="1575" t="s">
        <v>1159</v>
      </c>
      <c r="J12" s="1575" t="s">
        <v>1159</v>
      </c>
      <c r="K12" s="1617" t="s">
        <v>1159</v>
      </c>
      <c r="L12" s="325"/>
    </row>
    <row r="13" spans="1:13" ht="15.75" customHeight="1" x14ac:dyDescent="0.2">
      <c r="A13" s="1314" t="s">
        <v>454</v>
      </c>
      <c r="B13" s="1316">
        <v>2000</v>
      </c>
      <c r="C13" s="1607">
        <f>'Expenditures 15-22'!K74</f>
        <v>1450372</v>
      </c>
      <c r="D13" s="1607">
        <f>'Expenditures 15-22'!K129</f>
        <v>1153612</v>
      </c>
      <c r="E13" s="1576" t="s">
        <v>1159</v>
      </c>
      <c r="F13" s="1607">
        <f>'Expenditures 15-22'!K184</f>
        <v>229423</v>
      </c>
      <c r="G13" s="1607">
        <f>'Expenditures 15-22'!K279</f>
        <v>98925</v>
      </c>
      <c r="H13" s="1607">
        <f>'Expenditures 15-22'!K303</f>
        <v>0</v>
      </c>
      <c r="I13" s="1575" t="s">
        <v>1159</v>
      </c>
      <c r="J13" s="1607">
        <f>'Expenditures 15-22'!K330</f>
        <v>131442</v>
      </c>
      <c r="K13" s="1618">
        <f>'Expenditures 15-22'!K352</f>
        <v>12776</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270107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1011858</v>
      </c>
      <c r="F16" s="1607">
        <f>'Expenditures 15-22'!K208</f>
        <v>63260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5268334</v>
      </c>
      <c r="D17" s="1594">
        <f t="shared" si="2"/>
        <v>1153612</v>
      </c>
      <c r="E17" s="1594">
        <f t="shared" si="2"/>
        <v>1011858</v>
      </c>
      <c r="F17" s="1594">
        <f t="shared" si="2"/>
        <v>292683</v>
      </c>
      <c r="G17" s="1594">
        <f t="shared" si="2"/>
        <v>182310</v>
      </c>
      <c r="H17" s="1594">
        <f t="shared" si="2"/>
        <v>0</v>
      </c>
      <c r="I17" s="1575"/>
      <c r="J17" s="1594">
        <f>SUM(J12:J16)</f>
        <v>131442</v>
      </c>
      <c r="K17" s="1594">
        <f>SUM(K12:K16)</f>
        <v>12776</v>
      </c>
      <c r="L17" s="325"/>
    </row>
    <row r="18" spans="1:12" ht="15" customHeight="1" thickTop="1" x14ac:dyDescent="0.2">
      <c r="A18" s="1430" t="s">
        <v>1635</v>
      </c>
      <c r="B18" s="1431">
        <v>4180</v>
      </c>
      <c r="C18" s="1606">
        <f t="shared" ref="C18:H18" si="3">C9</f>
        <v>2411872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7680206</v>
      </c>
      <c r="D19" s="1594">
        <f t="shared" si="4"/>
        <v>1153612</v>
      </c>
      <c r="E19" s="1594">
        <f t="shared" si="4"/>
        <v>1011858</v>
      </c>
      <c r="F19" s="1594">
        <f t="shared" si="4"/>
        <v>292683</v>
      </c>
      <c r="G19" s="1594">
        <f t="shared" si="4"/>
        <v>182310</v>
      </c>
      <c r="H19" s="1594">
        <f t="shared" si="4"/>
        <v>0</v>
      </c>
      <c r="I19" s="1575"/>
      <c r="J19" s="1594">
        <f>SUM(J17:J18)</f>
        <v>131442</v>
      </c>
      <c r="K19" s="1594">
        <f>SUM(K17:K18)</f>
        <v>12776</v>
      </c>
      <c r="L19" s="325"/>
    </row>
    <row r="20" spans="1:12" ht="16.5" thickTop="1" thickBot="1" x14ac:dyDescent="0.25">
      <c r="A20" s="2234" t="s">
        <v>1636</v>
      </c>
      <c r="B20" s="2235"/>
      <c r="C20" s="1622">
        <f>C8-C17</f>
        <v>-302294</v>
      </c>
      <c r="D20" s="1622">
        <f t="shared" ref="D20:K20" si="5">D8-D17</f>
        <v>-678805</v>
      </c>
      <c r="E20" s="1622">
        <f t="shared" si="5"/>
        <v>-46673</v>
      </c>
      <c r="F20" s="1622">
        <f t="shared" si="5"/>
        <v>79587</v>
      </c>
      <c r="G20" s="1622">
        <f t="shared" si="5"/>
        <v>-23127</v>
      </c>
      <c r="H20" s="1622">
        <f t="shared" si="5"/>
        <v>1</v>
      </c>
      <c r="I20" s="1622">
        <f t="shared" si="5"/>
        <v>34129</v>
      </c>
      <c r="J20" s="1622">
        <f t="shared" si="5"/>
        <v>-21213</v>
      </c>
      <c r="K20" s="1622">
        <f t="shared" si="5"/>
        <v>21803</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v>78368</v>
      </c>
      <c r="D25" s="1574">
        <v>1261700</v>
      </c>
      <c r="E25" s="1574"/>
      <c r="F25" s="1574"/>
      <c r="G25" s="1574"/>
      <c r="H25" s="1574"/>
      <c r="I25" s="1582"/>
      <c r="J25" s="1574">
        <v>32300</v>
      </c>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8" t="s">
        <v>371</v>
      </c>
      <c r="B44" s="2249"/>
      <c r="C44" s="1624">
        <f>SUM(C24:C43)</f>
        <v>78368</v>
      </c>
      <c r="D44" s="1624">
        <f t="shared" ref="D44:K44" si="6">SUM(D24:D43)</f>
        <v>1261700</v>
      </c>
      <c r="E44" s="1624">
        <f t="shared" si="6"/>
        <v>0</v>
      </c>
      <c r="F44" s="1624">
        <f t="shared" si="6"/>
        <v>0</v>
      </c>
      <c r="G44" s="1624">
        <f t="shared" si="6"/>
        <v>0</v>
      </c>
      <c r="H44" s="1624">
        <f t="shared" si="6"/>
        <v>0</v>
      </c>
      <c r="I44" s="1624">
        <f t="shared" si="6"/>
        <v>0</v>
      </c>
      <c r="J44" s="1624">
        <f t="shared" si="6"/>
        <v>32300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1372368</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4" t="s">
        <v>437</v>
      </c>
      <c r="B76" s="2225"/>
      <c r="C76" s="1624">
        <f t="shared" ref="C76:K76" si="7">SUM(C47:C75)</f>
        <v>0</v>
      </c>
      <c r="D76" s="1624">
        <f t="shared" si="7"/>
        <v>0</v>
      </c>
      <c r="E76" s="1624">
        <f t="shared" si="7"/>
        <v>0</v>
      </c>
      <c r="F76" s="1624">
        <f t="shared" si="7"/>
        <v>0</v>
      </c>
      <c r="G76" s="1624">
        <f t="shared" si="7"/>
        <v>0</v>
      </c>
      <c r="H76" s="1624">
        <f t="shared" si="7"/>
        <v>0</v>
      </c>
      <c r="I76" s="1624">
        <f t="shared" si="7"/>
        <v>1372368</v>
      </c>
      <c r="J76" s="1624">
        <f t="shared" si="7"/>
        <v>0</v>
      </c>
      <c r="K76" s="1624">
        <f t="shared" si="7"/>
        <v>0</v>
      </c>
      <c r="L76" s="453"/>
    </row>
    <row r="77" spans="1:12" ht="14.25" thickTop="1" thickBot="1" x14ac:dyDescent="0.25">
      <c r="A77" s="2226" t="s">
        <v>1167</v>
      </c>
      <c r="B77" s="2227"/>
      <c r="C77" s="1624">
        <f t="shared" ref="C77:K77" si="8">C44-C76</f>
        <v>78368</v>
      </c>
      <c r="D77" s="1624">
        <f t="shared" si="8"/>
        <v>1261700</v>
      </c>
      <c r="E77" s="1624">
        <f t="shared" si="8"/>
        <v>0</v>
      </c>
      <c r="F77" s="1624">
        <f t="shared" si="8"/>
        <v>0</v>
      </c>
      <c r="G77" s="1624">
        <f t="shared" si="8"/>
        <v>0</v>
      </c>
      <c r="H77" s="1624">
        <f t="shared" si="8"/>
        <v>0</v>
      </c>
      <c r="I77" s="1624">
        <f t="shared" si="8"/>
        <v>-1372368</v>
      </c>
      <c r="J77" s="1624">
        <f t="shared" si="8"/>
        <v>32300</v>
      </c>
      <c r="K77" s="1624">
        <f t="shared" si="8"/>
        <v>0</v>
      </c>
      <c r="L77" s="325"/>
    </row>
    <row r="78" spans="1:12" ht="21.75" customHeight="1" thickTop="1" thickBot="1" x14ac:dyDescent="0.25">
      <c r="A78" s="2230" t="s">
        <v>593</v>
      </c>
      <c r="B78" s="2231"/>
      <c r="C78" s="1629">
        <f t="shared" ref="C78:K78" si="9">C20+C77</f>
        <v>-223926</v>
      </c>
      <c r="D78" s="1629">
        <f t="shared" si="9"/>
        <v>582895</v>
      </c>
      <c r="E78" s="1629">
        <f t="shared" si="9"/>
        <v>-46673</v>
      </c>
      <c r="F78" s="1629">
        <f t="shared" si="9"/>
        <v>79587</v>
      </c>
      <c r="G78" s="1629">
        <f t="shared" si="9"/>
        <v>-23127</v>
      </c>
      <c r="H78" s="1629">
        <f t="shared" si="9"/>
        <v>1</v>
      </c>
      <c r="I78" s="1629">
        <f t="shared" si="9"/>
        <v>-1338239</v>
      </c>
      <c r="J78" s="1629">
        <f t="shared" si="9"/>
        <v>11087</v>
      </c>
      <c r="K78" s="1629">
        <f t="shared" si="9"/>
        <v>21803</v>
      </c>
      <c r="L78" s="457"/>
    </row>
    <row r="79" spans="1:12" ht="13.5" thickTop="1" x14ac:dyDescent="0.2">
      <c r="A79" s="1844" t="str">
        <f>"Fund Balances - July 1, "&amp;'AFR20'!E2-1</f>
        <v>Fund Balances - July 1, 2019</v>
      </c>
      <c r="B79" s="458"/>
      <c r="C79" s="1583">
        <v>2478648</v>
      </c>
      <c r="D79" s="1630">
        <v>1185533</v>
      </c>
      <c r="E79" s="1630">
        <v>617050</v>
      </c>
      <c r="F79" s="1630">
        <v>879496</v>
      </c>
      <c r="G79" s="1630">
        <v>55745</v>
      </c>
      <c r="H79" s="1630">
        <v>533</v>
      </c>
      <c r="I79" s="1630">
        <v>2245387</v>
      </c>
      <c r="J79" s="1630">
        <v>100568</v>
      </c>
      <c r="K79" s="1630">
        <v>102292</v>
      </c>
      <c r="L79" s="325"/>
    </row>
    <row r="80" spans="1:12" x14ac:dyDescent="0.2">
      <c r="A80" s="2236" t="s">
        <v>1772</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2254722</v>
      </c>
      <c r="D81" s="1594">
        <f>SUM(D78:D80)</f>
        <v>1768428</v>
      </c>
      <c r="E81" s="1594">
        <f t="shared" ref="E81:K81" si="10">SUM(E78:E80)</f>
        <v>570377</v>
      </c>
      <c r="F81" s="1594">
        <f t="shared" si="10"/>
        <v>959083</v>
      </c>
      <c r="G81" s="1594">
        <f t="shared" si="10"/>
        <v>32618</v>
      </c>
      <c r="H81" s="1594">
        <f t="shared" si="10"/>
        <v>534</v>
      </c>
      <c r="I81" s="1594">
        <f t="shared" si="10"/>
        <v>907148</v>
      </c>
      <c r="J81" s="1594">
        <f t="shared" si="10"/>
        <v>111655</v>
      </c>
      <c r="K81" s="1594">
        <f t="shared" si="10"/>
        <v>124095</v>
      </c>
      <c r="L81" s="325"/>
    </row>
    <row r="82" spans="1:12" ht="0.75" customHeight="1" thickTop="1" thickBot="1" x14ac:dyDescent="0.25">
      <c r="A82" s="459" t="s">
        <v>340</v>
      </c>
      <c r="B82" s="460"/>
      <c r="C82" s="461">
        <f>(C81-C79)</f>
        <v>-223926</v>
      </c>
      <c r="D82" s="461">
        <f t="shared" ref="D82:K82" si="11">(D81-D79)</f>
        <v>582895</v>
      </c>
      <c r="E82" s="461">
        <f t="shared" si="11"/>
        <v>-46673</v>
      </c>
      <c r="F82" s="461">
        <f t="shared" si="11"/>
        <v>79587</v>
      </c>
      <c r="G82" s="461">
        <f t="shared" si="11"/>
        <v>-23127</v>
      </c>
      <c r="H82" s="461">
        <f t="shared" si="11"/>
        <v>1</v>
      </c>
      <c r="I82" s="461">
        <f t="shared" si="11"/>
        <v>-1338239</v>
      </c>
      <c r="J82" s="461">
        <f t="shared" si="11"/>
        <v>11087</v>
      </c>
      <c r="K82" s="461">
        <f t="shared" si="11"/>
        <v>21803</v>
      </c>
    </row>
    <row r="83" spans="1:12" ht="14.25" hidden="1" thickTop="1" thickBot="1" x14ac:dyDescent="0.25">
      <c r="A83" s="462" t="s">
        <v>341</v>
      </c>
      <c r="B83" s="428"/>
      <c r="C83" s="463">
        <f>C82/C81</f>
        <v>-9.9314239183367167E-2</v>
      </c>
      <c r="D83" s="463">
        <f t="shared" ref="D83:K83" si="12">D82/D81</f>
        <v>0.32961194914353315</v>
      </c>
      <c r="E83" s="463">
        <f t="shared" si="12"/>
        <v>-8.1828334592734281E-2</v>
      </c>
      <c r="F83" s="463">
        <f t="shared" si="12"/>
        <v>8.2982390470897727E-2</v>
      </c>
      <c r="G83" s="463">
        <f t="shared" si="12"/>
        <v>-0.70902569133607207</v>
      </c>
      <c r="H83" s="463">
        <f t="shared" si="12"/>
        <v>1.8726591760299626E-3</v>
      </c>
      <c r="I83" s="463">
        <f t="shared" si="12"/>
        <v>-1.4752157310604224</v>
      </c>
      <c r="J83" s="463">
        <f t="shared" si="12"/>
        <v>9.9296941471497022E-2</v>
      </c>
      <c r="K83" s="463">
        <f t="shared" si="12"/>
        <v>0.1756960393247109</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sqref="A1:M1"/>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1779</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2081973</v>
      </c>
      <c r="D5" s="1586">
        <v>400290</v>
      </c>
      <c r="E5" s="1573">
        <v>439959</v>
      </c>
      <c r="F5" s="1631">
        <v>190096</v>
      </c>
      <c r="G5" s="1573">
        <v>67686</v>
      </c>
      <c r="H5" s="1573"/>
      <c r="I5" s="1573">
        <v>5758</v>
      </c>
      <c r="J5" s="1574">
        <v>108457</v>
      </c>
      <c r="K5" s="1573">
        <v>31520</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38849</v>
      </c>
      <c r="D7" s="1573"/>
      <c r="E7" s="1575"/>
      <c r="F7" s="1574"/>
      <c r="G7" s="1574"/>
      <c r="H7" s="1574"/>
      <c r="I7" s="1575"/>
      <c r="J7" s="1575"/>
      <c r="K7" s="1575"/>
    </row>
    <row r="8" spans="1:12" x14ac:dyDescent="0.2">
      <c r="A8" s="427" t="s">
        <v>410</v>
      </c>
      <c r="B8" s="429">
        <v>1150</v>
      </c>
      <c r="C8" s="1580"/>
      <c r="D8" s="1580"/>
      <c r="E8" s="1582"/>
      <c r="F8" s="1582"/>
      <c r="G8" s="1586">
        <v>72052</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2120822</v>
      </c>
      <c r="D12" s="1633">
        <f t="shared" si="0"/>
        <v>400290</v>
      </c>
      <c r="E12" s="1633">
        <f t="shared" si="0"/>
        <v>439959</v>
      </c>
      <c r="F12" s="1633">
        <f t="shared" si="0"/>
        <v>190096</v>
      </c>
      <c r="G12" s="1633">
        <f t="shared" si="0"/>
        <v>139738</v>
      </c>
      <c r="H12" s="1633">
        <f t="shared" si="0"/>
        <v>0</v>
      </c>
      <c r="I12" s="1633">
        <f t="shared" si="0"/>
        <v>5758</v>
      </c>
      <c r="J12" s="1633">
        <f t="shared" si="0"/>
        <v>108457</v>
      </c>
      <c r="K12" s="1594">
        <f t="shared" si="0"/>
        <v>31520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1171</v>
      </c>
      <c r="D14" s="1573">
        <v>220</v>
      </c>
      <c r="E14" s="1573">
        <v>243</v>
      </c>
      <c r="F14" s="1573">
        <v>105</v>
      </c>
      <c r="G14" s="1573">
        <v>78</v>
      </c>
      <c r="H14" s="1573"/>
      <c r="I14" s="1573">
        <v>3</v>
      </c>
      <c r="J14" s="1574">
        <v>60</v>
      </c>
      <c r="K14" s="1573">
        <v>18</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514379</v>
      </c>
      <c r="D16" s="1573"/>
      <c r="E16" s="1573"/>
      <c r="F16" s="1573"/>
      <c r="G16" s="1573">
        <v>14817</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515550</v>
      </c>
      <c r="D18" s="1635">
        <f t="shared" ref="D18:K18" si="1">SUM(D14:D17)</f>
        <v>220</v>
      </c>
      <c r="E18" s="1635">
        <f t="shared" si="1"/>
        <v>243</v>
      </c>
      <c r="F18" s="1635">
        <f t="shared" si="1"/>
        <v>105</v>
      </c>
      <c r="G18" s="1635">
        <f t="shared" si="1"/>
        <v>14895</v>
      </c>
      <c r="H18" s="1635">
        <f t="shared" si="1"/>
        <v>0</v>
      </c>
      <c r="I18" s="1635">
        <f t="shared" si="1"/>
        <v>3</v>
      </c>
      <c r="J18" s="1635">
        <f t="shared" si="1"/>
        <v>60</v>
      </c>
      <c r="K18" s="1636">
        <f t="shared" si="1"/>
        <v>18</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10439</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10439</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63340</v>
      </c>
      <c r="D65" s="1573">
        <v>27721</v>
      </c>
      <c r="E65" s="1573">
        <v>14544</v>
      </c>
      <c r="F65" s="1574">
        <v>22819</v>
      </c>
      <c r="G65" s="1573">
        <v>4550</v>
      </c>
      <c r="H65" s="1573">
        <v>1</v>
      </c>
      <c r="I65" s="1573">
        <v>28368</v>
      </c>
      <c r="J65" s="1574">
        <v>973</v>
      </c>
      <c r="K65" s="1573">
        <v>3041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63340</v>
      </c>
      <c r="D67" s="1594">
        <f t="shared" ref="D67:K67" si="2">SUM(D65:D66)</f>
        <v>27721</v>
      </c>
      <c r="E67" s="1594">
        <f t="shared" si="2"/>
        <v>14544</v>
      </c>
      <c r="F67" s="1594">
        <f t="shared" si="2"/>
        <v>22819</v>
      </c>
      <c r="G67" s="1594">
        <f t="shared" si="2"/>
        <v>4550</v>
      </c>
      <c r="H67" s="1594">
        <f t="shared" si="2"/>
        <v>1</v>
      </c>
      <c r="I67" s="1594">
        <f t="shared" si="2"/>
        <v>28368</v>
      </c>
      <c r="J67" s="1594">
        <f t="shared" si="2"/>
        <v>973</v>
      </c>
      <c r="K67" s="1594">
        <f t="shared" si="2"/>
        <v>3041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82002</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6218</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88220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28760</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22215</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74089</v>
      </c>
      <c r="D81" s="1573"/>
      <c r="E81" s="1575"/>
      <c r="F81" s="1575"/>
      <c r="G81" s="1575"/>
      <c r="H81" s="1575"/>
      <c r="I81" s="1575"/>
      <c r="J81" s="1575"/>
      <c r="K81" s="1575"/>
    </row>
    <row r="82" spans="1:11" ht="12.75" customHeight="1" thickBot="1" x14ac:dyDescent="0.25">
      <c r="A82" s="1406" t="s">
        <v>239</v>
      </c>
      <c r="B82" s="1407"/>
      <c r="C82" s="1633">
        <f>SUM(C77:C81)</f>
        <v>125064</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28558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28558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6426</v>
      </c>
      <c r="E95" s="1617"/>
      <c r="F95" s="1617"/>
      <c r="G95" s="1617"/>
      <c r="H95" s="1617"/>
      <c r="I95" s="1617"/>
      <c r="J95" s="1617"/>
      <c r="K95" s="1617"/>
    </row>
    <row r="96" spans="1:11" ht="12.75" customHeight="1" x14ac:dyDescent="0.2">
      <c r="A96" s="427" t="s">
        <v>388</v>
      </c>
      <c r="B96" s="429">
        <v>1920</v>
      </c>
      <c r="C96" s="1632">
        <v>25791</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2618</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2225</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457392</v>
      </c>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20039</v>
      </c>
      <c r="D107" s="1573">
        <v>10150</v>
      </c>
      <c r="E107" s="1573"/>
      <c r="F107" s="1573"/>
      <c r="G107" s="1573"/>
      <c r="H107" s="1573"/>
      <c r="I107" s="1573"/>
      <c r="J107" s="1574">
        <v>739</v>
      </c>
      <c r="K107" s="1573"/>
    </row>
    <row r="108" spans="1:12" ht="12.75" customHeight="1" thickBot="1" x14ac:dyDescent="0.25">
      <c r="A108" s="1406" t="s">
        <v>484</v>
      </c>
      <c r="B108" s="1408"/>
      <c r="C108" s="1633">
        <f>SUM(C95:C107)</f>
        <v>50673</v>
      </c>
      <c r="D108" s="1633">
        <f t="shared" ref="D108:K108" si="3">SUM(D95:D107)</f>
        <v>16576</v>
      </c>
      <c r="E108" s="1633">
        <f t="shared" si="3"/>
        <v>457392</v>
      </c>
      <c r="F108" s="1633">
        <f t="shared" si="3"/>
        <v>0</v>
      </c>
      <c r="G108" s="1633">
        <f t="shared" si="3"/>
        <v>0</v>
      </c>
      <c r="H108" s="1633">
        <f t="shared" si="3"/>
        <v>0</v>
      </c>
      <c r="I108" s="1633">
        <f t="shared" si="3"/>
        <v>0</v>
      </c>
      <c r="J108" s="1633">
        <f t="shared" si="3"/>
        <v>739</v>
      </c>
      <c r="K108" s="1594">
        <f t="shared" si="3"/>
        <v>0</v>
      </c>
    </row>
    <row r="109" spans="1:12" ht="14.25" thickTop="1" thickBot="1" x14ac:dyDescent="0.25">
      <c r="A109" s="1409" t="s">
        <v>246</v>
      </c>
      <c r="B109" s="1410" t="s">
        <v>566</v>
      </c>
      <c r="C109" s="1641">
        <f t="shared" ref="C109:K109" si="4">SUM(C12,C18,C40,C63,C67,C75,C82,C93,C108,)</f>
        <v>3002666</v>
      </c>
      <c r="D109" s="1641">
        <f t="shared" si="4"/>
        <v>444807</v>
      </c>
      <c r="E109" s="1641">
        <f t="shared" si="4"/>
        <v>912138</v>
      </c>
      <c r="F109" s="1641">
        <f t="shared" si="4"/>
        <v>213020</v>
      </c>
      <c r="G109" s="1641">
        <f t="shared" si="4"/>
        <v>159183</v>
      </c>
      <c r="H109" s="1641">
        <f t="shared" si="4"/>
        <v>1</v>
      </c>
      <c r="I109" s="1641">
        <f t="shared" si="4"/>
        <v>34129</v>
      </c>
      <c r="J109" s="1641">
        <f t="shared" si="4"/>
        <v>110229</v>
      </c>
      <c r="K109" s="1629">
        <f t="shared" si="4"/>
        <v>34579</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1515757</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1515757</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17317</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17317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7308</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3437</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10745</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768</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5678</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88292</v>
      </c>
      <c r="G152" s="1574"/>
      <c r="H152" s="1575"/>
      <c r="I152" s="1575"/>
      <c r="J152" s="1575"/>
      <c r="K152" s="1575"/>
    </row>
    <row r="153" spans="1:11" ht="12.75" customHeight="1" x14ac:dyDescent="0.2">
      <c r="A153" s="427" t="s">
        <v>1048</v>
      </c>
      <c r="B153" s="478">
        <v>3510</v>
      </c>
      <c r="C153" s="1632"/>
      <c r="D153" s="1573"/>
      <c r="E153" s="1640"/>
      <c r="F153" s="1573">
        <v>58648</v>
      </c>
      <c r="G153" s="1574"/>
      <c r="H153" s="1575"/>
      <c r="I153" s="1575"/>
      <c r="J153" s="1575"/>
      <c r="K153" s="1575"/>
    </row>
    <row r="154" spans="1:11" ht="12.75" customHeight="1" x14ac:dyDescent="0.2">
      <c r="A154" s="427" t="s">
        <v>69</v>
      </c>
      <c r="B154" s="478">
        <v>3599</v>
      </c>
      <c r="C154" s="1632"/>
      <c r="D154" s="1573"/>
      <c r="E154" s="1640"/>
      <c r="F154" s="1573">
        <v>12310</v>
      </c>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159250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30000</v>
      </c>
      <c r="E167" s="1617"/>
      <c r="F167" s="1617"/>
      <c r="G167" s="1575"/>
      <c r="H167" s="1627"/>
      <c r="I167" s="1575"/>
      <c r="J167" s="1575"/>
      <c r="K167" s="1626"/>
    </row>
    <row r="168" spans="1:11" ht="14.25" thickTop="1" thickBot="1" x14ac:dyDescent="0.25">
      <c r="A168" s="1270" t="s">
        <v>70</v>
      </c>
      <c r="B168" s="484">
        <v>3999</v>
      </c>
      <c r="C168" s="1654">
        <v>1500</v>
      </c>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36008</v>
      </c>
      <c r="D169" s="1658">
        <f t="shared" si="6"/>
        <v>30000</v>
      </c>
      <c r="E169" s="1658">
        <f t="shared" si="6"/>
        <v>0</v>
      </c>
      <c r="F169" s="1658">
        <f t="shared" si="6"/>
        <v>159250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1551765</v>
      </c>
      <c r="D170" s="1641">
        <f t="shared" si="7"/>
        <v>30000</v>
      </c>
      <c r="E170" s="1641">
        <f t="shared" si="7"/>
        <v>0</v>
      </c>
      <c r="F170" s="1641">
        <f t="shared" si="7"/>
        <v>159250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1475</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1646</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1645</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1780</v>
      </c>
      <c r="B182" s="225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62359</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664</v>
      </c>
      <c r="D193" s="1575"/>
      <c r="E193" s="1640"/>
      <c r="F193" s="1575"/>
      <c r="G193" s="1664"/>
      <c r="H193" s="1575"/>
      <c r="I193" s="1575"/>
      <c r="J193" s="1575"/>
      <c r="K193" s="1575"/>
    </row>
    <row r="194" spans="1:11" ht="12.75" customHeight="1" x14ac:dyDescent="0.2">
      <c r="A194" s="427" t="s">
        <v>1434</v>
      </c>
      <c r="B194" s="429">
        <v>4225</v>
      </c>
      <c r="C194" s="1632">
        <v>21032</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84055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105553</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105553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4023</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4023</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2884</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126203</v>
      </c>
      <c r="D213" s="1573"/>
      <c r="E213" s="1575"/>
      <c r="F213" s="1573"/>
      <c r="G213" s="1573"/>
      <c r="H213" s="1575"/>
      <c r="I213" s="1575"/>
      <c r="J213" s="1575"/>
      <c r="K213" s="1575"/>
    </row>
    <row r="214" spans="1:11" ht="12.75" customHeight="1" x14ac:dyDescent="0.2">
      <c r="A214" s="427" t="s">
        <v>1045</v>
      </c>
      <c r="B214" s="429">
        <v>4625</v>
      </c>
      <c r="C214" s="1632">
        <v>13917</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143004</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v>53047</v>
      </c>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53047</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29149</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7158</v>
      </c>
      <c r="D263" s="1651"/>
      <c r="E263" s="1575"/>
      <c r="F263" s="1651"/>
      <c r="G263" s="1651"/>
      <c r="H263" s="1575"/>
      <c r="I263" s="1575"/>
      <c r="J263" s="1575"/>
      <c r="K263" s="1575"/>
    </row>
    <row r="264" spans="1:11" ht="12.75" customHeight="1" thickTop="1" thickBot="1" x14ac:dyDescent="0.25">
      <c r="A264" s="427" t="s">
        <v>374</v>
      </c>
      <c r="B264" s="429">
        <v>4992</v>
      </c>
      <c r="C264" s="1650">
        <v>24475</v>
      </c>
      <c r="D264" s="1651"/>
      <c r="E264" s="1575"/>
      <c r="F264" s="1651"/>
      <c r="G264" s="1651"/>
      <c r="H264" s="1575"/>
      <c r="I264" s="1575"/>
      <c r="J264" s="1575"/>
      <c r="K264" s="1575"/>
    </row>
    <row r="265" spans="1:11" s="489" customFormat="1" ht="12.75" customHeight="1" thickTop="1" thickBot="1" x14ac:dyDescent="0.25">
      <c r="A265" s="479" t="s">
        <v>75</v>
      </c>
      <c r="B265" s="475">
        <v>4998</v>
      </c>
      <c r="C265" s="1650">
        <v>14192</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411609</v>
      </c>
      <c r="D266" s="1641">
        <f t="shared" si="10"/>
        <v>0</v>
      </c>
      <c r="E266" s="1641">
        <f t="shared" si="10"/>
        <v>53047</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411609</v>
      </c>
      <c r="D267" s="1641">
        <f>SUM(D175,D181,D266)</f>
        <v>0</v>
      </c>
      <c r="E267" s="1641">
        <f>SUM(E175,E266)</f>
        <v>53047</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4966040</v>
      </c>
      <c r="D268" s="1641">
        <f t="shared" si="12"/>
        <v>474807</v>
      </c>
      <c r="E268" s="1641">
        <f t="shared" si="12"/>
        <v>965185</v>
      </c>
      <c r="F268" s="1641">
        <f t="shared" si="12"/>
        <v>372270</v>
      </c>
      <c r="G268" s="1641">
        <f t="shared" si="12"/>
        <v>159183</v>
      </c>
      <c r="H268" s="1641">
        <f t="shared" si="12"/>
        <v>1</v>
      </c>
      <c r="I268" s="1641">
        <f t="shared" si="12"/>
        <v>34129</v>
      </c>
      <c r="J268" s="1641">
        <f t="shared" si="12"/>
        <v>110229</v>
      </c>
      <c r="K268" s="1629">
        <f t="shared" si="12"/>
        <v>34579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sqref="A1:M1"/>
      <selection pane="bottomLeft" sqref="A1:M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1782116</v>
      </c>
      <c r="D5" s="1573">
        <v>455381</v>
      </c>
      <c r="E5" s="1573">
        <v>10684</v>
      </c>
      <c r="F5" s="1573">
        <v>108566</v>
      </c>
      <c r="G5" s="1573">
        <v>57167</v>
      </c>
      <c r="H5" s="1573">
        <v>258</v>
      </c>
      <c r="I5" s="1574">
        <v>4321</v>
      </c>
      <c r="J5" s="1574"/>
      <c r="K5" s="1672">
        <f>SUM(C5:J5)</f>
        <v>2418493</v>
      </c>
      <c r="L5" s="1573">
        <v>2449327</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471268</v>
      </c>
      <c r="D8" s="1573">
        <v>125030</v>
      </c>
      <c r="E8" s="1573"/>
      <c r="F8" s="1573">
        <v>1422</v>
      </c>
      <c r="G8" s="1573"/>
      <c r="H8" s="1573"/>
      <c r="I8" s="1574"/>
      <c r="J8" s="1574"/>
      <c r="K8" s="1672">
        <f t="shared" si="0"/>
        <v>597720</v>
      </c>
      <c r="L8" s="1573">
        <v>603568</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77537</v>
      </c>
      <c r="D10" s="1573">
        <v>19154</v>
      </c>
      <c r="E10" s="1573"/>
      <c r="F10" s="1573">
        <v>3037</v>
      </c>
      <c r="G10" s="1573"/>
      <c r="H10" s="1573"/>
      <c r="I10" s="1574"/>
      <c r="J10" s="1574"/>
      <c r="K10" s="1672">
        <f t="shared" si="0"/>
        <v>99728</v>
      </c>
      <c r="L10" s="1573">
        <v>97943</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128499</v>
      </c>
      <c r="D13" s="1573">
        <v>37918</v>
      </c>
      <c r="E13" s="1573">
        <v>2870</v>
      </c>
      <c r="F13" s="1573">
        <v>7520</v>
      </c>
      <c r="G13" s="1573">
        <v>489</v>
      </c>
      <c r="H13" s="1573"/>
      <c r="I13" s="1574"/>
      <c r="J13" s="1574"/>
      <c r="K13" s="1672">
        <f t="shared" si="0"/>
        <v>177296</v>
      </c>
      <c r="L13" s="1573">
        <v>177405</v>
      </c>
    </row>
    <row r="14" spans="1:14" x14ac:dyDescent="0.2">
      <c r="A14" s="1274" t="s">
        <v>957</v>
      </c>
      <c r="B14" s="503">
        <v>1500</v>
      </c>
      <c r="C14" s="1573">
        <v>78473</v>
      </c>
      <c r="D14" s="1573">
        <v>402</v>
      </c>
      <c r="E14" s="1573">
        <v>43646</v>
      </c>
      <c r="F14" s="1573">
        <v>99937</v>
      </c>
      <c r="G14" s="1573">
        <v>14275</v>
      </c>
      <c r="H14" s="1573">
        <v>6119</v>
      </c>
      <c r="I14" s="1574"/>
      <c r="J14" s="1574"/>
      <c r="K14" s="1672">
        <f t="shared" si="0"/>
        <v>242852</v>
      </c>
      <c r="L14" s="1573">
        <v>246336</v>
      </c>
    </row>
    <row r="15" spans="1:14" x14ac:dyDescent="0.2">
      <c r="A15" s="1274" t="s">
        <v>958</v>
      </c>
      <c r="B15" s="503">
        <v>1600</v>
      </c>
      <c r="C15" s="1573">
        <v>713</v>
      </c>
      <c r="D15" s="1573"/>
      <c r="E15" s="1573"/>
      <c r="F15" s="1573"/>
      <c r="G15" s="1573"/>
      <c r="H15" s="1573"/>
      <c r="I15" s="1574"/>
      <c r="J15" s="1574"/>
      <c r="K15" s="1672">
        <f t="shared" si="0"/>
        <v>713</v>
      </c>
      <c r="L15" s="1573">
        <v>3</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10250</v>
      </c>
      <c r="D17" s="1574">
        <v>803</v>
      </c>
      <c r="E17" s="1574"/>
      <c r="F17" s="1574"/>
      <c r="G17" s="1574"/>
      <c r="H17" s="1574"/>
      <c r="I17" s="1574"/>
      <c r="J17" s="1574"/>
      <c r="K17" s="1672">
        <f t="shared" si="0"/>
        <v>11053</v>
      </c>
      <c r="L17" s="1573">
        <v>10370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2548856</v>
      </c>
      <c r="D33" s="1674">
        <f t="shared" ref="D33:L33" si="1">SUM(D5:D32)</f>
        <v>638688</v>
      </c>
      <c r="E33" s="1674">
        <f t="shared" si="1"/>
        <v>57200</v>
      </c>
      <c r="F33" s="1674">
        <f t="shared" si="1"/>
        <v>220482</v>
      </c>
      <c r="G33" s="1674">
        <f t="shared" si="1"/>
        <v>71931</v>
      </c>
      <c r="H33" s="1674">
        <f t="shared" si="1"/>
        <v>6377</v>
      </c>
      <c r="I33" s="1674">
        <f t="shared" si="1"/>
        <v>4321</v>
      </c>
      <c r="J33" s="1674">
        <f t="shared" si="1"/>
        <v>0</v>
      </c>
      <c r="K33" s="1674">
        <f t="shared" si="1"/>
        <v>3547855</v>
      </c>
      <c r="L33" s="1674">
        <f t="shared" si="1"/>
        <v>3584952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57511</v>
      </c>
      <c r="D37" s="1573">
        <v>14662</v>
      </c>
      <c r="E37" s="1573">
        <v>3167</v>
      </c>
      <c r="F37" s="1573">
        <v>186</v>
      </c>
      <c r="G37" s="1573"/>
      <c r="H37" s="1573"/>
      <c r="I37" s="1574"/>
      <c r="J37" s="1574"/>
      <c r="K37" s="1672">
        <f t="shared" si="2"/>
        <v>75526</v>
      </c>
      <c r="L37" s="1573">
        <v>77166</v>
      </c>
    </row>
    <row r="38" spans="1:14" x14ac:dyDescent="0.2">
      <c r="A38" s="1274" t="s">
        <v>196</v>
      </c>
      <c r="B38" s="503">
        <v>2130</v>
      </c>
      <c r="C38" s="1573">
        <v>14590</v>
      </c>
      <c r="D38" s="1573"/>
      <c r="E38" s="1573"/>
      <c r="F38" s="1573">
        <v>1466</v>
      </c>
      <c r="G38" s="1573"/>
      <c r="H38" s="1573"/>
      <c r="I38" s="1574"/>
      <c r="J38" s="1574"/>
      <c r="K38" s="1672">
        <f t="shared" si="2"/>
        <v>16056</v>
      </c>
      <c r="L38" s="1573">
        <v>16066</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53410</v>
      </c>
      <c r="D40" s="1573">
        <v>8545</v>
      </c>
      <c r="E40" s="1573">
        <v>13997</v>
      </c>
      <c r="F40" s="1573"/>
      <c r="G40" s="1573"/>
      <c r="H40" s="1573"/>
      <c r="I40" s="1574"/>
      <c r="J40" s="1574"/>
      <c r="K40" s="1672">
        <f t="shared" si="2"/>
        <v>75952</v>
      </c>
      <c r="L40" s="1573">
        <v>82492</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125511</v>
      </c>
      <c r="D42" s="1674">
        <f t="shared" ref="D42:L42" si="3">SUM(D36:D41)</f>
        <v>23207</v>
      </c>
      <c r="E42" s="1674">
        <f t="shared" si="3"/>
        <v>17164</v>
      </c>
      <c r="F42" s="1674">
        <f t="shared" si="3"/>
        <v>1652</v>
      </c>
      <c r="G42" s="1674">
        <f t="shared" si="3"/>
        <v>0</v>
      </c>
      <c r="H42" s="1674">
        <f t="shared" si="3"/>
        <v>0</v>
      </c>
      <c r="I42" s="1674">
        <f t="shared" si="3"/>
        <v>0</v>
      </c>
      <c r="J42" s="1674">
        <f t="shared" si="3"/>
        <v>0</v>
      </c>
      <c r="K42" s="1674">
        <f t="shared" si="3"/>
        <v>167534</v>
      </c>
      <c r="L42" s="1674">
        <f t="shared" si="3"/>
        <v>175724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8825</v>
      </c>
      <c r="D44" s="1586">
        <v>47</v>
      </c>
      <c r="E44" s="1586">
        <v>20167</v>
      </c>
      <c r="F44" s="1586"/>
      <c r="G44" s="1586"/>
      <c r="H44" s="1586"/>
      <c r="I44" s="1574"/>
      <c r="J44" s="1574"/>
      <c r="K44" s="1678">
        <f>SUM(C44:J44)</f>
        <v>29039</v>
      </c>
      <c r="L44" s="1586">
        <v>30704</v>
      </c>
    </row>
    <row r="45" spans="1:14" x14ac:dyDescent="0.2">
      <c r="A45" s="1274" t="s">
        <v>810</v>
      </c>
      <c r="B45" s="503">
        <v>2220</v>
      </c>
      <c r="C45" s="1573">
        <v>115483</v>
      </c>
      <c r="D45" s="1573">
        <v>26578</v>
      </c>
      <c r="E45" s="1573">
        <v>745</v>
      </c>
      <c r="F45" s="1573">
        <v>17095</v>
      </c>
      <c r="G45" s="1573"/>
      <c r="H45" s="1573">
        <v>1280</v>
      </c>
      <c r="I45" s="1574"/>
      <c r="J45" s="1574"/>
      <c r="K45" s="1678">
        <f>SUM(C45:J45)</f>
        <v>161181</v>
      </c>
      <c r="L45" s="1573">
        <v>161149</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124308</v>
      </c>
      <c r="D47" s="1674">
        <f t="shared" ref="D47:K47" si="4">SUM(D44:D46)</f>
        <v>26625</v>
      </c>
      <c r="E47" s="1674">
        <f t="shared" si="4"/>
        <v>20912</v>
      </c>
      <c r="F47" s="1674">
        <f t="shared" si="4"/>
        <v>17095</v>
      </c>
      <c r="G47" s="1674">
        <f t="shared" si="4"/>
        <v>0</v>
      </c>
      <c r="H47" s="1674">
        <f t="shared" si="4"/>
        <v>1280</v>
      </c>
      <c r="I47" s="1674">
        <f t="shared" si="4"/>
        <v>0</v>
      </c>
      <c r="J47" s="1674">
        <f t="shared" si="4"/>
        <v>0</v>
      </c>
      <c r="K47" s="1674">
        <f t="shared" si="4"/>
        <v>190220</v>
      </c>
      <c r="L47" s="1674">
        <f>SUM(L44:L46)</f>
        <v>191853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3398</v>
      </c>
      <c r="D49" s="1586"/>
      <c r="E49" s="1586">
        <v>28260</v>
      </c>
      <c r="F49" s="1586">
        <v>7981</v>
      </c>
      <c r="G49" s="1586"/>
      <c r="H49" s="1586">
        <v>7150</v>
      </c>
      <c r="I49" s="1574"/>
      <c r="J49" s="1574"/>
      <c r="K49" s="1678">
        <f>SUM(C49:J49)</f>
        <v>46789</v>
      </c>
      <c r="L49" s="1586">
        <v>47074</v>
      </c>
    </row>
    <row r="50" spans="1:14" x14ac:dyDescent="0.2">
      <c r="A50" s="1274" t="s">
        <v>813</v>
      </c>
      <c r="B50" s="503">
        <v>2320</v>
      </c>
      <c r="C50" s="1573">
        <v>146799</v>
      </c>
      <c r="D50" s="1573">
        <v>42228</v>
      </c>
      <c r="E50" s="1573">
        <v>3130</v>
      </c>
      <c r="F50" s="1573">
        <v>8466</v>
      </c>
      <c r="G50" s="1573"/>
      <c r="H50" s="1573">
        <v>869</v>
      </c>
      <c r="I50" s="1574"/>
      <c r="J50" s="1574"/>
      <c r="K50" s="1678">
        <f>SUM(C50:J50)</f>
        <v>201492</v>
      </c>
      <c r="L50" s="1573">
        <v>201767</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150197</v>
      </c>
      <c r="D53" s="1674">
        <f t="shared" ref="D53:L53" si="5">SUM(D49:D52)</f>
        <v>42228</v>
      </c>
      <c r="E53" s="1674">
        <f t="shared" si="5"/>
        <v>31390</v>
      </c>
      <c r="F53" s="1674">
        <f t="shared" si="5"/>
        <v>16447</v>
      </c>
      <c r="G53" s="1674">
        <f t="shared" si="5"/>
        <v>0</v>
      </c>
      <c r="H53" s="1674">
        <f t="shared" si="5"/>
        <v>8019</v>
      </c>
      <c r="I53" s="1674">
        <f t="shared" si="5"/>
        <v>0</v>
      </c>
      <c r="J53" s="1674">
        <f t="shared" si="5"/>
        <v>0</v>
      </c>
      <c r="K53" s="1674">
        <f t="shared" si="5"/>
        <v>248281</v>
      </c>
      <c r="L53" s="1674">
        <f t="shared" si="5"/>
        <v>248841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315357</v>
      </c>
      <c r="D55" s="1586">
        <v>92096</v>
      </c>
      <c r="E55" s="1586">
        <v>35961</v>
      </c>
      <c r="F55" s="1586">
        <v>48471</v>
      </c>
      <c r="G55" s="1586"/>
      <c r="H55" s="1586">
        <v>1776</v>
      </c>
      <c r="I55" s="1574">
        <v>3107</v>
      </c>
      <c r="J55" s="1574"/>
      <c r="K55" s="1678">
        <f>SUM(C55:J55)</f>
        <v>496768</v>
      </c>
      <c r="L55" s="1586">
        <v>497973</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315357</v>
      </c>
      <c r="D57" s="1679">
        <f t="shared" ref="D57:K57" si="6">SUM(D55:D56)</f>
        <v>92096</v>
      </c>
      <c r="E57" s="1679">
        <f t="shared" si="6"/>
        <v>35961</v>
      </c>
      <c r="F57" s="1679">
        <f t="shared" si="6"/>
        <v>48471</v>
      </c>
      <c r="G57" s="1679">
        <f t="shared" si="6"/>
        <v>0</v>
      </c>
      <c r="H57" s="1679">
        <f t="shared" si="6"/>
        <v>1776</v>
      </c>
      <c r="I57" s="1679">
        <f t="shared" si="6"/>
        <v>3107</v>
      </c>
      <c r="J57" s="1679">
        <f t="shared" si="6"/>
        <v>0</v>
      </c>
      <c r="K57" s="1679">
        <f t="shared" si="6"/>
        <v>496768</v>
      </c>
      <c r="L57" s="1674">
        <f>SUM(L55:L56)</f>
        <v>497973</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47283</v>
      </c>
      <c r="D60" s="1573">
        <v>7215</v>
      </c>
      <c r="E60" s="1573">
        <v>4749</v>
      </c>
      <c r="F60" s="1573"/>
      <c r="G60" s="1573"/>
      <c r="H60" s="1573"/>
      <c r="I60" s="1574"/>
      <c r="J60" s="1574"/>
      <c r="K60" s="1678">
        <f t="shared" si="7"/>
        <v>59247</v>
      </c>
      <c r="L60" s="1573">
        <v>59274</v>
      </c>
      <c r="M60" s="501"/>
      <c r="N60" s="501"/>
    </row>
    <row r="61" spans="1:14" s="321" customFormat="1" x14ac:dyDescent="0.2">
      <c r="A61" s="1274" t="s">
        <v>195</v>
      </c>
      <c r="B61" s="503">
        <v>2540</v>
      </c>
      <c r="C61" s="1573"/>
      <c r="D61" s="1573"/>
      <c r="E61" s="1573"/>
      <c r="F61" s="1573">
        <v>125183</v>
      </c>
      <c r="G61" s="1573"/>
      <c r="H61" s="1573"/>
      <c r="I61" s="1574"/>
      <c r="J61" s="1574"/>
      <c r="K61" s="1678">
        <f t="shared" si="7"/>
        <v>125183</v>
      </c>
      <c r="L61" s="1573">
        <v>125185</v>
      </c>
      <c r="M61" s="501"/>
      <c r="N61" s="501"/>
    </row>
    <row r="62" spans="1:14" s="321" customFormat="1" x14ac:dyDescent="0.2">
      <c r="A62" s="1274" t="s">
        <v>947</v>
      </c>
      <c r="B62" s="503">
        <v>2550</v>
      </c>
      <c r="C62" s="1573"/>
      <c r="D62" s="1573"/>
      <c r="E62" s="1573">
        <v>6438</v>
      </c>
      <c r="F62" s="1573">
        <v>571</v>
      </c>
      <c r="G62" s="1573"/>
      <c r="H62" s="1573"/>
      <c r="I62" s="1574"/>
      <c r="J62" s="1574"/>
      <c r="K62" s="1678">
        <f t="shared" si="7"/>
        <v>7009</v>
      </c>
      <c r="L62" s="1573">
        <v>7034</v>
      </c>
      <c r="M62" s="501"/>
      <c r="N62" s="501"/>
    </row>
    <row r="63" spans="1:14" s="501" customFormat="1" x14ac:dyDescent="0.2">
      <c r="A63" s="1274" t="s">
        <v>100</v>
      </c>
      <c r="B63" s="503">
        <v>2560</v>
      </c>
      <c r="C63" s="1573">
        <v>62986</v>
      </c>
      <c r="D63" s="1573">
        <v>24020</v>
      </c>
      <c r="E63" s="1573">
        <v>5492</v>
      </c>
      <c r="F63" s="1573">
        <v>63632</v>
      </c>
      <c r="G63" s="1573"/>
      <c r="H63" s="1573"/>
      <c r="I63" s="1574"/>
      <c r="J63" s="1574"/>
      <c r="K63" s="1678">
        <f t="shared" si="7"/>
        <v>156130</v>
      </c>
      <c r="L63" s="1573">
        <v>156951</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110269</v>
      </c>
      <c r="D65" s="1674">
        <f t="shared" ref="D65:L65" si="8">SUM(D59:D64)</f>
        <v>31235</v>
      </c>
      <c r="E65" s="1674">
        <f t="shared" si="8"/>
        <v>16679</v>
      </c>
      <c r="F65" s="1674">
        <f t="shared" si="8"/>
        <v>189386</v>
      </c>
      <c r="G65" s="1674">
        <f t="shared" si="8"/>
        <v>0</v>
      </c>
      <c r="H65" s="1674">
        <f t="shared" si="8"/>
        <v>0</v>
      </c>
      <c r="I65" s="1674">
        <f t="shared" si="8"/>
        <v>0</v>
      </c>
      <c r="J65" s="1674">
        <f t="shared" si="8"/>
        <v>0</v>
      </c>
      <c r="K65" s="1674">
        <f t="shared" si="8"/>
        <v>347569</v>
      </c>
      <c r="L65" s="1674">
        <f t="shared" si="8"/>
        <v>348444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825642</v>
      </c>
      <c r="D74" s="1681">
        <f t="shared" ref="D74:K74" si="10">SUM(D42,D47,D53,D57,D65,D72,D73)</f>
        <v>215391</v>
      </c>
      <c r="E74" s="1681">
        <f t="shared" si="10"/>
        <v>122106</v>
      </c>
      <c r="F74" s="1681">
        <f t="shared" si="10"/>
        <v>273051</v>
      </c>
      <c r="G74" s="1681">
        <f t="shared" si="10"/>
        <v>0</v>
      </c>
      <c r="H74" s="1681">
        <f t="shared" si="10"/>
        <v>11075</v>
      </c>
      <c r="I74" s="1681">
        <f t="shared" si="10"/>
        <v>3107</v>
      </c>
      <c r="J74" s="1681">
        <f t="shared" si="10"/>
        <v>0</v>
      </c>
      <c r="K74" s="1681">
        <f t="shared" si="10"/>
        <v>1450372</v>
      </c>
      <c r="L74" s="1681">
        <f>SUM(L42,L47,L53,L57,L65,L72,L73)</f>
        <v>1462835</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129087</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213228</v>
      </c>
      <c r="F79" s="1673"/>
      <c r="G79" s="1673"/>
      <c r="H79" s="1573">
        <v>23033</v>
      </c>
      <c r="I79" s="1582"/>
      <c r="J79" s="1582"/>
      <c r="K79" s="1672">
        <f t="shared" si="11"/>
        <v>236261</v>
      </c>
      <c r="L79" s="1573">
        <v>107174</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637</v>
      </c>
      <c r="I81" s="1582"/>
      <c r="J81" s="1582"/>
      <c r="K81" s="1672">
        <f t="shared" si="11"/>
        <v>637</v>
      </c>
      <c r="L81" s="1573">
        <v>637</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213228</v>
      </c>
      <c r="F84" s="1673"/>
      <c r="G84" s="1673"/>
      <c r="H84" s="1674">
        <f>SUM(H78:H83)</f>
        <v>23670</v>
      </c>
      <c r="I84" s="1582"/>
      <c r="J84" s="1582"/>
      <c r="K84" s="1674">
        <f>SUM(K78:K83)</f>
        <v>236898</v>
      </c>
      <c r="L84" s="1674">
        <f>SUM(L78:L83)</f>
        <v>107811</v>
      </c>
    </row>
    <row r="85" spans="1:12" ht="12.75" customHeight="1" thickTop="1" thickBot="1" x14ac:dyDescent="0.25">
      <c r="A85" s="1281" t="s">
        <v>253</v>
      </c>
      <c r="B85" s="517">
        <v>4210</v>
      </c>
      <c r="C85" s="1673"/>
      <c r="D85" s="1673"/>
      <c r="E85" s="1683"/>
      <c r="F85" s="1673"/>
      <c r="G85" s="1673"/>
      <c r="H85" s="1630">
        <v>8699</v>
      </c>
      <c r="I85" s="1582"/>
      <c r="J85" s="1582"/>
      <c r="K85" s="1681">
        <f>H85</f>
        <v>8699</v>
      </c>
      <c r="L85" s="1626">
        <v>9000</v>
      </c>
    </row>
    <row r="86" spans="1:12" ht="12.75" customHeight="1" thickTop="1" thickBot="1" x14ac:dyDescent="0.25">
      <c r="A86" s="1282" t="s">
        <v>694</v>
      </c>
      <c r="B86" s="518">
        <v>4220</v>
      </c>
      <c r="C86" s="1673"/>
      <c r="D86" s="1673"/>
      <c r="E86" s="1684"/>
      <c r="F86" s="1673"/>
      <c r="G86" s="1673"/>
      <c r="H86" s="1574">
        <v>24510</v>
      </c>
      <c r="I86" s="1582"/>
      <c r="J86" s="1582"/>
      <c r="K86" s="1681">
        <f t="shared" ref="K86:K98" si="12">H86</f>
        <v>24510</v>
      </c>
      <c r="L86" s="1626">
        <v>25000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33209</v>
      </c>
      <c r="I92" s="1582"/>
      <c r="J92" s="1582"/>
      <c r="K92" s="1681">
        <f t="shared" si="12"/>
        <v>33209</v>
      </c>
      <c r="L92" s="1674">
        <f>SUM(L85:L91)</f>
        <v>34000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213228</v>
      </c>
      <c r="F102" s="1673"/>
      <c r="G102" s="1673"/>
      <c r="H102" s="1681">
        <f>SUM(H84,H92,H100,H101)</f>
        <v>56879</v>
      </c>
      <c r="I102" s="1582"/>
      <c r="J102" s="1582"/>
      <c r="K102" s="1681">
        <f>SUM(K84,K92,K100,K101)</f>
        <v>270107</v>
      </c>
      <c r="L102" s="1681">
        <f>SUM(L84,L92,L100,L101)</f>
        <v>141811</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3374498</v>
      </c>
      <c r="D114" s="1674">
        <f t="shared" ref="D114:K114" si="13">SUM(D33,D74,D75,D102,D112,D113)</f>
        <v>854079</v>
      </c>
      <c r="E114" s="1674">
        <f t="shared" si="13"/>
        <v>392534</v>
      </c>
      <c r="F114" s="1674">
        <f t="shared" si="13"/>
        <v>493533</v>
      </c>
      <c r="G114" s="1674">
        <f t="shared" si="13"/>
        <v>71931</v>
      </c>
      <c r="H114" s="1674">
        <f>SUM(H33,H74,H75,H102,H112,H113)</f>
        <v>74331</v>
      </c>
      <c r="I114" s="1674">
        <f t="shared" si="13"/>
        <v>7428</v>
      </c>
      <c r="J114" s="1674">
        <f t="shared" si="13"/>
        <v>0</v>
      </c>
      <c r="K114" s="1674">
        <f t="shared" si="13"/>
        <v>5268334</v>
      </c>
      <c r="L114" s="1674">
        <f>SUM(L33,L74,L75,L102,L112,L113)</f>
        <v>5318685</v>
      </c>
    </row>
    <row r="115" spans="1:14" ht="13.5" thickTop="1" x14ac:dyDescent="0.2">
      <c r="A115" s="2289" t="s">
        <v>989</v>
      </c>
      <c r="B115" s="2290"/>
      <c r="C115" s="1675"/>
      <c r="D115" s="1675"/>
      <c r="E115" s="1675"/>
      <c r="F115" s="1675"/>
      <c r="G115" s="1675"/>
      <c r="H115" s="1675"/>
      <c r="I115" s="1675"/>
      <c r="J115" s="1675"/>
      <c r="K115" s="1689">
        <f>'Revenues 9-14'!C268-'Expenditures 15-22'!K114</f>
        <v>-302294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v>1</v>
      </c>
    </row>
    <row r="124" spans="1:14" ht="14.25" thickTop="1" thickBot="1" x14ac:dyDescent="0.25">
      <c r="A124" s="1274" t="s">
        <v>195</v>
      </c>
      <c r="B124" s="503">
        <v>2540</v>
      </c>
      <c r="C124" s="1573">
        <v>181006</v>
      </c>
      <c r="D124" s="1573">
        <v>35249</v>
      </c>
      <c r="E124" s="1573">
        <v>151760</v>
      </c>
      <c r="F124" s="1573">
        <v>70118</v>
      </c>
      <c r="G124" s="1573">
        <v>715479</v>
      </c>
      <c r="H124" s="1573"/>
      <c r="I124" s="1574"/>
      <c r="J124" s="1574"/>
      <c r="K124" s="1674">
        <f>SUM(C124:J124)</f>
        <v>1153612</v>
      </c>
      <c r="L124" s="1573">
        <v>1154771</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181006</v>
      </c>
      <c r="D127" s="1674">
        <f t="shared" ref="D127:L127" si="14">SUM(D122:D126)</f>
        <v>35249</v>
      </c>
      <c r="E127" s="1674">
        <f t="shared" si="14"/>
        <v>151760</v>
      </c>
      <c r="F127" s="1674">
        <f t="shared" si="14"/>
        <v>70118</v>
      </c>
      <c r="G127" s="1674">
        <f t="shared" si="14"/>
        <v>715479</v>
      </c>
      <c r="H127" s="1674">
        <f t="shared" si="14"/>
        <v>0</v>
      </c>
      <c r="I127" s="1674">
        <f t="shared" si="14"/>
        <v>0</v>
      </c>
      <c r="J127" s="1674">
        <f t="shared" si="14"/>
        <v>0</v>
      </c>
      <c r="K127" s="1674">
        <f t="shared" si="14"/>
        <v>1153612</v>
      </c>
      <c r="L127" s="1674">
        <f t="shared" si="14"/>
        <v>1154772</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181006</v>
      </c>
      <c r="D129" s="1681">
        <f t="shared" ref="D129:L129" si="15">SUM(D120,D127,D128)</f>
        <v>35249</v>
      </c>
      <c r="E129" s="1681">
        <f t="shared" si="15"/>
        <v>151760</v>
      </c>
      <c r="F129" s="1681">
        <f t="shared" si="15"/>
        <v>70118</v>
      </c>
      <c r="G129" s="1681">
        <f t="shared" si="15"/>
        <v>715479</v>
      </c>
      <c r="H129" s="1681">
        <f t="shared" si="15"/>
        <v>0</v>
      </c>
      <c r="I129" s="1681">
        <f t="shared" si="15"/>
        <v>0</v>
      </c>
      <c r="J129" s="1681">
        <f t="shared" si="15"/>
        <v>0</v>
      </c>
      <c r="K129" s="1681">
        <f t="shared" si="15"/>
        <v>1153612</v>
      </c>
      <c r="L129" s="1681">
        <f t="shared" si="15"/>
        <v>1154772</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61"/>
      <c r="C151" s="1674">
        <f>SUM(C129,C130,C139,C149,C150)</f>
        <v>181006</v>
      </c>
      <c r="D151" s="1674">
        <f t="shared" ref="D151:K151" si="16">SUM(D129,D130,D139,D149,D150)</f>
        <v>35249</v>
      </c>
      <c r="E151" s="1674">
        <f t="shared" si="16"/>
        <v>151760</v>
      </c>
      <c r="F151" s="1674">
        <f t="shared" si="16"/>
        <v>70118</v>
      </c>
      <c r="G151" s="1674">
        <f t="shared" si="16"/>
        <v>715479</v>
      </c>
      <c r="H151" s="1674">
        <f t="shared" si="16"/>
        <v>0</v>
      </c>
      <c r="I151" s="1674">
        <f t="shared" si="16"/>
        <v>0</v>
      </c>
      <c r="J151" s="1674">
        <f t="shared" si="16"/>
        <v>0</v>
      </c>
      <c r="K151" s="1674">
        <f t="shared" si="16"/>
        <v>1153612</v>
      </c>
      <c r="L151" s="1674">
        <f>SUM(L129,L130,L139,L149,L150)</f>
        <v>1154772</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-678805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431316</v>
      </c>
      <c r="I169" s="1673"/>
      <c r="J169" s="1673"/>
      <c r="K169" s="1672">
        <f>SUM(C169:H169)</f>
        <v>431316</v>
      </c>
      <c r="L169" s="1695">
        <v>431316</v>
      </c>
    </row>
    <row r="170" spans="1:14" ht="33.75" customHeight="1" x14ac:dyDescent="0.2">
      <c r="A170" s="543" t="s">
        <v>1651</v>
      </c>
      <c r="B170" s="545" t="s">
        <v>31</v>
      </c>
      <c r="C170" s="1673"/>
      <c r="D170" s="1673"/>
      <c r="E170" s="1673"/>
      <c r="F170" s="1673"/>
      <c r="G170" s="1673"/>
      <c r="H170" s="1646">
        <v>579000</v>
      </c>
      <c r="I170" s="1673"/>
      <c r="J170" s="1673"/>
      <c r="K170" s="1672">
        <f>SUM(C170:J170)</f>
        <v>579000</v>
      </c>
      <c r="L170" s="1646">
        <v>579000</v>
      </c>
    </row>
    <row r="171" spans="1:14" ht="15.75" customHeight="1" x14ac:dyDescent="0.2">
      <c r="A171" s="507" t="s">
        <v>761</v>
      </c>
      <c r="B171" s="546" t="s">
        <v>84</v>
      </c>
      <c r="C171" s="1673"/>
      <c r="D171" s="1673"/>
      <c r="E171" s="1573"/>
      <c r="F171" s="1673"/>
      <c r="G171" s="1673"/>
      <c r="H171" s="1646">
        <v>1542</v>
      </c>
      <c r="I171" s="1582"/>
      <c r="J171" s="1673"/>
      <c r="K171" s="1672">
        <f>SUM(C171:J171)</f>
        <v>1542</v>
      </c>
      <c r="L171" s="1646">
        <v>1542</v>
      </c>
    </row>
    <row r="172" spans="1:14" ht="12.75" customHeight="1" thickBot="1" x14ac:dyDescent="0.25">
      <c r="A172" s="1380" t="s">
        <v>633</v>
      </c>
      <c r="B172" s="1381" t="s">
        <v>489</v>
      </c>
      <c r="C172" s="1673"/>
      <c r="D172" s="1673"/>
      <c r="E172" s="1681">
        <f>SUM(E168,E169,E170,E171)</f>
        <v>0</v>
      </c>
      <c r="F172" s="1673"/>
      <c r="G172" s="1673"/>
      <c r="H172" s="1681">
        <f>SUM(H168,H169,H170,H171)</f>
        <v>1011858</v>
      </c>
      <c r="I172" s="1684"/>
      <c r="J172" s="1673"/>
      <c r="K172" s="1681">
        <f>SUM(K168,K169,K170,K171)</f>
        <v>1011858</v>
      </c>
      <c r="L172" s="1681">
        <f>SUM(L168,L169,L170,L171)</f>
        <v>1011858</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1011858</v>
      </c>
      <c r="I174" s="1684"/>
      <c r="J174" s="1673"/>
      <c r="K174" s="1681">
        <f>SUM(K160,K172,K173)</f>
        <v>1011858</v>
      </c>
      <c r="L174" s="1681">
        <f>SUM(L160,L172,L173)</f>
        <v>1011858</v>
      </c>
    </row>
    <row r="175" spans="1:14" ht="13.5" thickTop="1" x14ac:dyDescent="0.2">
      <c r="A175" s="2289" t="s">
        <v>989</v>
      </c>
      <c r="B175" s="2290"/>
      <c r="C175" s="1673"/>
      <c r="D175" s="1673"/>
      <c r="E175" s="1673"/>
      <c r="F175" s="1673"/>
      <c r="G175" s="1673"/>
      <c r="H175" s="1675"/>
      <c r="I175" s="1673"/>
      <c r="J175" s="1673"/>
      <c r="K175" s="1689">
        <f>'Revenues 9-14'!E268-'Expenditures 15-22'!K174</f>
        <v>-46673</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166569</v>
      </c>
      <c r="D182" s="1573">
        <v>2028</v>
      </c>
      <c r="E182" s="1573">
        <v>24534</v>
      </c>
      <c r="F182" s="1573">
        <v>36292</v>
      </c>
      <c r="G182" s="1573"/>
      <c r="H182" s="1573"/>
      <c r="I182" s="1574"/>
      <c r="J182" s="1574"/>
      <c r="K182" s="1672">
        <f>SUM(C182:J182)</f>
        <v>229423</v>
      </c>
      <c r="L182" s="1573">
        <v>231068</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166569</v>
      </c>
      <c r="D184" s="1681">
        <f t="shared" ref="D184:J184" si="17">SUM(D180,D182,D183)</f>
        <v>2028</v>
      </c>
      <c r="E184" s="1681">
        <f t="shared" si="17"/>
        <v>24534</v>
      </c>
      <c r="F184" s="1681">
        <f t="shared" si="17"/>
        <v>36292</v>
      </c>
      <c r="G184" s="1681">
        <f t="shared" si="17"/>
        <v>0</v>
      </c>
      <c r="H184" s="1681">
        <f t="shared" si="17"/>
        <v>0</v>
      </c>
      <c r="I184" s="1681">
        <f t="shared" si="17"/>
        <v>0</v>
      </c>
      <c r="J184" s="1681">
        <f t="shared" si="17"/>
        <v>0</v>
      </c>
      <c r="K184" s="1681">
        <f>SUM(K180,K182,K183)</f>
        <v>229423</v>
      </c>
      <c r="L184" s="1681">
        <f>SUM(L180, L182:L183)</f>
        <v>231068</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3367</v>
      </c>
      <c r="I205" s="1673"/>
      <c r="J205" s="1673"/>
      <c r="K205" s="1696">
        <f>SUM(H205)</f>
        <v>3367</v>
      </c>
      <c r="L205" s="1630">
        <v>3368</v>
      </c>
    </row>
    <row r="206" spans="1:14" ht="30" customHeight="1" x14ac:dyDescent="0.2">
      <c r="A206" s="555" t="s">
        <v>1652</v>
      </c>
      <c r="B206" s="546" t="s">
        <v>31</v>
      </c>
      <c r="C206" s="1673"/>
      <c r="D206" s="1673"/>
      <c r="E206" s="1673"/>
      <c r="F206" s="1673"/>
      <c r="G206" s="1673"/>
      <c r="H206" s="1573">
        <v>59893</v>
      </c>
      <c r="I206" s="1673"/>
      <c r="J206" s="1673"/>
      <c r="K206" s="1672">
        <f>SUM(H206)</f>
        <v>59893</v>
      </c>
      <c r="L206" s="1573">
        <v>59893</v>
      </c>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63260</v>
      </c>
      <c r="I208" s="1673"/>
      <c r="J208" s="1673"/>
      <c r="K208" s="1681">
        <f>SUM(K204,K205,K206,K207)</f>
        <v>63260</v>
      </c>
      <c r="L208" s="1681">
        <f>SUM(L204,L205,L206,L207)</f>
        <v>63261</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166569</v>
      </c>
      <c r="D210" s="1674">
        <f>SUM(D184,D185)</f>
        <v>2028</v>
      </c>
      <c r="E210" s="1674">
        <f>SUM(E184,E185,E196)</f>
        <v>24534</v>
      </c>
      <c r="F210" s="1674">
        <f>SUM(F184,F185)</f>
        <v>36292</v>
      </c>
      <c r="G210" s="1674">
        <f>SUM(G184,G185)</f>
        <v>0</v>
      </c>
      <c r="H210" s="1674">
        <f>SUM(H184,H185,H196,H208,H209)</f>
        <v>63260</v>
      </c>
      <c r="I210" s="1674">
        <f>SUM(I184,I185)</f>
        <v>0</v>
      </c>
      <c r="J210" s="1674">
        <f>SUM(J184,J185)</f>
        <v>0</v>
      </c>
      <c r="K210" s="1672">
        <f>SUM(K184,K185,K196,K208,K209)</f>
        <v>292683</v>
      </c>
      <c r="L210" s="1674">
        <f>SUM(L184,L185,L196,L208,L209)</f>
        <v>294329</v>
      </c>
    </row>
    <row r="211" spans="1:14" ht="13.5" thickTop="1" x14ac:dyDescent="0.2">
      <c r="A211" s="2289" t="s">
        <v>989</v>
      </c>
      <c r="B211" s="2290"/>
      <c r="C211" s="1675"/>
      <c r="D211" s="1675"/>
      <c r="E211" s="1675"/>
      <c r="F211" s="1675"/>
      <c r="G211" s="1675"/>
      <c r="H211" s="1675"/>
      <c r="I211" s="1673"/>
      <c r="J211" s="1673"/>
      <c r="K211" s="1689">
        <f>'Revenues 9-14'!F268-'Expenditures 15-22'!K210</f>
        <v>79587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36685</v>
      </c>
      <c r="E215" s="1673"/>
      <c r="F215" s="1673"/>
      <c r="G215" s="1673"/>
      <c r="H215" s="1673"/>
      <c r="I215" s="1673"/>
      <c r="J215" s="1673"/>
      <c r="K215" s="1672">
        <f>D215</f>
        <v>36685</v>
      </c>
      <c r="L215" s="1573">
        <v>37973</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42282</v>
      </c>
      <c r="E217" s="1673"/>
      <c r="F217" s="1673"/>
      <c r="G217" s="1673"/>
      <c r="H217" s="1673"/>
      <c r="I217" s="1673"/>
      <c r="J217" s="1673"/>
      <c r="K217" s="1672">
        <f t="shared" si="19"/>
        <v>42282</v>
      </c>
      <c r="L217" s="1573">
        <v>43994</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v>1</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1841</v>
      </c>
      <c r="E222" s="1673"/>
      <c r="F222" s="1673"/>
      <c r="G222" s="1673"/>
      <c r="H222" s="1673"/>
      <c r="I222" s="1673"/>
      <c r="J222" s="1673"/>
      <c r="K222" s="1672">
        <f t="shared" si="19"/>
        <v>1841</v>
      </c>
      <c r="L222" s="1573">
        <v>1900</v>
      </c>
    </row>
    <row r="223" spans="1:14" x14ac:dyDescent="0.2">
      <c r="A223" s="1274" t="s">
        <v>957</v>
      </c>
      <c r="B223" s="503">
        <v>1500</v>
      </c>
      <c r="C223" s="1673"/>
      <c r="D223" s="1573">
        <v>2483</v>
      </c>
      <c r="E223" s="1673"/>
      <c r="F223" s="1673"/>
      <c r="G223" s="1673"/>
      <c r="H223" s="1673"/>
      <c r="I223" s="1673"/>
      <c r="J223" s="1673"/>
      <c r="K223" s="1672">
        <f t="shared" si="19"/>
        <v>2483</v>
      </c>
      <c r="L223" s="1573">
        <v>2500</v>
      </c>
    </row>
    <row r="224" spans="1:14" x14ac:dyDescent="0.2">
      <c r="A224" s="1274" t="s">
        <v>958</v>
      </c>
      <c r="B224" s="503">
        <v>1600</v>
      </c>
      <c r="C224" s="1673"/>
      <c r="D224" s="1573"/>
      <c r="E224" s="1673"/>
      <c r="F224" s="1673"/>
      <c r="G224" s="1673"/>
      <c r="H224" s="1673"/>
      <c r="I224" s="1673"/>
      <c r="J224" s="1673"/>
      <c r="K224" s="1672">
        <f t="shared" si="19"/>
        <v>0</v>
      </c>
      <c r="L224" s="1573">
        <v>1</v>
      </c>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94</v>
      </c>
      <c r="E226" s="1673"/>
      <c r="F226" s="1673"/>
      <c r="G226" s="1673"/>
      <c r="H226" s="1673"/>
      <c r="I226" s="1673"/>
      <c r="J226" s="1673"/>
      <c r="K226" s="1672">
        <f t="shared" si="19"/>
        <v>94</v>
      </c>
      <c r="L226" s="1573">
        <v>80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83385</v>
      </c>
      <c r="E229" s="1673"/>
      <c r="F229" s="1673"/>
      <c r="G229" s="1673"/>
      <c r="H229" s="1673"/>
      <c r="I229" s="1673"/>
      <c r="J229" s="1673"/>
      <c r="K229" s="1674">
        <f>SUM(K215:K228)</f>
        <v>83385</v>
      </c>
      <c r="L229" s="1674">
        <f>SUM(L215:L228)</f>
        <v>86449</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793</v>
      </c>
      <c r="E233" s="1673"/>
      <c r="F233" s="1673"/>
      <c r="G233" s="1673"/>
      <c r="H233" s="1673"/>
      <c r="I233" s="1673"/>
      <c r="J233" s="1673"/>
      <c r="K233" s="1672">
        <f t="shared" si="20"/>
        <v>793</v>
      </c>
      <c r="L233" s="1573">
        <v>860</v>
      </c>
    </row>
    <row r="234" spans="1:12" x14ac:dyDescent="0.2">
      <c r="A234" s="1274" t="s">
        <v>196</v>
      </c>
      <c r="B234" s="503">
        <v>2130</v>
      </c>
      <c r="C234" s="1673"/>
      <c r="D234" s="1573">
        <v>2634</v>
      </c>
      <c r="E234" s="1673"/>
      <c r="F234" s="1673"/>
      <c r="G234" s="1673"/>
      <c r="H234" s="1673"/>
      <c r="I234" s="1673"/>
      <c r="J234" s="1673"/>
      <c r="K234" s="1672">
        <f t="shared" si="20"/>
        <v>2634</v>
      </c>
      <c r="L234" s="1573">
        <v>2637</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1008</v>
      </c>
      <c r="E236" s="1673"/>
      <c r="F236" s="1673"/>
      <c r="G236" s="1673"/>
      <c r="H236" s="1673"/>
      <c r="I236" s="1673"/>
      <c r="J236" s="1673"/>
      <c r="K236" s="1672">
        <f t="shared" si="20"/>
        <v>1008</v>
      </c>
      <c r="L236" s="1573">
        <v>980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4435</v>
      </c>
      <c r="E238" s="1673"/>
      <c r="F238" s="1673"/>
      <c r="G238" s="1673"/>
      <c r="H238" s="1673"/>
      <c r="I238" s="1673"/>
      <c r="J238" s="1673"/>
      <c r="K238" s="1674">
        <f>SUM(K232:K237)</f>
        <v>4435</v>
      </c>
      <c r="L238" s="1674">
        <f>SUM(L232:L237)</f>
        <v>4477</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149</v>
      </c>
      <c r="E240" s="1673"/>
      <c r="F240" s="1673"/>
      <c r="G240" s="1673"/>
      <c r="H240" s="1673"/>
      <c r="I240" s="1673"/>
      <c r="J240" s="1673"/>
      <c r="K240" s="1678">
        <f>D240</f>
        <v>149</v>
      </c>
      <c r="L240" s="1586">
        <v>150</v>
      </c>
    </row>
    <row r="241" spans="1:12" x14ac:dyDescent="0.2">
      <c r="A241" s="1274" t="s">
        <v>810</v>
      </c>
      <c r="B241" s="503">
        <v>2220</v>
      </c>
      <c r="C241" s="1673"/>
      <c r="D241" s="1573">
        <v>10607</v>
      </c>
      <c r="E241" s="1673"/>
      <c r="F241" s="1673"/>
      <c r="G241" s="1673"/>
      <c r="H241" s="1673"/>
      <c r="I241" s="1673"/>
      <c r="J241" s="1673"/>
      <c r="K241" s="1678">
        <f>D241</f>
        <v>10607</v>
      </c>
      <c r="L241" s="1573">
        <v>10721</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10756</v>
      </c>
      <c r="E243" s="1673"/>
      <c r="F243" s="1673"/>
      <c r="G243" s="1673"/>
      <c r="H243" s="1673"/>
      <c r="I243" s="1673"/>
      <c r="J243" s="1673"/>
      <c r="K243" s="1674">
        <f>SUM(K240:K242)</f>
        <v>10756</v>
      </c>
      <c r="L243" s="1674">
        <f>SUM(L240:L242)</f>
        <v>10871</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265</v>
      </c>
      <c r="E245" s="1673"/>
      <c r="F245" s="1673"/>
      <c r="G245" s="1673"/>
      <c r="H245" s="1673"/>
      <c r="I245" s="1673"/>
      <c r="J245" s="1673"/>
      <c r="K245" s="1678">
        <f>D245</f>
        <v>265</v>
      </c>
      <c r="L245" s="1586">
        <v>265</v>
      </c>
    </row>
    <row r="246" spans="1:12" x14ac:dyDescent="0.2">
      <c r="A246" s="1274" t="s">
        <v>813</v>
      </c>
      <c r="B246" s="503">
        <v>2320</v>
      </c>
      <c r="C246" s="1673"/>
      <c r="D246" s="1573">
        <v>4464</v>
      </c>
      <c r="E246" s="1673"/>
      <c r="F246" s="1673"/>
      <c r="G246" s="1673"/>
      <c r="H246" s="1673"/>
      <c r="I246" s="1673"/>
      <c r="J246" s="1673"/>
      <c r="K246" s="1678">
        <f t="shared" ref="K246:K256" si="21">D246</f>
        <v>4464</v>
      </c>
      <c r="L246" s="1573">
        <v>4575</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4729</v>
      </c>
      <c r="E257" s="1673"/>
      <c r="F257" s="1673"/>
      <c r="G257" s="1673"/>
      <c r="H257" s="1673"/>
      <c r="I257" s="1673"/>
      <c r="J257" s="1673"/>
      <c r="K257" s="1674">
        <f>SUM(K245:K256)</f>
        <v>4729</v>
      </c>
      <c r="L257" s="1674">
        <f>SUM(L245:L256)</f>
        <v>4840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15488</v>
      </c>
      <c r="E259" s="1673"/>
      <c r="F259" s="1673"/>
      <c r="G259" s="1673"/>
      <c r="H259" s="1673"/>
      <c r="I259" s="1673"/>
      <c r="J259" s="1673"/>
      <c r="K259" s="1678">
        <f>D259</f>
        <v>15488</v>
      </c>
      <c r="L259" s="1586">
        <v>16035</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15488</v>
      </c>
      <c r="E261" s="1673"/>
      <c r="F261" s="1673"/>
      <c r="G261" s="1673"/>
      <c r="H261" s="1673"/>
      <c r="I261" s="1673"/>
      <c r="J261" s="1673"/>
      <c r="K261" s="1674">
        <f>SUM(K259:K260)</f>
        <v>15488</v>
      </c>
      <c r="L261" s="1674">
        <f>SUM(L259:L260)</f>
        <v>16035</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8484</v>
      </c>
      <c r="E264" s="1673"/>
      <c r="F264" s="1673"/>
      <c r="G264" s="1673"/>
      <c r="H264" s="1673"/>
      <c r="I264" s="1673"/>
      <c r="J264" s="1673"/>
      <c r="K264" s="1678">
        <f t="shared" ref="K264:K269" si="22">D264</f>
        <v>8484</v>
      </c>
      <c r="L264" s="1573">
        <v>8610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29113</v>
      </c>
      <c r="E266" s="1673"/>
      <c r="F266" s="1673"/>
      <c r="G266" s="1673"/>
      <c r="H266" s="1673"/>
      <c r="I266" s="1673"/>
      <c r="J266" s="1673"/>
      <c r="K266" s="1678">
        <f t="shared" si="22"/>
        <v>29113</v>
      </c>
      <c r="L266" s="1573">
        <v>30030</v>
      </c>
    </row>
    <row r="267" spans="1:14" x14ac:dyDescent="0.2">
      <c r="A267" s="1274" t="s">
        <v>947</v>
      </c>
      <c r="B267" s="503">
        <v>2550</v>
      </c>
      <c r="C267" s="1673"/>
      <c r="D267" s="1573">
        <v>14578</v>
      </c>
      <c r="E267" s="1673"/>
      <c r="F267" s="1673"/>
      <c r="G267" s="1673"/>
      <c r="H267" s="1673"/>
      <c r="I267" s="1673"/>
      <c r="J267" s="1673"/>
      <c r="K267" s="1678">
        <f t="shared" si="22"/>
        <v>14578</v>
      </c>
      <c r="L267" s="1573">
        <v>14737</v>
      </c>
    </row>
    <row r="268" spans="1:14" x14ac:dyDescent="0.2">
      <c r="A268" s="1274" t="s">
        <v>100</v>
      </c>
      <c r="B268" s="503">
        <v>2560</v>
      </c>
      <c r="C268" s="1673"/>
      <c r="D268" s="1573">
        <v>11342</v>
      </c>
      <c r="E268" s="1673"/>
      <c r="F268" s="1673"/>
      <c r="G268" s="1673"/>
      <c r="H268" s="1673"/>
      <c r="I268" s="1673"/>
      <c r="J268" s="1673"/>
      <c r="K268" s="1678">
        <f t="shared" si="22"/>
        <v>11342</v>
      </c>
      <c r="L268" s="1573">
        <v>11600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63517</v>
      </c>
      <c r="E270" s="1673"/>
      <c r="F270" s="1673"/>
      <c r="G270" s="1673"/>
      <c r="H270" s="1673"/>
      <c r="I270" s="1673"/>
      <c r="J270" s="1673"/>
      <c r="K270" s="1674">
        <f>SUM(K263:K269)</f>
        <v>63517</v>
      </c>
      <c r="L270" s="1674">
        <f>SUM(L263:L269)</f>
        <v>64977</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98925</v>
      </c>
      <c r="E279" s="1673"/>
      <c r="F279" s="1673"/>
      <c r="G279" s="1673"/>
      <c r="H279" s="1673"/>
      <c r="I279" s="1673"/>
      <c r="J279" s="1673"/>
      <c r="K279" s="1681">
        <f>SUM(K238,K243,K257,K261,K270,K277,K278)</f>
        <v>98925</v>
      </c>
      <c r="L279" s="1681">
        <f>SUM(L238,L243,L257,L261,L270,L277,L278)</f>
        <v>101200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182310</v>
      </c>
      <c r="E295" s="1673"/>
      <c r="F295" s="1673"/>
      <c r="G295" s="1673"/>
      <c r="H295" s="1674">
        <f>H293</f>
        <v>0</v>
      </c>
      <c r="I295" s="1673"/>
      <c r="J295" s="1673"/>
      <c r="K295" s="1674">
        <f>SUM(K229,K279,K280,K285,K293,K294)</f>
        <v>182310</v>
      </c>
      <c r="L295" s="1674">
        <f>SUM(L229,L279,L280,L285,L293,L294)</f>
        <v>187649</v>
      </c>
    </row>
    <row r="296" spans="1:14" ht="13.5" thickTop="1" x14ac:dyDescent="0.2">
      <c r="A296" s="2289" t="s">
        <v>989</v>
      </c>
      <c r="B296" s="2290"/>
      <c r="C296" s="1673"/>
      <c r="D296" s="1675"/>
      <c r="E296" s="1673"/>
      <c r="F296" s="1673"/>
      <c r="G296" s="1673"/>
      <c r="H296" s="1707"/>
      <c r="I296" s="1673"/>
      <c r="J296" s="1673"/>
      <c r="K296" s="1689">
        <f>'Revenues 9-14'!G268-'Expenditures 15-22'!K295</f>
        <v>-23127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v>3</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3</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3</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1</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26578</v>
      </c>
      <c r="F320" s="1574"/>
      <c r="G320" s="1574"/>
      <c r="H320" s="1574"/>
      <c r="I320" s="1574"/>
      <c r="J320" s="1574"/>
      <c r="K320" s="1672">
        <f t="shared" ref="K320:K327" si="24">SUM(C320:J320)</f>
        <v>26578</v>
      </c>
      <c r="L320" s="1574">
        <v>26580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1</v>
      </c>
      <c r="M321" s="539"/>
      <c r="N321" s="539"/>
    </row>
    <row r="322" spans="1:14" s="548" customFormat="1" x14ac:dyDescent="0.2">
      <c r="A322" s="1289" t="s">
        <v>236</v>
      </c>
      <c r="B322" s="567" t="s">
        <v>282</v>
      </c>
      <c r="C322" s="1574"/>
      <c r="D322" s="1574"/>
      <c r="E322" s="1574">
        <v>104864</v>
      </c>
      <c r="F322" s="1574"/>
      <c r="G322" s="1574"/>
      <c r="H322" s="1574"/>
      <c r="I322" s="1574"/>
      <c r="J322" s="1574"/>
      <c r="K322" s="1672">
        <f t="shared" si="24"/>
        <v>104864</v>
      </c>
      <c r="L322" s="1574">
        <v>104865</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131442</v>
      </c>
      <c r="F330" s="1674">
        <f t="shared" si="25"/>
        <v>0</v>
      </c>
      <c r="G330" s="1674">
        <f t="shared" si="25"/>
        <v>0</v>
      </c>
      <c r="H330" s="1674">
        <f t="shared" si="25"/>
        <v>0</v>
      </c>
      <c r="I330" s="1674">
        <f t="shared" si="25"/>
        <v>0</v>
      </c>
      <c r="J330" s="1674">
        <f t="shared" si="25"/>
        <v>0</v>
      </c>
      <c r="K330" s="1674">
        <f>SUM(K319:K329)</f>
        <v>131442</v>
      </c>
      <c r="L330" s="1674">
        <f>SUM(L319:L329)</f>
        <v>131446</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131442</v>
      </c>
      <c r="F342" s="1674">
        <f>SUM(F330)</f>
        <v>0</v>
      </c>
      <c r="G342" s="1674">
        <f>SUM(G330)</f>
        <v>0</v>
      </c>
      <c r="H342" s="1674">
        <f>SUM(H330,H334,H340)</f>
        <v>0</v>
      </c>
      <c r="I342" s="1674">
        <f>SUM(I330)</f>
        <v>0</v>
      </c>
      <c r="J342" s="1674">
        <f>SUM(J330)</f>
        <v>0</v>
      </c>
      <c r="K342" s="1674">
        <f>SUM(K330,K334,K340)</f>
        <v>131442</v>
      </c>
      <c r="L342" s="1681">
        <f>SUM(L330,L334,L340,L341)</f>
        <v>131446</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-21213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12776</v>
      </c>
      <c r="F348" s="1573"/>
      <c r="G348" s="1573"/>
      <c r="H348" s="1573"/>
      <c r="I348" s="1574"/>
      <c r="J348" s="1574"/>
      <c r="K348" s="1672">
        <f>SUM(C348:J348)</f>
        <v>12776</v>
      </c>
      <c r="L348" s="1573">
        <v>12777</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12776</v>
      </c>
      <c r="F350" s="1674">
        <f t="shared" si="26"/>
        <v>0</v>
      </c>
      <c r="G350" s="1674">
        <f t="shared" si="26"/>
        <v>0</v>
      </c>
      <c r="H350" s="1674">
        <f t="shared" si="26"/>
        <v>0</v>
      </c>
      <c r="I350" s="1674">
        <f t="shared" si="26"/>
        <v>0</v>
      </c>
      <c r="J350" s="1674">
        <f t="shared" si="26"/>
        <v>0</v>
      </c>
      <c r="K350" s="1674">
        <f t="shared" si="26"/>
        <v>12776</v>
      </c>
      <c r="L350" s="1674">
        <f t="shared" si="26"/>
        <v>12777</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12776</v>
      </c>
      <c r="F352" s="1674">
        <f t="shared" si="27"/>
        <v>0</v>
      </c>
      <c r="G352" s="1674">
        <f t="shared" si="27"/>
        <v>0</v>
      </c>
      <c r="H352" s="1674">
        <f t="shared" si="27"/>
        <v>0</v>
      </c>
      <c r="I352" s="1674">
        <f t="shared" si="27"/>
        <v>0</v>
      </c>
      <c r="J352" s="1674">
        <f t="shared" si="27"/>
        <v>0</v>
      </c>
      <c r="K352" s="1674">
        <f t="shared" si="27"/>
        <v>12776</v>
      </c>
      <c r="L352" s="1674">
        <f t="shared" si="27"/>
        <v>12777</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12776</v>
      </c>
      <c r="F367" s="1674">
        <f t="shared" si="28"/>
        <v>0</v>
      </c>
      <c r="G367" s="1674">
        <f t="shared" si="28"/>
        <v>0</v>
      </c>
      <c r="H367" s="1674">
        <f t="shared" si="28"/>
        <v>0</v>
      </c>
      <c r="I367" s="1674">
        <f t="shared" si="28"/>
        <v>0</v>
      </c>
      <c r="J367" s="1674">
        <f t="shared" si="28"/>
        <v>0</v>
      </c>
      <c r="K367" s="1674">
        <f t="shared" si="28"/>
        <v>12776</v>
      </c>
      <c r="L367" s="1674">
        <f t="shared" si="28"/>
        <v>12777</v>
      </c>
    </row>
    <row r="368" spans="1:14" ht="13.5" thickTop="1" x14ac:dyDescent="0.2">
      <c r="A368" s="2289" t="s">
        <v>989</v>
      </c>
      <c r="B368" s="2290"/>
      <c r="C368" s="1694"/>
      <c r="D368" s="1694"/>
      <c r="E368" s="1677"/>
      <c r="F368" s="1677"/>
      <c r="G368" s="1677"/>
      <c r="H368" s="1677"/>
      <c r="I368" s="1677"/>
      <c r="J368" s="1676"/>
      <c r="K368" s="1672">
        <f>'Revenues 9-14'!K268-'Expenditures 15-22'!K367</f>
        <v>21803</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d21dc803-237d-4c68-8692-8d731fd29118"/>
    <ds:schemaRef ds:uri="http://schemas.microsoft.com/office/2006/documentManagement/types"/>
    <ds:schemaRef ds:uri="http://schemas.microsoft.com/sharepoint/v3"/>
    <ds:schemaRef ds:uri="http://schemas.microsoft.com/office/infopath/2007/PartnerControls"/>
    <ds:schemaRef ds:uri="6ce3111e-7420-4802-b50a-75d4e9a0b980"/>
    <ds:schemaRef ds:uri="http://purl.org/dc/dcmitype/"/>
    <ds:schemaRef ds:uri="http://www.w3.org/XML/1998/namespace"/>
    <ds:schemaRef ds:uri="http://schemas.openxmlformats.org/package/2006/metadata/core-properties"/>
    <ds:schemaRef ds:uri="4d435f69-8686-490b-bd6d-b153bf22ab50"/>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2020-11-16T13:52:11Z</cp:lastPrinted>
  <dcterms:created xsi:type="dcterms:W3CDTF">2003-10-29T19:06:34Z</dcterms:created>
  <dcterms:modified xsi:type="dcterms:W3CDTF">2020-11-17T00:03:11Z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