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A3F50BE-4DE3-4621-9454-872A86B9E67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 2 (2)" sheetId="185" r:id="rId32"/>
    <sheet name="SF&amp;QC Sec-3" sheetId="176" r:id="rId33"/>
    <sheet name="SSPAF" sheetId="177" r:id="rId34"/>
  </sheets>
  <definedNames>
    <definedName name="_xlnm._FilterDatabase" localSheetId="23" hidden="1">'AFR20'!$A$1:$F$7884</definedName>
    <definedName name="_xlnm.Print_Area" localSheetId="27">' SEFA'!$B$1:$M$111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C10" i="185" l="1"/>
  <c r="M62" i="179"/>
  <c r="F35" i="179"/>
  <c r="F12" i="179"/>
  <c r="C264" i="5"/>
  <c r="C263" i="5"/>
  <c r="F73" i="179"/>
  <c r="I73" i="179"/>
  <c r="M30" i="179"/>
  <c r="M26" i="179"/>
  <c r="M22" i="179"/>
  <c r="M18" i="179"/>
  <c r="M14" i="179"/>
  <c r="K91" i="179"/>
  <c r="J91" i="179"/>
  <c r="I91" i="179"/>
  <c r="H91" i="179"/>
  <c r="G91" i="179"/>
  <c r="K90" i="179"/>
  <c r="J90" i="179"/>
  <c r="I90" i="179"/>
  <c r="H90" i="179"/>
  <c r="G90" i="179"/>
  <c r="F91" i="179"/>
  <c r="F90" i="179"/>
  <c r="E86" i="179"/>
  <c r="E85" i="179"/>
  <c r="E87" i="179" s="1"/>
  <c r="K86" i="179"/>
  <c r="J86" i="179"/>
  <c r="I86" i="179"/>
  <c r="H86" i="179"/>
  <c r="G86" i="179"/>
  <c r="K85" i="179"/>
  <c r="J85" i="179"/>
  <c r="I85" i="179"/>
  <c r="H85" i="179"/>
  <c r="G85" i="179"/>
  <c r="F86" i="179"/>
  <c r="F68" i="179"/>
  <c r="G87" i="179" l="1"/>
  <c r="K87" i="179"/>
  <c r="F92" i="179"/>
  <c r="H87" i="179"/>
  <c r="I87" i="179"/>
  <c r="J92" i="179"/>
  <c r="J87" i="179"/>
  <c r="G92" i="179"/>
  <c r="H92" i="179"/>
  <c r="I92" i="179"/>
  <c r="K92" i="179"/>
  <c r="K83" i="179"/>
  <c r="J83" i="179"/>
  <c r="H83" i="179"/>
  <c r="I82" i="179"/>
  <c r="I81" i="179"/>
  <c r="I83" i="179" s="1"/>
  <c r="F81" i="179"/>
  <c r="F82" i="179"/>
  <c r="F37" i="179"/>
  <c r="L71" i="179"/>
  <c r="L72" i="179"/>
  <c r="L91" i="179" s="1"/>
  <c r="J57" i="179"/>
  <c r="K57" i="179"/>
  <c r="L57" i="179"/>
  <c r="I57" i="179"/>
  <c r="H57" i="179"/>
  <c r="G57" i="179"/>
  <c r="G82" i="179" s="1"/>
  <c r="F57" i="179"/>
  <c r="L43" i="179"/>
  <c r="L42" i="179"/>
  <c r="L44" i="179" s="1"/>
  <c r="E57" i="179"/>
  <c r="E82" i="179" s="1"/>
  <c r="E83" i="179" s="1"/>
  <c r="F64" i="179"/>
  <c r="F60" i="179"/>
  <c r="F85" i="179" l="1"/>
  <c r="F87" i="179" s="1"/>
  <c r="F83" i="179"/>
  <c r="L92" i="179"/>
  <c r="L73" i="179"/>
  <c r="L90" i="179"/>
  <c r="L82" i="179"/>
  <c r="G83" i="179"/>
  <c r="L81" i="179"/>
  <c r="L83" i="179" s="1"/>
  <c r="G73" i="179"/>
  <c r="E73" i="179"/>
  <c r="E91" i="179" s="1"/>
  <c r="E92" i="179" s="1"/>
  <c r="L64" i="179"/>
  <c r="L65" i="179"/>
  <c r="G66" i="179"/>
  <c r="E66" i="179"/>
  <c r="I66" i="179"/>
  <c r="I62" i="179"/>
  <c r="L60" i="179"/>
  <c r="L61" i="179"/>
  <c r="G62" i="179"/>
  <c r="E62" i="179"/>
  <c r="F44" i="179"/>
  <c r="I44" i="179"/>
  <c r="G44" i="179"/>
  <c r="E44" i="179"/>
  <c r="I40" i="179"/>
  <c r="G40" i="179"/>
  <c r="F40" i="179"/>
  <c r="E40" i="179"/>
  <c r="L39" i="179"/>
  <c r="L38" i="179"/>
  <c r="I37" i="179"/>
  <c r="K37" i="179"/>
  <c r="K46" i="179" s="1"/>
  <c r="J37" i="179"/>
  <c r="J46" i="179" s="1"/>
  <c r="H37" i="179"/>
  <c r="H46" i="179" s="1"/>
  <c r="G37" i="179"/>
  <c r="E37" i="179"/>
  <c r="L36" i="179"/>
  <c r="L35" i="179"/>
  <c r="M32" i="179"/>
  <c r="K32" i="179"/>
  <c r="J32" i="179"/>
  <c r="H32" i="179"/>
  <c r="F30" i="179"/>
  <c r="F22" i="179"/>
  <c r="F18" i="179"/>
  <c r="F14" i="179"/>
  <c r="L12" i="179"/>
  <c r="L16" i="179"/>
  <c r="L13" i="179"/>
  <c r="I30" i="179"/>
  <c r="G30" i="179"/>
  <c r="E30" i="179"/>
  <c r="L29" i="179"/>
  <c r="L28" i="179"/>
  <c r="I26" i="179"/>
  <c r="G26" i="179"/>
  <c r="F26" i="179"/>
  <c r="E26" i="179"/>
  <c r="F32" i="179" l="1"/>
  <c r="L40" i="179"/>
  <c r="I68" i="179"/>
  <c r="L85" i="179"/>
  <c r="L87" i="179" s="1"/>
  <c r="L86" i="179"/>
  <c r="G68" i="179"/>
  <c r="E68" i="179"/>
  <c r="K52" i="179"/>
  <c r="K77" i="179" s="1"/>
  <c r="J52" i="179"/>
  <c r="J77" i="179" s="1"/>
  <c r="L66" i="179"/>
  <c r="H52" i="179"/>
  <c r="H77" i="179" s="1"/>
  <c r="L30" i="179"/>
  <c r="L37" i="179"/>
  <c r="L46" i="179" s="1"/>
  <c r="E46" i="179"/>
  <c r="G46" i="179"/>
  <c r="F46" i="179"/>
  <c r="F52" i="179" s="1"/>
  <c r="F77" i="179" s="1"/>
  <c r="I46" i="179"/>
  <c r="L62" i="179"/>
  <c r="I22" i="179"/>
  <c r="G22" i="179"/>
  <c r="E22" i="179"/>
  <c r="L68" i="179" l="1"/>
  <c r="E18" i="179"/>
  <c r="G18" i="179"/>
  <c r="I18" i="179"/>
  <c r="E14" i="179"/>
  <c r="G14" i="179"/>
  <c r="G32" i="179" s="1"/>
  <c r="G52" i="179" s="1"/>
  <c r="G77" i="179" s="1"/>
  <c r="I14" i="179"/>
  <c r="I32" i="179" l="1"/>
  <c r="I52" i="179" s="1"/>
  <c r="I77" i="179" s="1"/>
  <c r="D45" i="174" s="1"/>
  <c r="E32" i="179"/>
  <c r="E52" i="179" s="1"/>
  <c r="E77" i="179" s="1"/>
  <c r="D82" i="183"/>
  <c r="D74" i="183" l="1"/>
  <c r="D55" i="183"/>
  <c r="D39" i="183"/>
  <c r="D28" i="183"/>
  <c r="D27" i="183"/>
  <c r="D25" i="183"/>
  <c r="C5"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03" i="183" l="1"/>
  <c r="F102" i="183"/>
  <c r="F101" i="183"/>
  <c r="F100" i="183"/>
  <c r="F99" i="183"/>
  <c r="F98" i="183"/>
  <c r="F97" i="183"/>
  <c r="F96" i="183"/>
  <c r="F95" i="183"/>
  <c r="F94" i="183"/>
  <c r="F93" i="183"/>
  <c r="F92" i="183"/>
  <c r="F91" i="183"/>
  <c r="F90" i="183"/>
  <c r="F87" i="183"/>
  <c r="F86" i="183"/>
  <c r="F79" i="183"/>
  <c r="F78" i="183"/>
  <c r="F77" i="183"/>
  <c r="F73" i="183"/>
  <c r="F70" i="183"/>
  <c r="F67" i="183"/>
  <c r="F66" i="183"/>
  <c r="F65" i="183"/>
  <c r="F64" i="183"/>
  <c r="F63" i="183"/>
  <c r="F56" i="183"/>
  <c r="F54" i="183"/>
  <c r="F53" i="183"/>
  <c r="F46" i="183"/>
  <c r="F45" i="183"/>
  <c r="F44" i="183"/>
  <c r="F42" i="183"/>
  <c r="F38" i="183"/>
  <c r="F36" i="183"/>
  <c r="F32" i="183"/>
  <c r="F31" i="183"/>
  <c r="F29" i="183"/>
  <c r="F26" i="183"/>
  <c r="F23" i="183"/>
  <c r="F22" i="183"/>
  <c r="F20" i="183"/>
  <c r="E103" i="183"/>
  <c r="E102" i="183"/>
  <c r="E101" i="183"/>
  <c r="E100" i="183"/>
  <c r="E99" i="183"/>
  <c r="E98" i="183"/>
  <c r="E97" i="183"/>
  <c r="E96" i="183"/>
  <c r="E95" i="183"/>
  <c r="E94" i="183"/>
  <c r="E93" i="183"/>
  <c r="E92" i="183"/>
  <c r="E91" i="183"/>
  <c r="E90" i="183"/>
  <c r="E89" i="183"/>
  <c r="F89" i="183" s="1"/>
  <c r="E88" i="183"/>
  <c r="F88" i="183" s="1"/>
  <c r="E87" i="183"/>
  <c r="E86" i="183"/>
  <c r="E85" i="183"/>
  <c r="F85" i="183" s="1"/>
  <c r="E84" i="183"/>
  <c r="F84" i="183" s="1"/>
  <c r="E83" i="183"/>
  <c r="F83" i="183" s="1"/>
  <c r="E82" i="183"/>
  <c r="F82" i="183" s="1"/>
  <c r="E81" i="183"/>
  <c r="F81" i="183" s="1"/>
  <c r="E80" i="183"/>
  <c r="F80" i="183" s="1"/>
  <c r="E79" i="183"/>
  <c r="E78" i="183"/>
  <c r="E77" i="183"/>
  <c r="E76" i="183"/>
  <c r="F76" i="183" s="1"/>
  <c r="E75" i="183"/>
  <c r="F75" i="183" s="1"/>
  <c r="E74" i="183"/>
  <c r="F74" i="183" s="1"/>
  <c r="E73" i="183"/>
  <c r="E72" i="183"/>
  <c r="F72" i="183" s="1"/>
  <c r="E71" i="183"/>
  <c r="F71" i="183" s="1"/>
  <c r="E70" i="183"/>
  <c r="E69" i="183"/>
  <c r="F69" i="183" s="1"/>
  <c r="E68" i="183"/>
  <c r="F68" i="183" s="1"/>
  <c r="E67" i="183"/>
  <c r="E66" i="183"/>
  <c r="E65" i="183"/>
  <c r="E64" i="183"/>
  <c r="E63" i="183"/>
  <c r="E62" i="183"/>
  <c r="F62" i="183" s="1"/>
  <c r="E61" i="183"/>
  <c r="F61" i="183" s="1"/>
  <c r="E60" i="183"/>
  <c r="F60" i="183" s="1"/>
  <c r="E59" i="183"/>
  <c r="F59" i="183" s="1"/>
  <c r="E58" i="183"/>
  <c r="F58" i="183" s="1"/>
  <c r="E57" i="183"/>
  <c r="F57" i="183" s="1"/>
  <c r="E56" i="183"/>
  <c r="E55" i="183"/>
  <c r="F55" i="183" s="1"/>
  <c r="E54" i="183"/>
  <c r="E53" i="183"/>
  <c r="E52" i="183"/>
  <c r="F52" i="183" s="1"/>
  <c r="E51" i="183"/>
  <c r="F51" i="183" s="1"/>
  <c r="E50" i="183"/>
  <c r="F50" i="183" s="1"/>
  <c r="E49" i="183"/>
  <c r="F49" i="183" s="1"/>
  <c r="E48" i="183"/>
  <c r="F48" i="183" s="1"/>
  <c r="E47" i="183"/>
  <c r="F47" i="183" s="1"/>
  <c r="E46" i="183"/>
  <c r="E45" i="183"/>
  <c r="E44" i="183"/>
  <c r="E43" i="183"/>
  <c r="F43" i="183" s="1"/>
  <c r="E42" i="183"/>
  <c r="E41" i="183"/>
  <c r="F41" i="183" s="1"/>
  <c r="E40" i="183"/>
  <c r="F40" i="183" s="1"/>
  <c r="E39" i="183"/>
  <c r="F39" i="183" s="1"/>
  <c r="E38" i="183"/>
  <c r="E37" i="183"/>
  <c r="F37" i="183" s="1"/>
  <c r="E36" i="183"/>
  <c r="E35" i="183"/>
  <c r="F35" i="183" s="1"/>
  <c r="E34" i="183"/>
  <c r="F34" i="183" s="1"/>
  <c r="E33" i="183"/>
  <c r="F33" i="183" s="1"/>
  <c r="E32" i="183"/>
  <c r="E31" i="183"/>
  <c r="E30" i="183"/>
  <c r="F30" i="183" s="1"/>
  <c r="E29" i="183"/>
  <c r="E28" i="183"/>
  <c r="F28" i="183" s="1"/>
  <c r="E27" i="183"/>
  <c r="F27" i="183" s="1"/>
  <c r="E26" i="183"/>
  <c r="E25" i="183"/>
  <c r="F25" i="183" s="1"/>
  <c r="E24" i="183"/>
  <c r="F24" i="183" s="1"/>
  <c r="E23" i="183"/>
  <c r="E22" i="183"/>
  <c r="E21" i="183"/>
  <c r="F21" i="183" s="1"/>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04" i="183" l="1"/>
  <c r="A15" i="183"/>
  <c r="D82" i="36" l="1"/>
  <c r="F104" i="183"/>
  <c r="E10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32" i="179" l="1"/>
  <c r="L52" i="179" s="1"/>
  <c r="L77" i="179" s="1"/>
  <c r="L25" i="179"/>
  <c r="L24" i="179"/>
  <c r="L22" i="179"/>
  <c r="L21" i="179"/>
  <c r="L20" i="179"/>
  <c r="L18" i="179"/>
  <c r="L17" i="179"/>
  <c r="L14" i="179"/>
  <c r="L11" i="179"/>
  <c r="L26" i="179" l="1"/>
  <c r="D14" i="17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6"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F52" i="34" l="1"/>
  <c r="B7831" i="106" s="1"/>
  <c r="D7831" i="106" s="1"/>
  <c r="B2836" i="106"/>
  <c r="D2836" i="106" s="1"/>
  <c r="F70" i="34"/>
  <c r="B7047" i="106"/>
  <c r="D7047" i="106" s="1"/>
  <c r="B1274" i="106"/>
  <c r="D1274" i="106" s="1"/>
  <c r="D22" i="37"/>
  <c r="H33" i="118"/>
  <c r="G14" i="4"/>
  <c r="B2609" i="106" s="1"/>
  <c r="D2609" i="106" s="1"/>
  <c r="J129" i="29"/>
  <c r="B7038" i="106" s="1"/>
  <c r="D7038" i="106" s="1"/>
  <c r="D69" i="36"/>
  <c r="B6995" i="106"/>
  <c r="D6995" i="106" s="1"/>
  <c r="H76" i="4"/>
  <c r="B3298" i="106" s="1"/>
  <c r="D3298" i="106" s="1"/>
  <c r="F64" i="34"/>
  <c r="H28" i="118"/>
  <c r="D68" i="36"/>
  <c r="F67" i="34"/>
  <c r="C352" i="29"/>
  <c r="C367" i="29" s="1"/>
  <c r="B3622" i="106" s="1"/>
  <c r="D3622" i="106" s="1"/>
  <c r="F50" i="34"/>
  <c r="B7076" i="106"/>
  <c r="D7076" i="106" s="1"/>
  <c r="G35" i="108"/>
  <c r="E34" i="108"/>
  <c r="I129" i="29"/>
  <c r="B7037" i="106" s="1"/>
  <c r="D7037" i="106" s="1"/>
  <c r="C342" i="29"/>
  <c r="B7216" i="106" s="1"/>
  <c r="D7216" i="106" s="1"/>
  <c r="F34" i="34"/>
  <c r="B7826" i="106" s="1"/>
  <c r="D7826" i="106" s="1"/>
  <c r="J210" i="29"/>
  <c r="B7072" i="106" s="1"/>
  <c r="D7072" i="106" s="1"/>
  <c r="B279" i="106"/>
  <c r="D279" i="106" s="1"/>
  <c r="M40" i="3"/>
  <c r="F72" i="34"/>
  <c r="B6289" i="106"/>
  <c r="D6289" i="106" s="1"/>
  <c r="F71" i="34"/>
  <c r="H342" i="29"/>
  <c r="B7221" i="106" s="1"/>
  <c r="D7221" i="106" s="1"/>
  <c r="H15" i="184"/>
  <c r="D24" i="37"/>
  <c r="B4270" i="106" s="1"/>
  <c r="D4270" i="106" s="1"/>
  <c r="B7696" i="106"/>
  <c r="D7696" i="106" s="1"/>
  <c r="E66" i="184"/>
  <c r="N66" i="184" s="1"/>
  <c r="B7135" i="106"/>
  <c r="D7135" i="106" s="1"/>
  <c r="E58" i="184"/>
  <c r="N58" i="184" s="1"/>
  <c r="F42" i="34"/>
  <c r="B7198" i="106"/>
  <c r="D7198" i="106" s="1"/>
  <c r="E65" i="184"/>
  <c r="N65" i="184" s="1"/>
  <c r="B7126" i="106"/>
  <c r="D7126" i="106" s="1"/>
  <c r="E57" i="184"/>
  <c r="N57" i="184" s="1"/>
  <c r="G33" i="108"/>
  <c r="E17" i="184"/>
  <c r="H17" i="184" s="1"/>
  <c r="B7705" i="106"/>
  <c r="D7705" i="106" s="1"/>
  <c r="E67" i="184"/>
  <c r="N67" i="184" s="1"/>
  <c r="B7189" i="106"/>
  <c r="D7189" i="106" s="1"/>
  <c r="E64" i="184"/>
  <c r="N64" i="184" s="1"/>
  <c r="F77" i="4"/>
  <c r="B3255" i="106" s="1"/>
  <c r="D3255" i="106" s="1"/>
  <c r="C129" i="29"/>
  <c r="B1225" i="106" s="1"/>
  <c r="D1225" i="106" s="1"/>
  <c r="F36" i="34"/>
  <c r="B7828" i="106" s="1"/>
  <c r="D7828" i="106" s="1"/>
  <c r="F37" i="34"/>
  <c r="B7829" i="106" s="1"/>
  <c r="D7829" i="106" s="1"/>
  <c r="B7171" i="106"/>
  <c r="D7171" i="106" s="1"/>
  <c r="E62" i="184"/>
  <c r="N62" i="184" s="1"/>
  <c r="H365" i="29"/>
  <c r="B7242" i="106" s="1"/>
  <c r="D7242" i="106" s="1"/>
  <c r="B7162" i="106"/>
  <c r="D7162" i="106" s="1"/>
  <c r="E61" i="184"/>
  <c r="N61" i="184" s="1"/>
  <c r="I210" i="29"/>
  <c r="B7071" i="106" s="1"/>
  <c r="D7071" i="106" s="1"/>
  <c r="D31" i="108"/>
  <c r="E16" i="184"/>
  <c r="H16" i="184" s="1"/>
  <c r="B7153" i="106"/>
  <c r="D7153" i="106" s="1"/>
  <c r="E60" i="184"/>
  <c r="N60" i="184" s="1"/>
  <c r="B7180" i="106"/>
  <c r="D7180" i="106" s="1"/>
  <c r="E63" i="184"/>
  <c r="D36" i="108"/>
  <c r="G30" i="108"/>
  <c r="B2724" i="106"/>
  <c r="D2724" i="106"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K28" i="118"/>
  <c r="O27" i="118" s="1"/>
  <c r="O29" i="118" s="1"/>
  <c r="B3621" i="106"/>
  <c r="D3621" i="106" s="1"/>
  <c r="I151" i="29"/>
  <c r="F59" i="34" s="1"/>
  <c r="H19" i="184"/>
  <c r="L20" i="184" s="1"/>
  <c r="B7215" i="106"/>
  <c r="D7215" i="106" s="1"/>
  <c r="K365" i="29"/>
  <c r="H151" i="29"/>
  <c r="B1273" i="106" s="1"/>
  <c r="D1273" i="106" s="1"/>
  <c r="B1770" i="106"/>
  <c r="D1770" i="106" s="1"/>
  <c r="H5" i="12"/>
  <c r="K77" i="4"/>
  <c r="B3587" i="106" s="1"/>
  <c r="D3587" i="106" s="1"/>
  <c r="B4435" i="106"/>
  <c r="D4435" i="106" s="1"/>
  <c r="B5527" i="106"/>
  <c r="D5527" i="106" s="1"/>
  <c r="B1328" i="106"/>
  <c r="D1328" i="106" s="1"/>
  <c r="C151" i="29"/>
  <c r="B1226" i="106" s="1"/>
  <c r="D1226" i="106" s="1"/>
  <c r="B280" i="106"/>
  <c r="D280" i="106" s="1"/>
  <c r="M41" i="3"/>
  <c r="L16" i="11"/>
  <c r="B2061" i="106" s="1"/>
  <c r="D2061" i="106" s="1"/>
  <c r="B2031" i="106"/>
  <c r="D2031" i="106" s="1"/>
  <c r="B7222" i="106"/>
  <c r="D7222" i="106" s="1"/>
  <c r="F76" i="34"/>
  <c r="B7887" i="106" s="1"/>
  <c r="D7887" i="106" s="1"/>
  <c r="B7235" i="106"/>
  <c r="D7235" i="106" s="1"/>
  <c r="B7220" i="106"/>
  <c r="D7220" i="106" s="1"/>
  <c r="F75" i="34"/>
  <c r="B7886" i="106" s="1"/>
  <c r="D7886" i="106" s="1"/>
  <c r="B5770" i="106"/>
  <c r="D5770" i="106" s="1"/>
  <c r="N23" i="3"/>
  <c r="B284" i="106" s="1"/>
  <c r="D284" i="106" s="1"/>
  <c r="L114" i="29"/>
  <c r="E19" i="184"/>
  <c r="E367" i="29"/>
  <c r="B3635" i="106"/>
  <c r="B1381" i="106"/>
  <c r="D1381" i="106" s="1"/>
  <c r="F41" i="108"/>
  <c r="G43" i="108" s="1"/>
  <c r="K342" i="29"/>
  <c r="F13" i="34" s="1"/>
  <c r="N63" i="184"/>
  <c r="N68" i="184" s="1"/>
  <c r="E68" i="184"/>
  <c r="B7827" i="106"/>
  <c r="D78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K368" i="29" s="1"/>
  <c r="B3681" i="106" s="1"/>
  <c r="D3681" i="106" s="1"/>
  <c r="B281" i="106"/>
  <c r="D281" i="106" s="1"/>
  <c r="D54" i="36"/>
  <c r="B1972" i="106"/>
  <c r="D1972" i="106" s="1"/>
  <c r="H12" i="12"/>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B1977" i="106"/>
  <c r="D1977" i="106" s="1"/>
  <c r="H24" i="12"/>
  <c r="F8" i="4"/>
  <c r="F10" i="4" s="1"/>
  <c r="B4125" i="106" s="1"/>
  <c r="D4125" i="106" s="1"/>
  <c r="F77" i="34"/>
  <c r="B7834" i="106" s="1"/>
  <c r="D7834" i="106" s="1"/>
  <c r="J20" i="4"/>
  <c r="J78" i="4"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1983" i="106"/>
  <c r="D1983" i="106" s="1"/>
  <c r="H26" i="12"/>
  <c r="B7740" i="106" s="1"/>
  <c r="D7740" i="106"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<sst xmlns="http://schemas.openxmlformats.org/spreadsheetml/2006/main" count="5386" uniqueCount="2258">
  <si>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</si>
  <si>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</si>
  <si>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</si>
  <si>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</si>
  <si>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</si>
  <si>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</si>
  <si>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</si>
  <si>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</si>
  <si>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</si>
  <si>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</si>
  <si>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</si>
  <si>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</si>
  <si>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</si>
  <si>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</si>
  <si>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</si>
  <si>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</si>
  <si>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</si>
  <si>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</si>
  <si>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</si>
  <si>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</si>
  <si>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</si>
  <si>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</si>
  <si>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</si>
  <si>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</si>
  <si>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</si>
  <si>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</si>
  <si>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</si>
  <si>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</si>
  <si>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</si>
  <si>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</si>
  <si>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</si>
  <si>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</si>
  <si>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</si>
  <si>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</si>
  <si>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</si>
  <si>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</si>
  <si>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</si>
  <si>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</si>
  <si>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</si>
  <si>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</si>
  <si>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</si>
  <si>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</si>
  <si>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</si>
  <si>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</si>
  <si>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</si>
  <si>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</si>
  <si>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</si>
  <si>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</si>
  <si>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</si>
  <si>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</si>
  <si>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</si>
  <si>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</si>
  <si>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</si>
  <si>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</si>
  <si>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</si>
  <si>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</si>
  <si>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</si>
  <si>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</si>
  <si>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</si>
  <si>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</si>
  <si>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</si>
  <si>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</si>
  <si>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</si>
  <si>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</si>
  <si>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</si>
  <si>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</si>
  <si>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</si>
  <si>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</si>
  <si>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</si>
  <si>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</si>
  <si>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</si>
  <si>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</si>
  <si>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</si>
  <si>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</si>
  <si>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</si>
  <si>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</si>
  <si>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</si>
  <si>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</si>
  <si>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</si>
  <si>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</si>
  <si>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</si>
  <si>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</si>
  <si>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</si>
  <si>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</si>
  <si>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</si>
  <si>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</si>
  <si>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</si>
  <si>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</si>
  <si>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</si>
  <si>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</si>
  <si>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</si>
  <si>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</si>
  <si>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</si>
  <si>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</si>
  <si>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</si>
  <si>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</si>
  <si>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</si>
  <si>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</si>
  <si>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</si>
  <si>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</si>
  <si>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</si>
  <si>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</si>
  <si>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</si>
  <si>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</si>
  <si>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</si>
  <si>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</si>
  <si>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</si>
  <si>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</si>
  <si>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</si>
  <si>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</si>
  <si>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</si>
  <si>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</si>
  <si>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</si>
  <si>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</si>
  <si>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</si>
  <si>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</si>
  <si>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</si>
  <si>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</si>
  <si>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</si>
  <si>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</si>
  <si>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</si>
  <si>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</si>
  <si>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</si>
  <si>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</si>
  <si>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</si>
  <si>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</si>
  <si>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</si>
  <si>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</si>
  <si>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</si>
  <si>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</si>
  <si>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</si>
  <si>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</si>
  <si>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</si>
  <si>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</si>
  <si>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</si>
  <si>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</si>
  <si>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</si>
  <si>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</si>
  <si>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</si>
  <si>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</si>
  <si>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</si>
  <si>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</si>
  <si>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</si>
  <si>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</si>
  <si>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</si>
  <si>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</si>
  <si>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</si>
  <si>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</si>
  <si>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</si>
  <si>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</si>
  <si>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</si>
  <si>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</si>
  <si>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</si>
  <si>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</si>
  <si>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</si>
  <si>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</si>
  <si>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</si>
  <si>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</si>
  <si>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</si>
  <si>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</si>
  <si>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</si>
  <si>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</si>
  <si>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</si>
  <si>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</si>
  <si>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</si>
  <si>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</si>
  <si>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</si>
  <si>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</si>
  <si>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</si>
  <si>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</si>
  <si>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</si>
  <si>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</si>
  <si>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</si>
  <si>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</si>
  <si>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</si>
  <si>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</si>
  <si>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</si>
  <si>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</si>
  <si>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</si>
  <si>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</si>
  <si>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</si>
  <si>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</si>
  <si>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</si>
  <si>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</si>
  <si>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</si>
  <si>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</si>
  <si>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</si>
  <si>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</si>
  <si>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</si>
  <si>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</si>
  <si>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</si>
  <si>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</si>
  <si>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</si>
  <si>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</si>
  <si>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</si>
  <si>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</si>
  <si>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</si>
  <si>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</si>
  <si>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</si>
  <si>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</si>
  <si>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</si>
  <si>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</si>
  <si>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</si>
  <si>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</si>
  <si>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</si>
  <si>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</si>
  <si>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</si>
  <si>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</si>
  <si>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</si>
  <si>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</si>
  <si>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</si>
  <si>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</si>
  <si>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</si>
  <si>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</si>
  <si>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</si>
  <si>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</si>
  <si>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</si>
  <si>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</si>
  <si>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</si>
  <si>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</si>
  <si>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</si>
  <si>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</si>
  <si>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</si>
  <si>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</si>
  <si>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</si>
  <si>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</si>
  <si>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</si>
  <si>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</si>
  <si>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</si>
  <si>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</si>
  <si>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</si>
  <si>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</si>
  <si>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</si>
  <si>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</si>
  <si>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</si>
  <si>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</si>
  <si>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</si>
  <si>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</si>
  <si>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</si>
  <si>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</si>
  <si>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</si>
  <si>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</si>
  <si>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</si>
  <si>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</si>
  <si>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</si>
  <si>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</si>
  <si>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</si>
  <si>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</si>
  <si>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</si>
  <si>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</si>
  <si>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</si>
  <si>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</si>
  <si>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</si>
  <si>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</si>
  <si>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</si>
  <si>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</si>
  <si>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</si>
  <si>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</si>
  <si>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</si>
  <si>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</si>
  <si>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</si>
  <si>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</si>
  <si>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</si>
  <si>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</si>
  <si>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</si>
  <si>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</si>
  <si>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</si>
  <si>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</si>
  <si>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</si>
  <si>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</si>
  <si>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</si>
  <si>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</si>
  <si>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</si>
  <si>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</si>
  <si>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</si>
  <si>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</si>
  <si>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</si>
  <si>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</si>
  <si>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</si>
  <si>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</si>
  <si>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</si>
  <si>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</si>
  <si>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</si>
  <si>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</si>
  <si>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</si>
  <si>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</si>
  <si>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</si>
  <si>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</si>
  <si>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</si>
  <si>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</si>
  <si>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</si>
  <si>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</si>
  <si>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</si>
  <si>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</si>
  <si>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</si>
  <si>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</si>
  <si>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</si>
  <si>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</si>
  <si>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</si>
  <si>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</si>
  <si>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</si>
  <si>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</si>
  <si>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</si>
  <si>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</si>
  <si>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</si>
  <si>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</si>
  <si>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</si>
  <si>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</si>
  <si>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</si>
  <si>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</si>
  <si>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</si>
  <si>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</si>
  <si>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</si>
  <si>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</si>
  <si>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</si>
  <si>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</si>
  <si>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</si>
  <si>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</si>
  <si>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</si>
  <si>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</si>
  <si>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</si>
  <si>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</si>
  <si>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</si>
  <si>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</si>
  <si>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</si>
  <si>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</si>
  <si>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</si>
  <si>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</si>
  <si>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</si>
  <si>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</si>
  <si>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</si>
  <si>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</si>
  <si>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</si>
  <si>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</si>
  <si>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</si>
  <si>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</si>
  <si>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</si>
  <si>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</si>
  <si>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</si>
  <si>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</si>
  <si>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</si>
  <si>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</si>
  <si>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</si>
  <si>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</si>
  <si>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</si>
  <si>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</si>
  <si>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</si>
  <si>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</si>
  <si>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</si>
  <si>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</si>
  <si>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</si>
  <si>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</si>
  <si>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</si>
  <si>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</si>
  <si>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</si>
  <si>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</si>
  <si>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</si>
  <si>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</si>
  <si>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</si>
  <si>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</si>
  <si>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</si>
  <si>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</si>
  <si>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</si>
  <si>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</si>
  <si>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</si>
  <si>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</si>
  <si>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</si>
  <si>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</si>
  <si>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</si>
  <si>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</si>
  <si>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</si>
  <si>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</si>
  <si>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</si>
  <si>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</si>
  <si>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</si>
  <si>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</si>
  <si>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</si>
  <si>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</si>
  <si>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</si>
  <si>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</si>
  <si>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</si>
  <si>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</si>
  <si>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</si>
  <si>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</si>
  <si>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</si>
  <si>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</si>
  <si>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</si>
  <si>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</si>
  <si>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</si>
  <si>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</si>
  <si>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</si>
  <si>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</si>
  <si>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</si>
  <si>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</si>
  <si>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</si>
  <si>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</si>
  <si>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</si>
  <si>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</si>
  <si>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</si>
  <si>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</si>
  <si>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</si>
  <si>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</si>
  <si>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</si>
  <si>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</si>
  <si>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</si>
  <si>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</si>
  <si>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</si>
  <si>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</si>
  <si>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</si>
  <si>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</si>
  <si>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</si>
  <si>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</si>
  <si>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</si>
  <si>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</si>
  <si>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</si>
  <si>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</si>
  <si>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</si>
  <si>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</si>
  <si>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</si>
  <si>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</si>
  <si>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</si>
  <si>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</si>
  <si>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</si>
  <si>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</si>
  <si>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</si>
  <si>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</si>
  <si>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</si>
  <si>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</si>
  <si>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</si>
  <si>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</si>
  <si>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</si>
  <si>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</si>
  <si>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</si>
  <si>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</si>
  <si>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</si>
  <si>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</si>
  <si>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</si>
  <si>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</si>
  <si>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</si>
  <si>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</si>
  <si>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</si>
  <si>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</si>
  <si>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</si>
  <si>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</si>
  <si>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</si>
  <si>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</si>
  <si>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</si>
  <si>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</si>
  <si>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</si>
  <si>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</si>
  <si>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</si>
  <si>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</si>
  <si>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</si>
  <si>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</si>
  <si>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</si>
  <si>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</si>
  <si>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</si>
  <si>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</si>
  <si>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</si>
  <si>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</si>
  <si>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</si>
  <si>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</si>
  <si>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</si>
  <si>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</si>
  <si>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</si>
  <si>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</si>
  <si>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</si>
  <si>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</si>
  <si>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</si>
  <si>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</si>
  <si>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</si>
  <si>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</si>
  <si>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</si>
  <si>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</si>
  <si>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</si>
  <si>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</si>
  <si>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</si>
  <si>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</si>
  <si>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</si>
  <si>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</si>
  <si>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</si>
  <si>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</si>
  <si>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</si>
  <si>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</si>
  <si>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</si>
  <si>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</si>
  <si>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</si>
  <si>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</si>
  <si>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</si>
  <si>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</si>
  <si>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</si>
  <si>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</si>
  <si>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</si>
  <si>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</si>
  <si>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</si>
  <si>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</si>
  <si>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</si>
  <si>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</si>
  <si>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</si>
  <si>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</si>
  <si>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</si>
  <si>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</si>
  <si>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</si>
  <si>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</si>
  <si>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</si>
  <si>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</si>
  <si>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</si>
  <si>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</si>
  <si>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</si>
  <si>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</si>
  <si>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</si>
  <si>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</si>
  <si>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</si>
  <si>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</si>
  <si>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</si>
  <si>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</si>
  <si>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</si>
  <si>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</si>
  <si>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</si>
  <si>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</si>
  <si>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</si>
  <si>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</si>
  <si>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</si>
  <si>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</si>
  <si>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</si>
  <si>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</si>
  <si>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</si>
  <si>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</si>
  <si>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</si>
  <si>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</si>
  <si>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</si>
  <si>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</si>
  <si>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</si>
  <si>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</si>
  <si>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</si>
  <si>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</si>
  <si>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</si>
  <si>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</si>
  <si>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</si>
  <si>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</si>
  <si>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</si>
  <si>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</si>
  <si>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</si>
  <si>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</si>
  <si>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</si>
  <si>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</si>
  <si>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</si>
  <si>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</si>
  <si>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</si>
  <si>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</si>
  <si>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</si>
  <si>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</si>
  <si>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</si>
  <si>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</si>
  <si>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</si>
  <si>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</si>
  <si>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</si>
  <si>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</si>
  <si>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</si>
  <si>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</si>
  <si>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</si>
  <si>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</si>
  <si>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</si>
  <si>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</si>
  <si>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</si>
  <si>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</si>
  <si>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</si>
  <si>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</si>
  <si>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</si>
  <si>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</si>
  <si>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</si>
  <si>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</si>
  <si>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</si>
  <si>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</si>
  <si>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</si>
  <si>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</si>
  <si>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</si>
  <si>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</si>
  <si>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</si>
  <si>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</si>
  <si>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</si>
  <si>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</si>
  <si>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</si>
  <si>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</si>
  <si>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</si>
  <si>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</si>
  <si>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</si>
  <si>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</si>
  <si>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</si>
  <si>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</si>
  <si>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</si>
  <si>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</si>
  <si>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</si>
  <si>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</si>
  <si>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</si>
  <si>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</si>
  <si>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</si>
  <si>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</si>
  <si>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</si>
  <si>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</si>
  <si>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</si>
  <si>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</si>
  <si>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</si>
  <si>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</si>
  <si>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</si>
  <si>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</si>
  <si>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</si>
  <si>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</si>
  <si>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</si>
  <si>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</si>
  <si>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</si>
  <si>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</si>
  <si>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</si>
  <si>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</si>
  <si>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</si>
  <si>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</si>
  <si>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</si>
  <si>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</si>
  <si>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</si>
  <si>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</si>
  <si>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</si>
  <si>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</si>
  <si>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</si>
  <si>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</si>
  <si>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</si>
  <si>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</si>
  <si>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</si>
  <si>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</si>
  <si>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</si>
  <si>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</si>
  <si>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</si>
  <si>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</si>
  <si>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</si>
  <si>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</si>
  <si>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</si>
  <si>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</si>
  <si>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</si>
  <si>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</si>
  <si>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</si>
  <si>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</si>
  <si>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</si>
  <si>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</si>
  <si>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</si>
  <si>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</si>
  <si>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</si>
  <si>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</si>
  <si>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</si>
  <si>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</si>
  <si>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</si>
  <si>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</si>
  <si>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</si>
  <si>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</si>
  <si>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</si>
  <si>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</si>
  <si>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</si>
  <si>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</si>
  <si>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</si>
  <si>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</si>
  <si>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</si>
  <si>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</si>
  <si>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</si>
  <si>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</si>
  <si>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</si>
  <si>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</si>
  <si>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</si>
  <si>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</si>
  <si>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</si>
  <si>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</si>
  <si>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</si>
  <si>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</si>
  <si>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</si>
  <si>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</si>
  <si>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</si>
  <si>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</si>
  <si>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</si>
  <si>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</si>
  <si>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</si>
  <si>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</si>
  <si>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</si>
  <si>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</si>
  <si>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</si>
  <si>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</si>
  <si>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</si>
  <si>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</si>
  <si>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</si>
  <si>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</si>
  <si>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</si>
  <si>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</si>
  <si>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</si>
  <si>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</si>
  <si>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</si>
  <si>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</si>
  <si>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</si>
  <si>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</si>
  <si>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</si>
  <si>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</si>
  <si>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</si>
  <si>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</si>
  <si>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</si>
  <si>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</si>
  <si>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</si>
  <si>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</si>
  <si>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</si>
  <si>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</si>
  <si>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</si>
  <si>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</si>
  <si>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</si>
  <si>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</si>
  <si>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</si>
  <si>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</si>
  <si>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</si>
  <si>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</si>
  <si>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</si>
  <si>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</si>
  <si>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</si>
  <si>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</si>
  <si>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</si>
  <si>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</si>
  <si>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</si>
  <si>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</si>
  <si>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</si>
  <si>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</si>
  <si>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</si>
  <si>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</si>
  <si>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</si>
  <si>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</si>
  <si>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</si>
  <si>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</si>
  <si>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</si>
  <si>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</si>
  <si>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</si>
  <si>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</si>
  <si>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</si>
  <si>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</si>
  <si>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</si>
  <si>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</si>
  <si>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</si>
  <si>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</si>
  <si>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</si>
  <si>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</si>
  <si>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</si>
  <si>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</si>
  <si>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</si>
  <si>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</si>
  <si>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</si>
  <si>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</si>
  <si>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</si>
  <si>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</si>
  <si>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</si>
  <si>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</si>
  <si>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</si>
  <si>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</si>
  <si>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</si>
  <si>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</si>
  <si>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</si>
  <si>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</si>
  <si>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</si>
  <si>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</si>
  <si>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</si>
  <si>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</si>
  <si>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</si>
  <si>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</si>
  <si>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</si>
  <si>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</si>
  <si>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</si>
  <si>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</si>
  <si>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</si>
  <si>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</si>
  <si>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</si>
  <si>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</si>
  <si>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</si>
  <si>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</si>
  <si>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</si>
  <si>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</si>
  <si>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</si>
  <si>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</si>
  <si>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</si>
  <si>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</si>
  <si>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</si>
  <si>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</si>
  <si>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</si>
  <si>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</si>
  <si>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</si>
  <si>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</si>
  <si>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</si>
  <si>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</si>
  <si>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</si>
  <si>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</si>
  <si>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</si>
  <si>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</si>
  <si>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</si>
  <si>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</si>
  <si>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</si>
  <si>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</si>
  <si>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</si>
  <si>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</si>
  <si>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</si>
  <si>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</si>
  <si>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</si>
  <si>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</si>
  <si>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</si>
  <si>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</si>
  <si>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</si>
  <si>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</si>
  <si>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</si>
  <si>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</si>
  <si>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</si>
  <si>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</si>
  <si>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</si>
  <si>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</si>
  <si>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</si>
  <si>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</si>
  <si>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</si>
  <si>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</si>
  <si>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</si>
  <si>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</si>
  <si>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</si>
  <si>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</si>
  <si>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</si>
  <si>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</si>
  <si>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</si>
  <si>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</si>
  <si>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</si>
  <si>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</si>
  <si>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</si>
  <si>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</si>
  <si>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</si>
  <si>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</si>
  <si>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</si>
  <si>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</si>
  <si>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</si>
  <si>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</si>
  <si>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</si>
  <si>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</si>
  <si>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</si>
  <si>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</si>
  <si>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</si>
  <si>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</si>
  <si>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</si>
  <si>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</si>
  <si>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</si>
  <si>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</si>
  <si>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</si>
  <si>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</si>
  <si>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</si>
  <si>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</si>
  <si>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</si>
  <si>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</si>
  <si>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</si>
  <si>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</si>
  <si>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</si>
  <si>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</si>
  <si>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</si>
  <si>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</si>
  <si>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</si>
  <si>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</si>
  <si>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</si>
  <si>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</si>
  <si>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</si>
  <si>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</si>
  <si>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</si>
  <si>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</si>
  <si>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</si>
  <si>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</si>
  <si>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</si>
  <si>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</si>
  <si>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</si>
  <si>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</si>
  <si>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</si>
  <si>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</si>
  <si>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</si>
  <si>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</si>
  <si>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</si>
  <si>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</si>
  <si>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</si>
  <si>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</si>
  <si>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</si>
  <si>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</si>
  <si>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</si>
  <si>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</si>
  <si>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</si>
  <si>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</si>
  <si>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</si>
  <si>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</si>
  <si>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</si>
  <si>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</si>
  <si>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</si>
  <si>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</si>
  <si>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</si>
  <si>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</si>
  <si>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</si>
  <si>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</si>
  <si>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</si>
  <si>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</si>
  <si>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</si>
  <si>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</si>
  <si>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</si>
  <si>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</si>
  <si>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</si>
  <si>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</si>
  <si>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</si>
  <si>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</si>
  <si>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</si>
  <si>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</si>
  <si>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</si>
  <si>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</si>
  <si>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</si>
  <si>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</si>
  <si>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</si>
  <si>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</si>
  <si>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</si>
  <si>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</si>
  <si>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</si>
  <si>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</si>
  <si>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</si>
  <si>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</si>
  <si>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</si>
  <si>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</si>
  <si>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</si>
  <si>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</si>
  <si>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</si>
  <si>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</si>
  <si>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</si>
  <si>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</si>
  <si>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</si>
  <si>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</si>
  <si>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</si>
  <si>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</si>
  <si>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</si>
  <si>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</si>
  <si>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</si>
  <si>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</si>
  <si>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</si>
  <si>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</si>
  <si>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</si>
  <si>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</si>
  <si>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</si>
  <si>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</si>
  <si>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</si>
  <si>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</si>
  <si>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</si>
  <si>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</si>
  <si>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</si>
  <si>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</si>
  <si>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</si>
  <si>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</si>
  <si>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</si>
  <si>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</si>
  <si>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</si>
  <si>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</si>
  <si>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</si>
  <si>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</si>
  <si>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</si>
  <si>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</si>
  <si>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</si>
  <si>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</si>
  <si>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</si>
  <si>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</si>
  <si>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</si>
  <si>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</si>
  <si>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</si>
  <si>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</si>
  <si>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</si>
  <si>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</si>
  <si>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</si>
  <si>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</si>
  <si>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</si>
  <si>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</si>
  <si>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</si>
  <si>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</si>
  <si>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</si>
  <si>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</si>
  <si>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</si>
  <si>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</si>
  <si>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</si>
  <si>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</si>
  <si>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</si>
  <si>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</si>
  <si>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</si>
  <si>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</si>
  <si>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</si>
  <si>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</si>
  <si>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</si>
  <si>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</si>
  <si>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</si>
  <si>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</si>
  <si>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</si>
  <si>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</si>
  <si>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</si>
  <si>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</si>
  <si>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</si>
  <si>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</si>
  <si>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</si>
  <si>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</si>
  <si>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</si>
  <si>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</si>
  <si>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</si>
  <si>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</si>
  <si>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</si>
  <si>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</si>
  <si>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</si>
  <si>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</si>
  <si>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</si>
  <si>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</si>
  <si>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</si>
  <si>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</si>
  <si>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</si>
  <si>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</si>
  <si>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</si>
  <si>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</si>
  <si>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</si>
  <si>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</si>
  <si>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</si>
  <si>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</si>
  <si>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</si>
  <si>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</si>
  <si>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</si>
  <si>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</si>
  <si>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</si>
  <si>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</si>
  <si>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</si>
  <si>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</si>
  <si>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</si>
  <si>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</si>
  <si>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</si>
  <si>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</si>
  <si>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</si>
  <si>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</si>
  <si>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</si>
  <si>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</si>
  <si>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</si>
  <si>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</si>
  <si>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</si>
  <si>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</si>
  <si>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</si>
  <si>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</si>
  <si>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</si>
  <si>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</si>
  <si>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</si>
  <si>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</si>
  <si>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</si>
  <si>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</si>
  <si>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</si>
  <si>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</si>
  <si>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</si>
  <si>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</si>
  <si>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</si>
  <si>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</si>
  <si>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</si>
  <si>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</si>
  <si>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</si>
  <si>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</si>
  <si>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</si>
  <si>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</si>
  <si>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</si>
  <si>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</si>
  <si>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</si>
  <si>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</si>
  <si>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</si>
  <si>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</si>
  <si>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</si>
  <si>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</si>
  <si>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</si>
  <si>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</si>
  <si>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</si>
  <si>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</si>
  <si>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</si>
  <si>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</si>
  <si>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</si>
  <si>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</si>
  <si>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</si>
  <si>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</si>
  <si>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</si>
  <si>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</si>
  <si>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</si>
  <si>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</si>
  <si>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</si>
  <si>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</si>
  <si>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</si>
  <si>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</si>
  <si>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</si>
  <si>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</si>
  <si>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</si>
  <si>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</si>
  <si>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</si>
  <si>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</si>
  <si>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</si>
  <si>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</si>
  <si>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</si>
  <si>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</si>
  <si>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</si>
  <si>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</si>
  <si>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</si>
  <si>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</si>
  <si>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</si>
  <si>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</si>
  <si>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</si>
  <si>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</si>
  <si>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</si>
  <si>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</si>
  <si>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</si>
  <si>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</si>
  <si>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</si>
  <si>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</si>
  <si>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</si>
  <si>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</si>
  <si>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</si>
  <si>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</si>
  <si>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</si>
  <si>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</si>
  <si>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</si>
  <si>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</si>
  <si>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</si>
  <si>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</si>
  <si>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</si>
  <si>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</si>
  <si>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</si>
  <si>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</si>
  <si>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</si>
  <si>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</si>
  <si>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</si>
  <si>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</si>
  <si>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</si>
  <si>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</si>
  <si>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</si>
  <si>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</si>
  <si>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</si>
  <si>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</si>
  <si>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</si>
  <si>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</si>
  <si>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</si>
  <si>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</si>
  <si>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</si>
  <si>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</si>
  <si>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</si>
  <si>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</si>
  <si>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</si>
  <si>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</si>
  <si>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</si>
  <si>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</si>
  <si>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</si>
  <si>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</si>
  <si>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</si>
  <si>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</si>
  <si>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</si>
  <si>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</si>
  <si>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</si>
  <si>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</si>
  <si>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</si>
  <si>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</si>
  <si>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</si>
  <si>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</si>
  <si>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</si>
  <si>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</si>
  <si>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</si>
  <si>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</si>
  <si>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</si>
  <si>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</si>
  <si>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</si>
  <si>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</si>
  <si>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</si>
  <si>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</si>
  <si>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</si>
  <si>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</si>
  <si>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</si>
  <si>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</si>
  <si>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</si>
  <si>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</si>
  <si>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</si>
  <si>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</si>
  <si>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</si>
  <si>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</si>
  <si>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</si>
  <si>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</si>
  <si>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</si>
  <si>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</si>
  <si>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</si>
  <si>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</si>
  <si>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</si>
  <si>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</si>
  <si>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</si>
  <si>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</si>
  <si>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</si>
  <si>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</si>
  <si>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</si>
  <si>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</si>
  <si>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</si>
  <si>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</si>
  <si>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</si>
  <si>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</si>
  <si>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</si>
  <si>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</si>
  <si>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</si>
  <si>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</si>
  <si>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</si>
  <si>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</si>
  <si>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</si>
  <si>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</si>
  <si>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</si>
  <si>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</si>
  <si>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</si>
  <si>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</si>
  <si>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</si>
  <si>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</si>
  <si>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</si>
  <si>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</si>
  <si>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</si>
  <si>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</si>
  <si>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</si>
  <si>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</si>
  <si>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</si>
  <si>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</si>
  <si>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</si>
  <si>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</si>
  <si>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</si>
  <si>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</si>
  <si>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</si>
  <si>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</si>
  <si>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</si>
  <si>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</si>
  <si>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</si>
  <si>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</si>
  <si>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</si>
  <si>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</si>
  <si>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</si>
  <si>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</si>
  <si>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</si>
  <si>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</si>
  <si>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</si>
  <si>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</si>
  <si>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</si>
  <si>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</si>
  <si>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</si>
  <si>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</si>
  <si>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</si>
  <si>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</si>
  <si>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</si>
  <si>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</si>
  <si>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</si>
  <si>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</si>
  <si>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</si>
  <si>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</si>
  <si>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</si>
  <si>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</si>
  <si>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</si>
  <si>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</si>
  <si>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</si>
  <si>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</si>
  <si>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</si>
  <si>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</si>
  <si>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</si>
  <si>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</si>
  <si>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</si>
  <si>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</si>
  <si>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</si>
  <si>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</si>
  <si>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</si>
  <si>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</si>
  <si>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</si>
  <si>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</si>
  <si>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</si>
  <si>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</si>
  <si>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</si>
  <si>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</si>
  <si>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</si>
  <si>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</si>
  <si>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</si>
  <si>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</si>
  <si>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</si>
  <si>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</si>
  <si>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</si>
  <si>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</si>
  <si>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</si>
  <si>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</si>
  <si>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</si>
  <si>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</si>
  <si>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</si>
  <si>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</si>
  <si>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</si>
  <si>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</si>
  <si>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</si>
  <si>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</si>
  <si>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</si>
  <si>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</si>
  <si>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</si>
  <si>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</si>
  <si>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</si>
  <si>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</si>
  <si>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</si>
  <si>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</si>
  <si>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</si>
  <si>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</si>
  <si>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</si>
  <si>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</si>
  <si>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</si>
  <si>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</si>
  <si>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</si>
  <si>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</si>
  <si>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</si>
  <si>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</si>
  <si>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</si>
  <si>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</si>
  <si>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</si>
  <si>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</si>
  <si>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</si>
  <si>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</si>
  <si>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</si>
  <si>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</si>
  <si>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</si>
  <si>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</si>
  <si>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</si>
  <si>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</si>
  <si>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</si>
  <si>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</si>
  <si>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</si>
  <si>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</si>
  <si>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</si>
  <si>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</si>
  <si>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</si>
  <si>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</si>
  <si>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</si>
  <si>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</si>
  <si>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</si>
  <si>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</si>
  <si>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</si>
  <si>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</si>
  <si>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</si>
  <si>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</si>
  <si>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</si>
  <si>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</si>
  <si>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</si>
  <si>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</si>
  <si>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</si>
  <si>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</si>
  <si>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</si>
  <si>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</si>
  <si>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</si>
  <si>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</si>
  <si>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</si>
  <si>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</si>
  <si>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</si>
  <si>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</si>
  <si>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</si>
  <si>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</si>
  <si>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</si>
  <si>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</si>
  <si>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</si>
  <si>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</si>
  <si>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</si>
  <si>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</si>
  <si>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</si>
  <si>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</si>
  <si>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</si>
  <si>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</si>
  <si>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</si>
  <si>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</si>
  <si>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</si>
  <si>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</si>
  <si>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</si>
  <si>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</si>
  <si>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</si>
  <si>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</si>
  <si>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</si>
  <si>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</si>
  <si>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</si>
  <si>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</si>
  <si>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</si>
  <si>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</si>
  <si>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</si>
  <si>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</si>
  <si>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</si>
  <si>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</si>
  <si>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</si>
  <si>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</si>
  <si>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</si>
  <si>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</si>
  <si>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</si>
  <si>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</si>
  <si>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</si>
  <si>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</si>
  <si>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</si>
  <si>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</si>
  <si>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</si>
  <si>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</si>
  <si>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</si>
  <si>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</si>
  <si>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</si>
  <si>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</si>
  <si>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</si>
  <si>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</si>
  <si>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</si>
  <si>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</si>
  <si>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</si>
  <si>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</si>
  <si>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</si>
  <si>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</si>
  <si>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</si>
  <si>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</si>
  <si>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</si>
  <si>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</si>
  <si>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</si>
  <si>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</si>
  <si>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</si>
  <si>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</si>
  <si>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</si>
  <si>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</si>
  <si>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</si>
  <si>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</si>
  <si>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</si>
  <si>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</si>
  <si>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</si>
  <si>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</si>
  <si>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</si>
  <si>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</si>
  <si>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</si>
  <si>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</si>
  <si>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</si>
  <si>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</si>
  <si>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</si>
  <si>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</si>
  <si>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</si>
  <si>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</si>
  <si>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</si>
  <si>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</si>
  <si>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</si>
  <si>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</si>
  <si>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</si>
  <si>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</si>
  <si>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</si>
  <si>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</si>
  <si>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</si>
  <si>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</si>
  <si>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</si>
  <si>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</si>
  <si>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</si>
  <si>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</si>
  <si>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</si>
  <si>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</si>
  <si>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</si>
  <si>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</si>
  <si>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</si>
  <si>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</si>
  <si>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</si>
  <si>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</si>
  <si>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</si>
  <si>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</si>
  <si>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</si>
  <si>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</si>
  <si>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</si>
  <si>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</si>
  <si>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</si>
  <si>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</si>
  <si>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</si>
  <si>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</si>
  <si>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</si>
  <si>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</si>
  <si>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</si>
  <si>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</si>
  <si>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</si>
  <si>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</si>
  <si>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</si>
  <si>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</si>
  <si>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</si>
  <si>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</si>
  <si>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</si>
  <si>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</si>
  <si>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</si>
  <si>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</si>
  <si>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</si>
  <si>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</si>
  <si>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</si>
  <si>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</si>
  <si>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</si>
  <si>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</si>
  <si>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</si>
  <si>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</si>
  <si>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</si>
  <si>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</si>
  <si>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</si>
  <si>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</si>
  <si>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</si>
  <si>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</si>
  <si>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</si>
  <si>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</si>
  <si>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</si>
  <si>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</si>
  <si>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</si>
  <si>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</si>
  <si>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</si>
  <si>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</si>
  <si>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</si>
  <si>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</si>
  <si>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</si>
  <si>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</si>
  <si>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</si>
  <si>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</si>
  <si>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</si>
  <si>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</si>
  <si>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</si>
  <si>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</si>
  <si>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</si>
  <si>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</si>
  <si>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</si>
  <si>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</si>
  <si>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</si>
  <si>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</si>
  <si>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</si>
  <si>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</si>
  <si>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</si>
  <si>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</si>
  <si>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</si>
  <si>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</si>
  <si>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</si>
  <si>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</si>
  <si>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</si>
  <si>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</si>
  <si>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</si>
  <si>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</si>
  <si>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</si>
  <si>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</si>
  <si>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</si>
  <si>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</si>
  <si>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</si>
  <si>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</si>
  <si>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</si>
  <si>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</si>
  <si>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</si>
  <si>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</si>
  <si>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</si>
  <si>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</si>
  <si>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</si>
  <si>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</si>
  <si>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</si>
  <si>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</si>
  <si>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</si>
  <si>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</si>
  <si>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</si>
  <si>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</si>
  <si>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</si>
  <si>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</si>
  <si>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</si>
  <si>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</si>
  <si>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</si>
  <si>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</si>
  <si>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</si>
  <si>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</si>
  <si>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</si>
  <si>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</si>
  <si>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</si>
  <si>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</si>
  <si>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</si>
  <si>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</si>
  <si>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</si>
  <si>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</si>
  <si>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</si>
  <si>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</si>
  <si>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</si>
  <si>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</si>
  <si>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</si>
  <si>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</si>
  <si>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</si>
  <si>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</si>
  <si>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</si>
  <si>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</si>
  <si>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</si>
  <si>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</si>
  <si>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</si>
  <si>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</si>
  <si>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</si>
  <si>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</si>
  <si>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</si>
  <si>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</si>
  <si>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</si>
  <si>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</si>
  <si>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</si>
  <si>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</si>
  <si>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</si>
  <si>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</si>
  <si>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</si>
  <si>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</si>
  <si>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</si>
  <si>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</si>
  <si>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</si>
  <si>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</si>
  <si>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</si>
  <si>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</si>
  <si>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</si>
  <si>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</si>
  <si>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</si>
  <si>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</si>
  <si>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</si>
  <si>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</si>
  <si>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</si>
  <si>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</si>
  <si>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</si>
  <si>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</si>
  <si>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</si>
  <si>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</si>
  <si>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</si>
  <si>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</si>
  <si>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</si>
  <si>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</si>
  <si>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</si>
  <si>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</si>
  <si>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</si>
  <si>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</si>
  <si>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</si>
  <si>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</si>
  <si>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</si>
  <si>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</si>
  <si>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</si>
  <si>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</si>
  <si>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</si>
  <si>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</si>
  <si>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</si>
  <si>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</si>
  <si>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</si>
  <si>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</si>
  <si>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</si>
  <si>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</si>
  <si>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</si>
  <si>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</si>
  <si>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</si>
  <si>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</si>
  <si>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</si>
  <si>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</si>
  <si>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</si>
  <si>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</si>
  <si>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</si>
  <si>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</si>
  <si>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</si>
  <si>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</si>
  <si>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</si>
  <si>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</si>
  <si>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</si>
  <si>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</si>
  <si>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</si>
  <si>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</si>
  <si>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</si>
  <si>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</si>
  <si>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</si>
  <si>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</si>
  <si>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</si>
  <si>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</si>
  <si>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</si>
  <si>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</si>
  <si>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</si>
  <si>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</si>
  <si>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</si>
  <si>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</si>
  <si>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</si>
  <si>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</si>
  <si>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</si>
  <si>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</si>
  <si>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</si>
  <si>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</si>
  <si>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</si>
  <si>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</si>
  <si>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</si>
  <si>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</si>
  <si>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</si>
  <si>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</si>
  <si>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</si>
  <si>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</si>
  <si>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</si>
  <si>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</si>
  <si>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</si>
  <si>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</si>
  <si>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</si>
  <si>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</si>
  <si>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</si>
  <si>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</si>
  <si>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</si>
  <si>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</si>
  <si>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</si>
  <si>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</si>
  <si>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</si>
  <si>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</si>
  <si>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</si>
  <si>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</si>
  <si>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</si>
  <si>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</si>
  <si>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</si>
  <si>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</si>
  <si>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</si>
  <si>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</si>
  <si>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</si>
  <si>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</si>
  <si>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</si>
  <si>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</si>
  <si>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</si>
  <si>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</si>
  <si>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</si>
  <si>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</si>
  <si>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</si>
  <si>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</si>
  <si>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</si>
  <si>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</si>
  <si>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</si>
  <si>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</si>
  <si>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</si>
  <si>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</si>
  <si>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</si>
  <si>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</si>
  <si>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</si>
  <si>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</si>
  <si>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</si>
  <si>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</si>
  <si>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</si>
  <si>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</si>
  <si>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</si>
  <si>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</si>
  <si>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</si>
  <si>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</si>
  <si>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</si>
  <si>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</si>
  <si>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</si>
  <si>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</si>
  <si>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</si>
  <si>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</si>
  <si>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</si>
  <si>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</si>
  <si>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</si>
  <si>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</si>
  <si>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</si>
  <si>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</si>
  <si>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</si>
  <si>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</si>
  <si>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</si>
  <si>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</si>
  <si>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</si>
  <si>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</si>
  <si>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</si>
  <si>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</si>
  <si>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</si>
  <si>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</si>
  <si>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</si>
  <si>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</si>
  <si>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</si>
  <si>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</si>
  <si>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</si>
  <si>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</si>
  <si>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</si>
  <si>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</si>
  <si>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</si>
  <si>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</si>
  <si>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</si>
  <si>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</si>
  <si>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</si>
  <si>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</si>
  <si>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</si>
  <si>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</si>
  <si>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</si>
  <si>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</si>
  <si>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</si>
  <si>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</si>
  <si>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</si>
  <si>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</si>
  <si>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</si>
  <si>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</si>
  <si>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</si>
  <si>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</si>
  <si>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</si>
  <si>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</si>
  <si>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</si>
  <si>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</si>
  <si>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</si>
  <si>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</si>
  <si>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</si>
  <si>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</si>
  <si>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</si>
  <si>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</si>
  <si>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</si>
  <si>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</si>
  <si>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</si>
  <si>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</si>
  <si>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</si>
  <si>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</si>
  <si>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</si>
  <si>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</si>
  <si>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</si>
  <si>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</si>
  <si>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</si>
  <si>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</si>
  <si>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</si>
  <si>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</si>
  <si>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</si>
  <si>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</si>
  <si>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</si>
  <si>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</si>
  <si>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</si>
  <si>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</si>
  <si>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</si>
  <si>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</si>
  <si>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</si>
  <si>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</si>
  <si>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</si>
  <si>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</si>
  <si>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</si>
  <si>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</si>
  <si>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</si>
  <si>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</si>
  <si>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</si>
  <si>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</si>
  <si>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</si>
  <si>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</si>
  <si>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</si>
  <si>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</si>
  <si>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</si>
  <si>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</si>
  <si>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</si>
  <si>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</si>
  <si>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</si>
  <si>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</si>
  <si>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</si>
  <si>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</si>
  <si>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</si>
  <si>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</si>
  <si>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</si>
  <si>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</si>
  <si>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</si>
  <si>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</si>
  <si>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</si>
  <si>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</si>
  <si>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</si>
  <si>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</si>
  <si>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</si>
  <si>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</si>
  <si>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</si>
  <si>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</si>
  <si>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</si>
  <si>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</si>
  <si>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</si>
  <si>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</si>
  <si>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</si>
  <si>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</si>
  <si>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</si>
  <si>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</si>
  <si>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</si>
  <si>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</si>
  <si>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</si>
  <si>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</si>
  <si>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</si>
  <si>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</si>
  <si>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</si>
  <si>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</si>
  <si>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</si>
  <si>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</si>
  <si>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</si>
  <si>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</si>
  <si>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</si>
  <si>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</si>
  <si>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</si>
  <si>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</si>
  <si>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</si>
  <si>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</si>
  <si>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</si>
  <si>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</si>
  <si>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</si>
  <si>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</si>
  <si>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</si>
  <si>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</si>
  <si>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</si>
  <si>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</si>
  <si>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</si>
  <si>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</si>
  <si>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</si>
  <si>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</si>
  <si>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</si>
  <si>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</si>
  <si>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</si>
  <si>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</si>
  <si>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</si>
  <si>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</si>
  <si>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</si>
  <si>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</si>
  <si>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</si>
  <si>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</si>
  <si>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</si>
  <si>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</si>
  <si>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</si>
  <si>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</si>
  <si>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</si>
  <si>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</si>
  <si>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</si>
  <si>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</si>
  <si>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</si>
  <si>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</si>
  <si>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</si>
  <si>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</si>
  <si>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</si>
  <si>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</si>
  <si>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</si>
  <si>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</si>
  <si>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</si>
  <si>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</si>
  <si>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</si>
  <si>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</si>
  <si>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</si>
  <si>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</si>
  <si>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</si>
  <si>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</si>
  <si>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</si>
  <si>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</si>
  <si>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</si>
  <si>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</si>
  <si>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</si>
  <si>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</si>
  <si>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</si>
  <si>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</si>
  <si>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</si>
  <si>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</si>
  <si>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</si>
  <si>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</si>
  <si>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</si>
  <si>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</si>
  <si>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</si>
  <si>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</si>
  <si>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</si>
  <si>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</si>
  <si>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</si>
  <si>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</si>
  <si>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</si>
  <si>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</si>
  <si>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</si>
  <si>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</si>
  <si>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</si>
  <si>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</si>
  <si>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</si>
  <si>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</si>
  <si>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</si>
  <si>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</si>
  <si>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</si>
  <si>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</si>
  <si>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</si>
  <si>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</si>
  <si>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</si>
  <si>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</si>
  <si>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</si>
  <si>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</si>
  <si>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</si>
  <si>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</si>
  <si>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</si>
  <si>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</si>
  <si>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</si>
  <si>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</si>
  <si>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</si>
  <si>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</si>
  <si>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</si>
  <si>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</si>
  <si>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</si>
  <si>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</si>
  <si>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</si>
  <si>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</si>
  <si>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</si>
  <si>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</si>
  <si>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</si>
  <si>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</si>
  <si>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</si>
  <si>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</si>
  <si>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</si>
  <si>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</si>
  <si>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</si>
  <si>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</si>
  <si>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</si>
  <si>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</si>
  <si>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</si>
  <si>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</si>
  <si>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</si>
  <si>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</si>
  <si>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</si>
  <si>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</si>
  <si>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</si>
  <si>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</si>
  <si>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</si>
  <si>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</si>
  <si>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</si>
  <si>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</si>
  <si>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</si>
  <si>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</si>
  <si>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</si>
  <si>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</si>
  <si>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</si>
  <si>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</si>
  <si>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</si>
  <si>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</si>
  <si>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</si>
  <si>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</si>
  <si>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</si>
  <si>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</si>
  <si>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</si>
  <si>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</si>
  <si>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</si>
  <si>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</si>
  <si>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</si>
  <si>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</si>
  <si>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</si>
  <si>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</si>
  <si>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</si>
  <si>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</si>
  <si>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</si>
  <si>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</si>
  <si>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</si>
  <si>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</si>
  <si>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</si>
  <si>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</si>
  <si>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</si>
  <si>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</si>
  <si>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</si>
  <si>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</si>
  <si>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</si>
  <si>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</si>
  <si>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</si>
  <si>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</si>
  <si>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</si>
  <si>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</si>
  <si>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</si>
  <si>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</si>
  <si>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</si>
  <si>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</si>
  <si>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</si>
  <si>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</si>
  <si>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</si>
  <si>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</si>
  <si>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</si>
  <si>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</si>
  <si>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</si>
  <si>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</si>
  <si>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</si>
  <si>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</si>
  <si>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</si>
  <si>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</si>
  <si>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</si>
  <si>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</si>
  <si>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</si>
  <si>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</si>
  <si>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</si>
  <si>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</si>
  <si>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</si>
  <si>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</si>
  <si>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</si>
  <si>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</si>
  <si>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</si>
  <si>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</si>
  <si>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</si>
  <si>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</si>
  <si>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</si>
  <si>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</si>
  <si>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</si>
  <si>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</si>
  <si>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</si>
  <si>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GW &amp; Associates, PC</t>
  </si>
  <si>
    <t>John Wysocki</t>
  </si>
  <si>
    <t>Hillside</t>
  </si>
  <si>
    <t>4415 West Harrison St, Suite 434</t>
  </si>
  <si>
    <t>IL</t>
  </si>
  <si>
    <t>708-755-8182</t>
  </si>
  <si>
    <t>708-755-8326</t>
  </si>
  <si>
    <t>john.wysocki@cpagwa.com</t>
  </si>
  <si>
    <t>Cook</t>
  </si>
  <si>
    <t>30 W 16th Street</t>
  </si>
  <si>
    <t>Chicago Heights, IL</t>
  </si>
  <si>
    <t>Dr. Robert G Grossi</t>
  </si>
  <si>
    <t>rgrossi@bloomtts.org</t>
  </si>
  <si>
    <t>708-754-3677</t>
  </si>
  <si>
    <t>708-754-0208</t>
  </si>
  <si>
    <t>Thomas Amadio</t>
  </si>
  <si>
    <t>708-756-4170</t>
  </si>
  <si>
    <t>708-756-4164</t>
  </si>
  <si>
    <t>Dr. Vanessa Kinder (ISC #4)</t>
  </si>
  <si>
    <t>vkinder@s-cook.org</t>
  </si>
  <si>
    <t>708-754-6600</t>
  </si>
  <si>
    <t>708-754-8687</t>
  </si>
  <si>
    <t>Series 2017C</t>
  </si>
  <si>
    <t>Series 2017D</t>
  </si>
  <si>
    <t>Education Fund - Revenues - Other Food Service Fucntion 1690 - Catering Revenues</t>
  </si>
  <si>
    <t>Education Fund - Revenues - Other Local Revenues Function 1999 - Misc. and retiree medical reimbursements</t>
  </si>
  <si>
    <t>Education Fund - Revenues - Other State Sources Function 3999 - Healthy Schools</t>
  </si>
  <si>
    <t>Education Fund - Expenditures - Other Support Services Function 2900 - Title I Homeless</t>
  </si>
  <si>
    <t>Debt Service Fund - Expenditures - Function 5400 - Bank/fiscal agent fees</t>
  </si>
  <si>
    <t>Leaf Commercial Capital</t>
  </si>
  <si>
    <t>Capital One FSB</t>
  </si>
  <si>
    <t>Crossmark Printing</t>
  </si>
  <si>
    <t>Curriculum Associates LLC</t>
  </si>
  <si>
    <t>Dynamic Literacy</t>
  </si>
  <si>
    <t>Lakeshore Curr Mat Co</t>
  </si>
  <si>
    <t>McGraww-Hill School Education</t>
  </si>
  <si>
    <t>Pearson Education</t>
  </si>
  <si>
    <t>Polar</t>
  </si>
  <si>
    <t>Scholastic Inc</t>
  </si>
  <si>
    <t>Staples Advantage</t>
  </si>
  <si>
    <t>Staples Technology Solutions</t>
  </si>
  <si>
    <t>Wayside Publishing</t>
  </si>
  <si>
    <t>Zaner-Bloser</t>
  </si>
  <si>
    <t>Performance Chemical and Supply</t>
  </si>
  <si>
    <t>BNM Prof Consulting Services</t>
  </si>
  <si>
    <t>Blackboard</t>
  </si>
  <si>
    <t>Bloom Township Treasurers Office</t>
  </si>
  <si>
    <t>Cheryl Axley LLC</t>
  </si>
  <si>
    <t>Cintas Corporation</t>
  </si>
  <si>
    <t>Comcast Cable</t>
  </si>
  <si>
    <t>Del Galdo Law Group</t>
  </si>
  <si>
    <t>E2 Services</t>
  </si>
  <si>
    <t>Embrace Education</t>
  </si>
  <si>
    <t>Encore Rehabilitation Services</t>
  </si>
  <si>
    <t>Frontline Technologies Group</t>
  </si>
  <si>
    <t>GW &amp; Associates</t>
  </si>
  <si>
    <t>Hewlett Packard Financial Services</t>
  </si>
  <si>
    <t>Illinois Counties Risk Management Trust</t>
  </si>
  <si>
    <t>Just a Dash Catering</t>
  </si>
  <si>
    <t>Proven Business Systems</t>
  </si>
  <si>
    <t>Stryke Security</t>
  </si>
  <si>
    <t>The Hanover Insurance Group</t>
  </si>
  <si>
    <t>Zenere Landscapes</t>
  </si>
  <si>
    <t>IASB</t>
  </si>
  <si>
    <t>IDES</t>
  </si>
  <si>
    <t>AT&amp;T</t>
  </si>
  <si>
    <t>Alpha Pest Control</t>
  </si>
  <si>
    <t>Chicago Heights, Water Dept</t>
  </si>
  <si>
    <t>Republic Services</t>
  </si>
  <si>
    <t>Rival5 Technology Corp</t>
  </si>
  <si>
    <t>ComEd</t>
  </si>
  <si>
    <t>Constellation Energy Services</t>
  </si>
  <si>
    <t>Direct Energy Services</t>
  </si>
  <si>
    <t>Discount Fence Company</t>
  </si>
  <si>
    <t>Elmer &amp; Sons Locksmith</t>
  </si>
  <si>
    <t>Helsel Jepperson Electric Co Inc</t>
  </si>
  <si>
    <t>Alpha Baking</t>
  </si>
  <si>
    <t>Certified Laboratories</t>
  </si>
  <si>
    <t>Cloverleaf Farms</t>
  </si>
  <si>
    <t>Gordon Food Service</t>
  </si>
  <si>
    <t>National Food Group</t>
  </si>
  <si>
    <t>Performance Foodservice Chicago</t>
  </si>
  <si>
    <t>Wilkens Foodservice</t>
  </si>
  <si>
    <t>ISBE</t>
  </si>
  <si>
    <t>Calumet City Plumbing Company</t>
  </si>
  <si>
    <t>Digitron Security Systems Inc</t>
  </si>
  <si>
    <t>First Security Systems</t>
  </si>
  <si>
    <t>John Zarlengo Asphalt Paving</t>
  </si>
  <si>
    <t>Ten Services</t>
  </si>
  <si>
    <t>Onsite Communications USA</t>
  </si>
  <si>
    <t>IL Counties Risk Management Trust</t>
  </si>
  <si>
    <t>Bloom Township School Treasurer</t>
  </si>
  <si>
    <t>South Suburban Purchasing Coop</t>
  </si>
  <si>
    <t>SPEED SEJA</t>
  </si>
  <si>
    <t>DLM Bus Line</t>
  </si>
  <si>
    <t>Illinois School Bus</t>
  </si>
  <si>
    <t>Ford Heights District 169</t>
  </si>
  <si>
    <t>Warning Charter Service</t>
  </si>
  <si>
    <t>Abudant Living Christian Center</t>
  </si>
  <si>
    <t>Country Club Hills Tech &amp; Trade Center</t>
  </si>
  <si>
    <t>Flossmoor School District 161</t>
  </si>
  <si>
    <t>Avalon Petroleum Co</t>
  </si>
  <si>
    <t>Santandet Leasing LLC</t>
  </si>
  <si>
    <t xml:space="preserve">Office of Elementary and Secondary Education, US Department of Education/ISBE
</t>
  </si>
  <si>
    <t>Title III - English Language Acquisition</t>
  </si>
  <si>
    <t>Total Title I - Low Income</t>
  </si>
  <si>
    <t>19-4300-00</t>
  </si>
  <si>
    <t>19-4909-00</t>
  </si>
  <si>
    <t>Title I - Low Income (M)</t>
  </si>
  <si>
    <t>Title I - School Improvement &amp; Accountability (M)</t>
  </si>
  <si>
    <t>19-4331-00</t>
  </si>
  <si>
    <t>20-4300-00</t>
  </si>
  <si>
    <t>20-4331-00</t>
  </si>
  <si>
    <t>20-4909-00</t>
  </si>
  <si>
    <t>Total Title I - School Improvement &amp; Accountabiity</t>
  </si>
  <si>
    <t>Total Title III - English Language Acquisition</t>
  </si>
  <si>
    <t>19-4932-00</t>
  </si>
  <si>
    <t>20-4932-00</t>
  </si>
  <si>
    <t>N/A</t>
  </si>
  <si>
    <t>Total Title II - Teacher Quality</t>
  </si>
  <si>
    <t>Total Office of Elementary and Secondary Education, US Department of Education/ISBE</t>
  </si>
  <si>
    <t>Food and Nutrition Service, Department of Agriculture/ISBE</t>
  </si>
  <si>
    <t>National School Lunch Program - Commodities (Child Nutrition Cluster)</t>
  </si>
  <si>
    <t>Total National School Lunch Program - Commodities</t>
  </si>
  <si>
    <t>Total Food and Nutrition Service, Department of Agriculture/ISBE</t>
  </si>
  <si>
    <t>Office of Special Education and Rehabilitative Services, US Department of Education, ISBE</t>
  </si>
  <si>
    <t>Total Office of Special Education and Rehabilitative Services, US Department of Education/ISBE/SPEED</t>
  </si>
  <si>
    <t>US Department of Health and Human Services/IL Department of Healthcare and Family Services</t>
  </si>
  <si>
    <t>Total US Department of Health and Human Services/IL Department of Healthcare and Family Services</t>
  </si>
  <si>
    <t>Total Federal Assistance</t>
  </si>
  <si>
    <t>Cluster Totals:</t>
  </si>
  <si>
    <t>Child Nutrition Cluster</t>
  </si>
  <si>
    <t>Total Child Nutrition Cluster</t>
  </si>
  <si>
    <t>Special Education Cluster</t>
  </si>
  <si>
    <t>Total Special Education Cluster</t>
  </si>
  <si>
    <t>19-4400-00</t>
  </si>
  <si>
    <t>19-4210-00</t>
  </si>
  <si>
    <t>19-4220-00</t>
  </si>
  <si>
    <t>19-4299-00</t>
  </si>
  <si>
    <t>19-4620-00</t>
  </si>
  <si>
    <t>19-4600-00</t>
  </si>
  <si>
    <t>Total IDEA Part B Flow Through</t>
  </si>
  <si>
    <t>Total IDEA Preschool Flow Through</t>
  </si>
  <si>
    <t>FY 2019</t>
  </si>
  <si>
    <t>School Breakfast Program (Child Nutrition Cluster)</t>
  </si>
  <si>
    <t xml:space="preserve">Total School Breakfast Program </t>
  </si>
  <si>
    <t xml:space="preserve">IDEA Part B Flow Through (Special Education Cluster) </t>
  </si>
  <si>
    <t xml:space="preserve">IDEA Preschool Flow Through (Special Education Cluster) </t>
  </si>
  <si>
    <t>Medicaid Cluster</t>
  </si>
  <si>
    <t>Total Medicaid Cluster</t>
  </si>
  <si>
    <t>20-4400-00</t>
  </si>
  <si>
    <t>Total Title IVA-Student Support and Academic Enrichment</t>
  </si>
  <si>
    <t>Title IVA-Student Support and Academic Enrichment</t>
  </si>
  <si>
    <t>National School Lunch Program (Child Nutrition Cluster)</t>
  </si>
  <si>
    <t>20-4210-00</t>
  </si>
  <si>
    <t>Total National School Lunch Program</t>
  </si>
  <si>
    <t>20-4220-00</t>
  </si>
  <si>
    <t>20-4299-00</t>
  </si>
  <si>
    <t>20-4620-00</t>
  </si>
  <si>
    <t>20-4600-00</t>
  </si>
  <si>
    <t>Medicaid Matching Funds - Admin Outreach  FY 2020</t>
  </si>
  <si>
    <t xml:space="preserve">                                                                                                        FY 2019</t>
  </si>
  <si>
    <t>Elementary and Secondary School Emergency Relief Fund</t>
  </si>
  <si>
    <t>None</t>
  </si>
  <si>
    <t>19-4625-00</t>
  </si>
  <si>
    <t>Total ISBE Funding</t>
  </si>
  <si>
    <t>Food and Nutrition Service, Department of Agriculture/Department of Defense</t>
  </si>
  <si>
    <t>Total Food and Nutrition Service, Department of Agriculture/Department of Defense</t>
  </si>
  <si>
    <t>Office of Special Education and Rehabilitative Services, US Department of Education, ISBE/SPEED</t>
  </si>
  <si>
    <t>Commodities (Child Nutrition Cluster) FY2020</t>
  </si>
  <si>
    <t>FY2019</t>
  </si>
  <si>
    <t>FY 2020</t>
  </si>
  <si>
    <t>Less: Commodities (Already posted to NSLP line item)</t>
  </si>
  <si>
    <t>Less: Qualified School Construction Bonds</t>
  </si>
  <si>
    <t>Unmodified</t>
  </si>
  <si>
    <t>Title I</t>
  </si>
  <si>
    <t>IDEA</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</si>
  <si>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</si>
  <si>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  Additionally, management should implement controls surrounding the proper reporting of items that have been historically recorded through adjusting journal entries proposed by the auditors.</t>
  </si>
  <si>
    <t>While select District management personnel fully understand the District's financial statements and related footnotes, they do not necessarily stay current with all the new accounting pronouncements that could impact the District's financial statement reporting. Additionally, proper reporting of transactions in the general ledger is essential to the financial reporting process.</t>
  </si>
  <si>
    <t>GWA made entries to adjust balances as of year-end to be reported in the financial statements.  Entries included the determination of TRS/THIS on-behalf payments, food commodities received by the District, reclass of Medicaid Administrative Outreach revenues, and the reclassification of expenditures, among others.</t>
  </si>
  <si>
    <t>The District will re-evaluate the situation.  See Corrective Action Plan for further information.</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</si>
  <si>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signficiant deficiency or a material weakness.</t>
  </si>
  <si>
    <t>While the District properly accounts for federal revenues and associated expenditures in separate, identifiable accounts, the District did not prepare a SEFA.</t>
  </si>
  <si>
    <t>The Uniform Guidance indicates that management is responsible for preparing the Schedule of Expenditures of Federal Awards ("SEFA") to detail all federal revenues received and associated expenses paid during the fiscal year. The inability to do so would be considered a control deficiency.</t>
  </si>
  <si>
    <t>We recommend the District evaluate the situation and consider preparing the SEFA to ensure accurate financial reporting associated with the Federal expenditures related to grants.</t>
  </si>
  <si>
    <t>Since the auditors prepare the SEFA on behalf of the District rather than District personnel responsible for the federal programs, the risk is higher that a program could be omitted from the schedule or amounts associated with various progams could be misstated.</t>
  </si>
  <si>
    <t>The District agrees and will evaluate the situation.  See Corrective Action Plan for more information.</t>
  </si>
  <si>
    <t>2019-001</t>
  </si>
  <si>
    <t>While the District properly accounts for federal
revenues and associated expenditures in 
separate, identifiable accounts, the District did
not prepare a SEFA.</t>
  </si>
  <si>
    <t>While select District management personnel fully 
understand the District's financial statements and
related footnotes, they do not necessarily stay 
current with all the new accounting 
pronouncements that could impact the District's
financial reporting.</t>
  </si>
  <si>
    <t>The District has evaluated the situation and believes that it is not cost effective at this time.  This finding
is repeated as 2019-002</t>
  </si>
  <si>
    <t>2019-002</t>
  </si>
  <si>
    <t>The District has not completed the SEFA for fiscal year 2020.  This finding is repeated as 2020-002.</t>
  </si>
  <si>
    <t>2019-003</t>
  </si>
  <si>
    <t>Controls implemented to approve and support purchases made by the District are to be applied consistently, whether such purchases are utimately made by check or credit card</t>
  </si>
  <si>
    <t>2019-004</t>
  </si>
  <si>
    <t>The bank reconciliations for the Imprest and Actitvity accounts should be reconciled so that the reconciled book balances and general ledger account balances match one another</t>
  </si>
  <si>
    <t>Purchasing policies and procedures have been implemented.  No exceptions were noted in current year testing.  The finding is not repeated.</t>
  </si>
  <si>
    <t>Reconciliations for the Imprest and Activity accounts have been implementd.  No exceptions were noted in current year testing .  The finding is not repeated.</t>
  </si>
  <si>
    <t>23. Auditor's Report expressed a qualified opinion on the Regulatory Basis of reporting required by ISBE because of the omission of GASB 75 disclosures</t>
  </si>
  <si>
    <t>GW &amp; Associates, P.C.</t>
  </si>
  <si>
    <t>x</t>
  </si>
  <si>
    <t>IDEA - Room &amp; Board (Special Education Cluster) (M)</t>
  </si>
  <si>
    <r>
      <t xml:space="preserve">The accompanying Schedule of Expenditures of Federal Awards includes the federal grant activity of </t>
    </r>
    <r>
      <rPr>
        <b/>
        <sz val="9"/>
        <rFont val="Calibri"/>
        <family val="2"/>
        <scheme val="minor"/>
      </rPr>
      <t>Chicago Heights School District 170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t>
    </r>
    <r>
      <rPr>
        <b/>
        <sz val="9"/>
        <rFont val="Calibri"/>
        <family val="2"/>
        <scheme val="minor"/>
      </rPr>
      <t>c</t>
    </r>
    <r>
      <rPr>
        <sz val="9"/>
        <rFont val="Calibri"/>
        <family val="2"/>
        <scheme val="minor"/>
      </rPr>
      <t xml:space="preserve"> financial statements.</t>
    </r>
  </si>
  <si>
    <t>See PDF in Opinion Page</t>
  </si>
  <si>
    <t xml:space="preserve"> Chicago Heights 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</si>
</sst>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3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31"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60" fillId="0" borderId="126" xfId="3" applyNumberFormat="1" applyFont="1" applyBorder="1" applyAlignment="1">
      <alignment vertical="center"/>
    </xf>
    <xf numFmtId="0" fontId="7" fillId="0" borderId="0" xfId="19" applyFont="1" applyAlignment="1">
      <alignment horizontal="left" vertical="center"/>
    </xf>
    <xf numFmtId="0" fontId="6" fillId="0" borderId="155" xfId="19" applyFont="1" applyBorder="1" applyAlignment="1" applyProtection="1">
      <alignment horizontal="left" vertical="top" wrapText="1"/>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6" xfId="3" applyNumberFormat="1" applyFont="1" applyFill="1" applyBorder="1" applyAlignment="1">
      <alignment vertical="center"/>
    </xf>
    <xf numFmtId="0" fontId="60" fillId="22" borderId="124" xfId="3" applyNumberFormat="1" applyFont="1" applyFill="1" applyBorder="1" applyAlignment="1">
      <alignment vertical="center"/>
    </xf>
    <xf numFmtId="0" fontId="60" fillId="0" borderId="123"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5" xfId="3" applyNumberFormat="1" applyFont="1" applyBorder="1" applyAlignment="1">
      <alignment horizontal="center" vertical="center" wrapText="1"/>
    </xf>
    <xf numFmtId="0" fontId="68" fillId="0" borderId="125" xfId="20" applyNumberFormat="1" applyFont="1" applyBorder="1" applyAlignment="1">
      <alignment horizontal="center" vertical="center" wrapText="1"/>
    </xf>
    <xf numFmtId="0" fontId="68" fillId="0" borderId="125"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5" xfId="3" applyNumberFormat="1" applyFont="1" applyFill="1" applyBorder="1" applyAlignment="1">
      <alignment vertical="center" shrinkToFit="1"/>
    </xf>
    <xf numFmtId="9" fontId="60" fillId="16" borderId="125"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31"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31"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7" xfId="20" applyFont="1" applyBorder="1" applyAlignment="1">
      <alignment horizontal="center" wrapText="1"/>
    </xf>
    <xf numFmtId="0" fontId="60" fillId="0" borderId="169" xfId="20" applyFont="1" applyBorder="1" applyAlignment="1">
      <alignment horizontal="center"/>
    </xf>
    <xf numFmtId="0" fontId="60" fillId="0" borderId="174"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8"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72" xfId="20" applyNumberFormat="1" applyFont="1" applyFill="1" applyBorder="1" applyAlignment="1">
      <alignment horizontal="center" wrapText="1"/>
    </xf>
    <xf numFmtId="38" fontId="68" fillId="16" borderId="170" xfId="20" applyNumberFormat="1" applyFont="1" applyFill="1" applyBorder="1" applyAlignment="1">
      <alignment horizontal="center"/>
    </xf>
    <xf numFmtId="38" fontId="68" fillId="16" borderId="175" xfId="20" applyNumberFormat="1" applyFont="1" applyFill="1" applyBorder="1" applyAlignment="1">
      <alignment horizontal="center"/>
    </xf>
    <xf numFmtId="38" fontId="68" fillId="16" borderId="179" xfId="20" applyNumberFormat="1" applyFont="1" applyFill="1" applyBorder="1" applyAlignment="1">
      <alignment horizontal="center"/>
    </xf>
    <xf numFmtId="0" fontId="60" fillId="0" borderId="181" xfId="3" applyNumberFormat="1" applyFont="1" applyBorder="1" applyAlignment="1">
      <alignment vertical="center"/>
    </xf>
    <xf numFmtId="0" fontId="60" fillId="0" borderId="164" xfId="3" applyNumberFormat="1" applyFont="1" applyBorder="1" applyAlignment="1">
      <alignment vertical="center"/>
    </xf>
    <xf numFmtId="0" fontId="60" fillId="0" borderId="165" xfId="3" applyNumberFormat="1" applyFont="1" applyBorder="1" applyAlignment="1">
      <alignment vertical="center"/>
    </xf>
    <xf numFmtId="0" fontId="60" fillId="0" borderId="182" xfId="20" applyFont="1" applyBorder="1"/>
    <xf numFmtId="0" fontId="60" fillId="0" borderId="0" xfId="20" applyFont="1" applyBorder="1"/>
    <xf numFmtId="0" fontId="60" fillId="0" borderId="183" xfId="20" applyFont="1" applyBorder="1"/>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38" fontId="68" fillId="16" borderId="167" xfId="20" applyNumberFormat="1" applyFont="1" applyFill="1" applyBorder="1" applyAlignment="1">
      <alignment horizontal="center"/>
    </xf>
    <xf numFmtId="0" fontId="103" fillId="0" borderId="182" xfId="20" applyFont="1" applyBorder="1"/>
    <xf numFmtId="0" fontId="103" fillId="0" borderId="0" xfId="20" applyFont="1" applyBorder="1"/>
    <xf numFmtId="0" fontId="103" fillId="0" borderId="183" xfId="20" applyFont="1" applyBorder="1"/>
    <xf numFmtId="0" fontId="103" fillId="0" borderId="187" xfId="20" applyFont="1" applyBorder="1"/>
    <xf numFmtId="0" fontId="103" fillId="0" borderId="188" xfId="20" applyFont="1" applyBorder="1"/>
    <xf numFmtId="0" fontId="103" fillId="0" borderId="189" xfId="20" applyFont="1" applyBorder="1"/>
    <xf numFmtId="0" fontId="68" fillId="0" borderId="164" xfId="3" applyNumberFormat="1" applyFont="1" applyBorder="1" applyAlignment="1">
      <alignment horizontal="center" vertical="center"/>
    </xf>
    <xf numFmtId="0" fontId="68" fillId="0" borderId="164" xfId="3" applyNumberFormat="1" applyFont="1" applyBorder="1" applyAlignment="1">
      <alignment horizontal="left" vertical="center"/>
    </xf>
    <xf numFmtId="0" fontId="60" fillId="0" borderId="182" xfId="3" applyNumberFormat="1" applyFont="1" applyBorder="1" applyAlignment="1">
      <alignment vertical="center"/>
    </xf>
    <xf numFmtId="0" fontId="60" fillId="0" borderId="183" xfId="3" applyNumberFormat="1" applyFont="1" applyBorder="1" applyAlignment="1">
      <alignment vertical="center"/>
    </xf>
    <xf numFmtId="0" fontId="68" fillId="22" borderId="190" xfId="3" applyNumberFormat="1" applyFont="1" applyFill="1" applyBorder="1" applyAlignment="1">
      <alignment horizontal="left"/>
    </xf>
    <xf numFmtId="0" fontId="60" fillId="22" borderId="191" xfId="3" applyNumberFormat="1" applyFont="1" applyFill="1" applyBorder="1" applyAlignment="1">
      <alignment vertical="center"/>
    </xf>
    <xf numFmtId="0" fontId="60" fillId="0" borderId="190" xfId="3" applyNumberFormat="1" applyFont="1" applyBorder="1" applyAlignment="1">
      <alignment vertical="center"/>
    </xf>
    <xf numFmtId="0" fontId="60" fillId="0" borderId="182" xfId="3" applyNumberFormat="1" applyFont="1" applyFill="1" applyBorder="1" applyAlignment="1">
      <alignment vertical="center"/>
    </xf>
    <xf numFmtId="164" fontId="68" fillId="0" borderId="192" xfId="3" applyNumberFormat="1" applyFont="1" applyBorder="1" applyAlignment="1">
      <alignment horizontal="right" vertical="center"/>
    </xf>
    <xf numFmtId="164" fontId="68" fillId="0" borderId="192" xfId="3" applyNumberFormat="1" applyFont="1" applyBorder="1" applyAlignment="1">
      <alignment vertical="top"/>
    </xf>
    <xf numFmtId="0" fontId="60" fillId="0" borderId="182"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82" xfId="3" applyNumberFormat="1" applyFont="1" applyBorder="1" applyAlignment="1">
      <alignment vertical="center"/>
    </xf>
    <xf numFmtId="0" fontId="60" fillId="0" borderId="182"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82"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7" xfId="3" applyNumberFormat="1" applyFont="1" applyBorder="1" applyAlignment="1">
      <alignment vertical="center"/>
    </xf>
    <xf numFmtId="0" fontId="60" fillId="0" borderId="188" xfId="3" applyNumberFormat="1" applyFont="1" applyBorder="1" applyAlignment="1">
      <alignment vertical="center"/>
    </xf>
    <xf numFmtId="0" fontId="60" fillId="0" borderId="189" xfId="3" applyNumberFormat="1" applyFont="1" applyBorder="1" applyAlignment="1">
      <alignment vertical="center"/>
    </xf>
    <xf numFmtId="0" fontId="102" fillId="0" borderId="182" xfId="20" applyFont="1" applyBorder="1"/>
    <xf numFmtId="0" fontId="91" fillId="0" borderId="0" xfId="20" applyFont="1" applyBorder="1"/>
    <xf numFmtId="0" fontId="102" fillId="0" borderId="0" xfId="20" applyFont="1" applyBorder="1" applyAlignment="1">
      <alignment wrapText="1"/>
    </xf>
    <xf numFmtId="0" fontId="102" fillId="0" borderId="183" xfId="20" applyFont="1" applyBorder="1" applyAlignment="1">
      <alignment wrapText="1"/>
    </xf>
    <xf numFmtId="0" fontId="54" fillId="0" borderId="0" xfId="20" applyFont="1"/>
    <xf numFmtId="0" fontId="145" fillId="0" borderId="182" xfId="20" applyFont="1" applyBorder="1" applyAlignment="1"/>
    <xf numFmtId="38" fontId="60" fillId="0" borderId="171" xfId="20" applyNumberFormat="1" applyFont="1" applyBorder="1" applyAlignment="1" applyProtection="1">
      <alignment horizontal="center"/>
      <protection locked="0"/>
    </xf>
    <xf numFmtId="38" fontId="60" fillId="0" borderId="169"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38" fontId="60" fillId="0" borderId="180" xfId="20" applyNumberFormat="1" applyFont="1" applyBorder="1" applyAlignment="1" applyProtection="1">
      <alignment horizontal="center"/>
      <protection locked="0"/>
    </xf>
    <xf numFmtId="38" fontId="60" fillId="0" borderId="178" xfId="20" applyNumberFormat="1" applyFont="1" applyBorder="1" applyAlignment="1" applyProtection="1">
      <alignment horizontal="center"/>
      <protection locked="0"/>
    </xf>
    <xf numFmtId="0" fontId="4" fillId="0" borderId="155" xfId="19" applyFont="1" applyBorder="1" applyAlignment="1" applyProtection="1">
      <alignment vertical="top"/>
      <protection locked="0"/>
    </xf>
    <xf numFmtId="38" fontId="4" fillId="0" borderId="155" xfId="19" applyNumberFormat="1" applyFont="1" applyBorder="1" applyAlignment="1" applyProtection="1">
      <alignment horizontal="right" vertical="top"/>
      <protection locked="0"/>
    </xf>
    <xf numFmtId="0" fontId="3" fillId="0" borderId="155" xfId="19" applyFont="1" applyBorder="1" applyAlignment="1" applyProtection="1">
      <alignment vertical="top"/>
      <protection locked="0"/>
    </xf>
    <xf numFmtId="3" fontId="65" fillId="0" borderId="22" xfId="3" applyNumberFormat="1" applyFont="1" applyFill="1" applyBorder="1" applyAlignment="1" applyProtection="1">
      <alignment horizontal="left" vertical="center" wrapText="1"/>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0" fontId="60" fillId="0" borderId="0" xfId="3" applyFont="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0" fontId="57" fillId="0" borderId="0" xfId="3" applyFont="1" applyAlignment="1" applyProtection="1">
      <alignment horizontal="center" vertical="center"/>
    </xf>
    <xf numFmtId="3" fontId="65" fillId="0" borderId="22" xfId="3" applyNumberFormat="1" applyFont="1" applyFill="1" applyBorder="1" applyAlignment="1" applyProtection="1">
      <alignment horizontal="center" shrinkToFit="1"/>
      <protection locked="0"/>
    </xf>
    <xf numFmtId="0" fontId="60" fillId="0" borderId="0" xfId="3" applyFont="1" applyBorder="1" applyAlignment="1" applyProtection="1">
      <alignment vertical="top" wrapText="1"/>
      <protection locked="0"/>
    </xf>
    <xf numFmtId="0" fontId="60" fillId="0" borderId="0" xfId="3" applyFont="1" applyAlignment="1" applyProtection="1">
      <alignment wrapText="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83" fillId="0" borderId="131" xfId="3" applyNumberFormat="1" applyFont="1" applyBorder="1" applyAlignment="1">
      <alignment horizontal="center"/>
    </xf>
    <xf numFmtId="0" fontId="60" fillId="0" borderId="126" xfId="3" applyNumberFormat="1" applyFont="1" applyBorder="1" applyAlignment="1">
      <alignment horizontal="left" vertical="center" indent="1"/>
    </xf>
    <xf numFmtId="0" fontId="60" fillId="0" borderId="126" xfId="3" applyNumberFormat="1" applyFont="1" applyBorder="1" applyAlignment="1">
      <alignment horizontal="left" vertical="center"/>
    </xf>
    <xf numFmtId="0" fontId="60" fillId="22" borderId="182"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91" xfId="3" applyNumberFormat="1"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32" xfId="3" applyNumberFormat="1"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NumberFormat="1" applyFont="1" applyBorder="1" applyAlignment="1" applyProtection="1">
      <alignment horizontal="center"/>
      <protection locked="0"/>
    </xf>
    <xf numFmtId="0" fontId="60" fillId="0" borderId="173" xfId="20" applyFont="1" applyBorder="1" applyAlignment="1">
      <alignment wrapText="1"/>
    </xf>
    <xf numFmtId="0" fontId="60" fillId="0" borderId="174"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3" xfId="20" applyFont="1" applyBorder="1" applyAlignment="1">
      <alignment horizontal="center"/>
    </xf>
    <xf numFmtId="0" fontId="144" fillId="0" borderId="194" xfId="20" applyFont="1" applyBorder="1" applyAlignment="1">
      <alignment horizontal="center"/>
    </xf>
    <xf numFmtId="0" fontId="144" fillId="0" borderId="195" xfId="20" applyFont="1" applyBorder="1" applyAlignment="1">
      <alignment horizontal="center"/>
    </xf>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0" fontId="60" fillId="0" borderId="184" xfId="3" applyNumberFormat="1" applyFont="1" applyBorder="1" applyAlignment="1">
      <alignment horizontal="left" vertical="center"/>
    </xf>
    <xf numFmtId="166" fontId="60" fillId="0" borderId="185" xfId="3" applyNumberFormat="1" applyFont="1" applyBorder="1" applyAlignment="1">
      <alignment horizontal="left" vertical="center" indent="1"/>
    </xf>
    <xf numFmtId="0" fontId="60" fillId="26" borderId="186" xfId="20" applyFont="1" applyFill="1" applyBorder="1"/>
    <xf numFmtId="0" fontId="60" fillId="26" borderId="77" xfId="20" applyFont="1" applyFill="1" applyBorder="1"/>
    <xf numFmtId="0" fontId="68" fillId="0" borderId="164" xfId="20" applyFont="1" applyBorder="1" applyAlignment="1">
      <alignment horizontal="center" wrapText="1"/>
    </xf>
    <xf numFmtId="0" fontId="68" fillId="0" borderId="165" xfId="20" applyFont="1" applyBorder="1" applyAlignment="1">
      <alignment horizontal="center" wrapText="1"/>
    </xf>
    <xf numFmtId="0" fontId="104" fillId="0" borderId="166"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8" xfId="20" applyFont="1" applyBorder="1" applyAlignment="1"/>
    <xf numFmtId="0" fontId="60" fillId="0" borderId="169" xfId="20" applyFont="1" applyBorder="1" applyAlignment="1"/>
    <xf numFmtId="0" fontId="60" fillId="0" borderId="173" xfId="20" applyFont="1" applyBorder="1" applyAlignment="1"/>
    <xf numFmtId="0" fontId="60" fillId="0" borderId="174" xfId="20" applyFont="1" applyBorder="1" applyAlignment="1"/>
    <xf numFmtId="0" fontId="60" fillId="0" borderId="177" xfId="20" applyFont="1" applyBorder="1" applyAlignment="1"/>
    <xf numFmtId="0" fontId="60" fillId="0" borderId="178" xfId="20" applyFont="1" applyBorder="1" applyAlignment="1"/>
    <xf numFmtId="0" fontId="68" fillId="0" borderId="186" xfId="20" applyFont="1" applyBorder="1" applyAlignment="1"/>
    <xf numFmtId="0" fontId="68" fillId="0" borderId="77" xfId="20" applyFont="1" applyBorder="1" applyAlignment="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8" fillId="0" borderId="0" xfId="3" quotePrefix="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13" fillId="0" borderId="0" xfId="3" applyBorder="1" applyAlignment="1" applyProtection="1">
      <alignment horizontal="left" vertical="top" wrapText="1"/>
      <protection locked="0"/>
    </xf>
    <xf numFmtId="0" fontId="13" fillId="0" borderId="0" xfId="3" applyAlignment="1" applyProtection="1">
      <alignment horizontal="left" vertical="top" wrapText="1"/>
      <protection locked="0"/>
    </xf>
    <xf numFmtId="0" fontId="13" fillId="0" borderId="0" xfId="3" applyFont="1" applyFill="1" applyBorder="1" applyAlignment="1" applyProtection="1">
      <alignment horizontal="left" vertical="top" wrapText="1"/>
      <protection locked="0"/>
    </xf>
    <xf numFmtId="0" fontId="13" fillId="0" borderId="0" xfId="3" applyFill="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0" fontId="60" fillId="0" borderId="0" xfId="3" applyFont="1" applyAlignment="1" applyProtection="1">
      <alignment horizontal="left" vertical="top" wrapText="1"/>
      <protection locked="0"/>
    </xf>
    <xf numFmtId="8" fontId="13" fillId="0" borderId="0" xfId="3" applyNumberFormat="1" applyAlignment="1" applyProtection="1">
      <alignment horizontal="left" vertical="top" wrapText="1"/>
      <protection locked="0"/>
    </xf>
    <xf numFmtId="0" fontId="13" fillId="0" borderId="0" xfId="3" applyAlignment="1" applyProtection="1">
      <alignment horizontal="left"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xr:uid="{00000000-0005-0000-0000-000002000000}"/>
    <cellStyle name="Normal" xfId="0" builtinId="0"/>
    <cellStyle name="Normal 10" xfId="21" xr:uid="{00000000-0005-0000-0000-00000400000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_Itemization 33" xfId="22" xr:uid="{00000000-0005-0000-0000-000009000000}"/>
    <cellStyle name="Normal 3_Itemization 33" xfId="23" xr:uid="{00000000-0005-0000-0000-00000A000000}"/>
    <cellStyle name="Normal 4" xfId="16" xr:uid="{00000000-0005-0000-0000-00000B000000}"/>
    <cellStyle name="Normal 5" xfId="17" xr:uid="{00000000-0005-0000-0000-00000C000000}"/>
    <cellStyle name="Normal 5 2" xfId="19" xr:uid="{00000000-0005-0000-0000-00000D000000}"/>
    <cellStyle name="Normal 5_SEFA" xfId="24" xr:uid="{00000000-0005-0000-0000-00000E000000}"/>
    <cellStyle name="Normal 6" xfId="20" xr:uid="{00000000-0005-0000-0000-00000F000000}"/>
    <cellStyle name="Normal 7" xfId="25" xr:uid="{00000000-0005-0000-0000-000010000000}"/>
    <cellStyle name="Normal 8" xfId="26" xr:uid="{00000000-0005-0000-0000-000011000000}"/>
    <cellStyle name="Normal 9" xfId="27"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xdr:row>
          <xdr:rowOff>152400</xdr:rowOff>
        </xdr:from>
        <xdr:to>
          <xdr:col>1</xdr:col>
          <xdr:colOff>885825</xdr:colOff>
          <xdr:row>8</xdr:row>
          <xdr:rowOff>66675</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4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4</xdr:row>
          <xdr:rowOff>0</xdr:rowOff>
        </xdr:from>
        <xdr:to>
          <xdr:col>1</xdr:col>
          <xdr:colOff>2095500</xdr:colOff>
          <xdr:row>8</xdr:row>
          <xdr:rowOff>38100</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400-000003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0</xdr:row>
          <xdr:rowOff>0</xdr:rowOff>
        </xdr:from>
        <xdr:to>
          <xdr:col>1</xdr:col>
          <xdr:colOff>3105150</xdr:colOff>
          <xdr:row>4</xdr:row>
          <xdr:rowOff>38100</xdr:rowOff>
        </xdr:to>
        <xdr:sp macro="" textlink="">
          <xdr:nvSpPr>
            <xdr:cNvPr id="58372" name="Object 4" hidden="1">
              <a:extLst>
                <a:ext uri="{63B3BB69-23CF-44E3-9099-C40C66FF867C}">
                  <a14:compatExt spid="_x0000_s58372"/>
                </a:ext>
                <a:ext uri="{FF2B5EF4-FFF2-40B4-BE49-F238E27FC236}">
                  <a16:creationId xmlns:a16="http://schemas.microsoft.com/office/drawing/2014/main" id="{00000000-0008-0000-1400-000004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5</xdr:row>
          <xdr:rowOff>142875</xdr:rowOff>
        </xdr:from>
        <xdr:to>
          <xdr:col>1</xdr:col>
          <xdr:colOff>3200400</xdr:colOff>
          <xdr:row>10</xdr:row>
          <xdr:rowOff>19050</xdr:rowOff>
        </xdr:to>
        <xdr:sp macro="" textlink="">
          <xdr:nvSpPr>
            <xdr:cNvPr id="58373" name="Object 5" hidden="1">
              <a:extLst>
                <a:ext uri="{63B3BB69-23CF-44E3-9099-C40C66FF867C}">
                  <a14:compatExt spid="_x0000_s58373"/>
                </a:ext>
                <a:ext uri="{FF2B5EF4-FFF2-40B4-BE49-F238E27FC236}">
                  <a16:creationId xmlns:a16="http://schemas.microsoft.com/office/drawing/2014/main" id="{00000000-0008-0000-1400-000005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76200</xdr:colOff>
      <xdr:row>23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21</xdr:row>
      <xdr:rowOff>0</xdr:rowOff>
    </xdr:from>
    <xdr:to>
      <xdr:col>2</xdr:col>
      <xdr:colOff>0</xdr:colOff>
      <xdr:row>21</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7">
        <f>+'AFR20'!E4</f>
        <v>44119</v>
      </c>
      <c r="C1" s="2047"/>
      <c r="D1" s="2048"/>
      <c r="I1" s="2126" t="s">
        <v>402</v>
      </c>
      <c r="J1" s="2127"/>
      <c r="K1" s="2127"/>
      <c r="L1" s="2127"/>
      <c r="M1" s="2127"/>
      <c r="N1" s="2127"/>
      <c r="O1" s="2127"/>
      <c r="P1" s="2127"/>
      <c r="Q1" s="2127"/>
      <c r="R1" s="2127"/>
      <c r="S1" s="2127"/>
    </row>
    <row r="2" spans="1:32" ht="12" customHeight="1" x14ac:dyDescent="0.2">
      <c r="A2" s="1831" t="str">
        <f>"Due to ISBE on "</f>
        <v xml:space="preserve">Due to ISBE on </v>
      </c>
      <c r="B2" s="2049">
        <f>+'AFR20'!F4</f>
        <v>44151</v>
      </c>
      <c r="C2" s="2049"/>
      <c r="D2" s="2050"/>
      <c r="I2" s="2128" t="s">
        <v>2002</v>
      </c>
      <c r="J2" s="2127"/>
      <c r="K2" s="2127"/>
      <c r="L2" s="2127"/>
      <c r="M2" s="2127"/>
      <c r="N2" s="2127"/>
      <c r="O2" s="2127"/>
      <c r="P2" s="2127"/>
      <c r="Q2" s="2127"/>
      <c r="R2" s="2127"/>
      <c r="S2" s="2127"/>
    </row>
    <row r="3" spans="1:32" ht="12" customHeight="1" x14ac:dyDescent="0.2">
      <c r="A3" s="1834"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2050</v>
      </c>
      <c r="C5" s="26" t="s">
        <v>904</v>
      </c>
      <c r="D5" s="81"/>
      <c r="E5" s="81"/>
      <c r="H5" s="38"/>
      <c r="I5" s="2135" t="s">
        <v>675</v>
      </c>
      <c r="J5" s="2080"/>
      <c r="K5" s="2080"/>
      <c r="L5" s="2080"/>
      <c r="M5" s="2080"/>
      <c r="N5" s="2080"/>
      <c r="O5" s="2080"/>
      <c r="P5" s="2080"/>
      <c r="Q5" s="2080"/>
      <c r="R5" s="2080"/>
      <c r="S5" s="2080"/>
      <c r="AF5" s="1827"/>
    </row>
    <row r="6" spans="1:32" ht="14.1" customHeight="1" x14ac:dyDescent="0.2">
      <c r="B6" s="101"/>
      <c r="C6" s="26" t="s">
        <v>905</v>
      </c>
      <c r="D6" s="81"/>
      <c r="E6" s="81"/>
      <c r="I6" s="2134" t="s">
        <v>877</v>
      </c>
      <c r="J6" s="2080"/>
      <c r="K6" s="2080"/>
      <c r="L6" s="2080"/>
      <c r="M6" s="2080"/>
      <c r="N6" s="2080"/>
      <c r="O6" s="2080"/>
      <c r="P6" s="2080"/>
      <c r="Q6" s="2080"/>
      <c r="R6" s="2080"/>
      <c r="S6" s="2080"/>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076" t="s">
        <v>530</v>
      </c>
      <c r="U9" s="2077"/>
      <c r="V9" s="2077"/>
      <c r="W9" s="2077"/>
      <c r="X9" s="2077"/>
      <c r="Y9" s="2077"/>
      <c r="Z9" s="2077"/>
      <c r="AA9" s="2078"/>
    </row>
    <row r="10" spans="1:32" ht="13.5" customHeight="1" x14ac:dyDescent="0.2">
      <c r="A10" s="2085" t="s">
        <v>670</v>
      </c>
      <c r="B10" s="2086"/>
      <c r="C10" s="2086"/>
      <c r="D10" s="2086"/>
      <c r="E10" s="2086"/>
      <c r="F10" s="2086"/>
      <c r="G10" s="2086"/>
      <c r="H10" s="2087"/>
      <c r="I10" s="29"/>
      <c r="J10" s="30"/>
      <c r="K10" s="28"/>
      <c r="R10" s="30"/>
      <c r="S10" s="30"/>
      <c r="T10" s="2079"/>
      <c r="U10" s="2080"/>
      <c r="V10" s="2080"/>
      <c r="W10" s="2080"/>
      <c r="X10" s="2080"/>
      <c r="Y10" s="2080"/>
      <c r="Z10" s="2080"/>
      <c r="AA10" s="2081"/>
    </row>
    <row r="11" spans="1:32" ht="14.25" customHeight="1" x14ac:dyDescent="0.2">
      <c r="A11" s="2088" t="s">
        <v>949</v>
      </c>
      <c r="B11" s="2089"/>
      <c r="C11" s="2089"/>
      <c r="D11" s="2089"/>
      <c r="E11" s="2089"/>
      <c r="F11" s="2089"/>
      <c r="G11" s="2089"/>
      <c r="H11" s="2090"/>
      <c r="I11" s="27"/>
      <c r="J11" s="71"/>
      <c r="K11" s="27"/>
      <c r="O11" s="144" t="s">
        <v>2050</v>
      </c>
      <c r="P11" s="97" t="s">
        <v>199</v>
      </c>
      <c r="Q11" s="30"/>
      <c r="R11" s="28"/>
      <c r="S11" s="27"/>
      <c r="T11" s="2082"/>
      <c r="U11" s="2083"/>
      <c r="V11" s="2083"/>
      <c r="W11" s="2083"/>
      <c r="X11" s="2083"/>
      <c r="Y11" s="2083"/>
      <c r="Z11" s="2083"/>
      <c r="AA11" s="208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6">
        <v>7016170002</v>
      </c>
      <c r="B13" s="2097"/>
      <c r="C13" s="2097"/>
      <c r="D13" s="2097"/>
      <c r="E13" s="2097"/>
      <c r="F13" s="2097"/>
      <c r="G13" s="2097"/>
      <c r="H13" s="2098"/>
      <c r="I13" s="31"/>
      <c r="J13" s="30"/>
      <c r="K13" s="28"/>
      <c r="L13" s="30"/>
      <c r="M13" s="30"/>
      <c r="N13" s="30"/>
      <c r="O13" s="30"/>
      <c r="P13" s="30"/>
      <c r="Q13" s="30"/>
      <c r="R13" s="30"/>
      <c r="S13" s="30"/>
      <c r="T13" s="2101" t="s">
        <v>2051</v>
      </c>
      <c r="U13" s="2102"/>
      <c r="V13" s="2102"/>
      <c r="W13" s="2102"/>
      <c r="X13" s="2102"/>
      <c r="Y13" s="2103"/>
      <c r="Z13" s="2103"/>
      <c r="AA13" s="210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4" t="s">
        <v>2059</v>
      </c>
      <c r="B15" s="2099"/>
      <c r="C15" s="2099"/>
      <c r="D15" s="2099"/>
      <c r="E15" s="2099"/>
      <c r="F15" s="2099"/>
      <c r="G15" s="2099"/>
      <c r="H15" s="2100"/>
      <c r="T15" s="2062" t="s">
        <v>2052</v>
      </c>
      <c r="U15" s="2063"/>
      <c r="V15" s="2063"/>
      <c r="W15" s="2063"/>
      <c r="X15" s="2063"/>
      <c r="Y15" s="2105"/>
      <c r="Z15" s="2105"/>
      <c r="AA15" s="210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4" t="s">
        <v>2257</v>
      </c>
      <c r="B17" s="2124"/>
      <c r="C17" s="2124"/>
      <c r="D17" s="2124"/>
      <c r="E17" s="2124"/>
      <c r="F17" s="2124"/>
      <c r="G17" s="2124"/>
      <c r="H17" s="2125"/>
      <c r="T17" s="2111" t="s">
        <v>2054</v>
      </c>
      <c r="U17" s="2112"/>
      <c r="V17" s="2112"/>
      <c r="W17" s="2112"/>
      <c r="X17" s="2112"/>
      <c r="Y17" s="2112"/>
      <c r="Z17" s="2112"/>
      <c r="AA17" s="2113"/>
    </row>
    <row r="18" spans="1:27" ht="13.5" customHeight="1" x14ac:dyDescent="0.2">
      <c r="A18" s="82" t="s">
        <v>527</v>
      </c>
      <c r="B18" s="73"/>
      <c r="C18" s="69"/>
      <c r="D18" s="73"/>
      <c r="E18" s="73"/>
      <c r="F18" s="73"/>
      <c r="G18" s="73"/>
      <c r="H18" s="53"/>
      <c r="I18" s="2121" t="s">
        <v>671</v>
      </c>
      <c r="J18" s="2122"/>
      <c r="K18" s="2122"/>
      <c r="L18" s="2122"/>
      <c r="M18" s="2122"/>
      <c r="N18" s="2122"/>
      <c r="O18" s="2122"/>
      <c r="P18" s="2122"/>
      <c r="Q18" s="2122"/>
      <c r="R18" s="2122"/>
      <c r="S18" s="2123"/>
      <c r="T18" s="82" t="s">
        <v>706</v>
      </c>
      <c r="U18" s="48"/>
      <c r="V18" s="69"/>
      <c r="W18" s="47"/>
      <c r="X18" s="82" t="s">
        <v>264</v>
      </c>
      <c r="Y18" s="78"/>
      <c r="Z18" s="154" t="s">
        <v>672</v>
      </c>
      <c r="AA18" s="44"/>
    </row>
    <row r="19" spans="1:27" ht="13.5" customHeight="1" x14ac:dyDescent="0.2">
      <c r="A19" s="2094" t="s">
        <v>2060</v>
      </c>
      <c r="B19" s="2095"/>
      <c r="C19" s="2095"/>
      <c r="D19" s="2095"/>
      <c r="E19" s="2095"/>
      <c r="F19" s="2095"/>
      <c r="G19" s="2095"/>
      <c r="H19" s="2093"/>
      <c r="I19" s="30"/>
      <c r="J19" s="96"/>
      <c r="K19" s="40"/>
      <c r="L19" s="38"/>
      <c r="M19" s="109" t="s">
        <v>312</v>
      </c>
      <c r="P19" s="27"/>
      <c r="Q19" s="27"/>
      <c r="R19" s="27"/>
      <c r="S19" s="31"/>
      <c r="T19" s="2094" t="s">
        <v>2053</v>
      </c>
      <c r="U19" s="2092"/>
      <c r="V19" s="2092"/>
      <c r="W19" s="2093"/>
      <c r="X19" s="2109" t="s">
        <v>2055</v>
      </c>
      <c r="Y19" s="2110"/>
      <c r="Z19" s="2107">
        <v>60162</v>
      </c>
      <c r="AA19" s="210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1" t="s">
        <v>2061</v>
      </c>
      <c r="B21" s="2092"/>
      <c r="C21" s="2092"/>
      <c r="D21" s="2092"/>
      <c r="E21" s="2092"/>
      <c r="F21" s="2092"/>
      <c r="G21" s="2092"/>
      <c r="H21" s="2093"/>
      <c r="I21" s="2117" t="s">
        <v>673</v>
      </c>
      <c r="J21" s="2080"/>
      <c r="K21" s="2080"/>
      <c r="L21" s="2080"/>
      <c r="M21" s="2080"/>
      <c r="N21" s="2080"/>
      <c r="O21" s="2080"/>
      <c r="P21" s="2080"/>
      <c r="Q21" s="2080"/>
      <c r="R21" s="2080"/>
      <c r="S21" s="2081"/>
      <c r="T21" s="2059" t="s">
        <v>2056</v>
      </c>
      <c r="U21" s="2060"/>
      <c r="V21" s="2060"/>
      <c r="W21" s="2060"/>
      <c r="X21" s="2073" t="s">
        <v>2057</v>
      </c>
      <c r="Y21" s="2074"/>
      <c r="Z21" s="2074"/>
      <c r="AA21" s="2075"/>
    </row>
    <row r="22" spans="1:27" ht="13.5" customHeight="1" x14ac:dyDescent="0.2">
      <c r="A22" s="84" t="s">
        <v>528</v>
      </c>
      <c r="B22" s="56"/>
      <c r="C22" s="56"/>
      <c r="D22" s="56"/>
      <c r="E22" s="56"/>
      <c r="F22" s="56"/>
      <c r="G22" s="56"/>
      <c r="H22" s="57"/>
      <c r="I22" s="2118" t="s">
        <v>1412</v>
      </c>
      <c r="J22" s="2119"/>
      <c r="K22" s="2119"/>
      <c r="L22" s="2119"/>
      <c r="M22" s="2119"/>
      <c r="N22" s="2119"/>
      <c r="O22" s="2119"/>
      <c r="P22" s="2119"/>
      <c r="Q22" s="2119"/>
      <c r="R22" s="2119"/>
      <c r="S22" s="2120"/>
      <c r="T22" s="82" t="s">
        <v>1499</v>
      </c>
      <c r="U22" s="48"/>
      <c r="V22" s="69"/>
      <c r="W22" s="48"/>
      <c r="X22" s="155" t="s">
        <v>1307</v>
      </c>
      <c r="Z22" s="43"/>
      <c r="AA22" s="44"/>
    </row>
    <row r="23" spans="1:27" ht="13.5" customHeight="1" x14ac:dyDescent="0.2">
      <c r="A23" s="2114"/>
      <c r="B23" s="2115"/>
      <c r="C23" s="2115"/>
      <c r="D23" s="2115"/>
      <c r="E23" s="2115"/>
      <c r="F23" s="2115"/>
      <c r="G23" s="2115"/>
      <c r="H23" s="2116"/>
      <c r="T23" s="2054">
        <v>65025792</v>
      </c>
      <c r="U23" s="2055"/>
      <c r="V23" s="2055"/>
      <c r="W23" s="2055"/>
      <c r="X23" s="2070"/>
      <c r="Y23" s="2071"/>
      <c r="Z23" s="2071"/>
      <c r="AA23" s="2072"/>
    </row>
    <row r="24" spans="1:27" ht="14.1" customHeight="1" x14ac:dyDescent="0.2">
      <c r="A24" s="85" t="s">
        <v>672</v>
      </c>
      <c r="B24" s="46"/>
      <c r="C24" s="46"/>
      <c r="D24" s="46"/>
      <c r="E24" s="46"/>
      <c r="F24" s="46"/>
      <c r="G24" s="46"/>
      <c r="H24" s="58"/>
      <c r="J24" s="2156">
        <f>IF(B5="x",IF(AUDITCHECK!D29="AFR form Incomplete.","",IF(AUDITCHECK!D29="Deficit reduction plan is required.","School District must complete a deficit reduction plan in the 2020-2021 Budget",)),"")</f>
        <v>0</v>
      </c>
      <c r="K24" s="2156"/>
      <c r="L24" s="2156"/>
      <c r="M24" s="2156"/>
      <c r="N24" s="2156"/>
      <c r="O24" s="2156"/>
      <c r="P24" s="2156"/>
      <c r="Q24" s="2156"/>
      <c r="R24" s="2156"/>
      <c r="S24" s="2157"/>
      <c r="T24" s="102" t="s">
        <v>528</v>
      </c>
      <c r="U24" s="103"/>
      <c r="V24" s="103"/>
      <c r="W24" s="103"/>
      <c r="X24" s="104"/>
      <c r="Y24" s="104"/>
      <c r="Z24" s="104"/>
      <c r="AA24" s="105"/>
    </row>
    <row r="25" spans="1:27" ht="14.1" customHeight="1" x14ac:dyDescent="0.2">
      <c r="A25" s="2091">
        <v>60411</v>
      </c>
      <c r="B25" s="2092"/>
      <c r="C25" s="2092"/>
      <c r="D25" s="2092"/>
      <c r="E25" s="2092"/>
      <c r="F25" s="2092"/>
      <c r="G25" s="2092"/>
      <c r="H25" s="2093"/>
      <c r="I25" s="110"/>
      <c r="J25" s="2158"/>
      <c r="K25" s="2158"/>
      <c r="L25" s="2158"/>
      <c r="M25" s="2158"/>
      <c r="N25" s="2158"/>
      <c r="O25" s="2158"/>
      <c r="P25" s="2158"/>
      <c r="Q25" s="2158"/>
      <c r="R25" s="2158"/>
      <c r="S25" s="2159"/>
      <c r="T25" s="2051" t="s">
        <v>2058</v>
      </c>
      <c r="U25" s="2052"/>
      <c r="V25" s="2052"/>
      <c r="W25" s="2052"/>
      <c r="X25" s="2052"/>
      <c r="Y25" s="2052"/>
      <c r="Z25" s="2052"/>
      <c r="AA25" s="20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9" t="s">
        <v>1494</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144" t="s">
        <v>2050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5"/>
      <c r="Q35" s="2092"/>
      <c r="R35" s="20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4" t="s">
        <v>2066</v>
      </c>
      <c r="B38" s="2124"/>
      <c r="C38" s="2124"/>
      <c r="D38" s="2124"/>
      <c r="E38" s="2124"/>
      <c r="F38" s="2092"/>
      <c r="G38" s="2092"/>
      <c r="H38" s="2093"/>
      <c r="I38" s="2143" t="s">
        <v>2062</v>
      </c>
      <c r="J38" s="2063"/>
      <c r="K38" s="2063"/>
      <c r="L38" s="2063"/>
      <c r="M38" s="2063"/>
      <c r="N38" s="2063"/>
      <c r="O38" s="2063"/>
      <c r="P38" s="2064"/>
      <c r="Q38" s="2064"/>
      <c r="R38" s="2064"/>
      <c r="S38" s="2065"/>
      <c r="T38" s="2062" t="s">
        <v>2069</v>
      </c>
      <c r="U38" s="2063"/>
      <c r="V38" s="2063"/>
      <c r="W38" s="2063"/>
      <c r="X38" s="2064"/>
      <c r="Y38" s="2064"/>
      <c r="Z38" s="2064"/>
      <c r="AA38" s="2065"/>
    </row>
    <row r="39" spans="1:27" ht="12" customHeight="1" x14ac:dyDescent="0.2">
      <c r="A39" s="2147" t="s">
        <v>528</v>
      </c>
      <c r="B39" s="2148"/>
      <c r="C39" s="69"/>
      <c r="D39" s="66"/>
      <c r="E39" s="66"/>
      <c r="F39" s="76"/>
      <c r="G39" s="66"/>
      <c r="H39" s="53"/>
      <c r="I39" s="2147" t="s">
        <v>528</v>
      </c>
      <c r="J39" s="2148"/>
      <c r="K39" s="2148"/>
      <c r="L39" s="2148"/>
      <c r="M39" s="2148"/>
      <c r="N39" s="64"/>
      <c r="O39" s="69"/>
      <c r="P39" s="69"/>
      <c r="Q39" s="75"/>
      <c r="R39" s="69"/>
      <c r="S39" s="53"/>
      <c r="T39" s="69" t="s">
        <v>528</v>
      </c>
      <c r="U39" s="48"/>
      <c r="V39" s="69"/>
      <c r="W39" s="47"/>
      <c r="X39" s="75"/>
      <c r="Y39" s="43"/>
      <c r="Z39" s="43"/>
      <c r="AA39" s="44"/>
    </row>
    <row r="40" spans="1:27" ht="13.5" customHeight="1" x14ac:dyDescent="0.2">
      <c r="A40" s="2150"/>
      <c r="B40" s="2151"/>
      <c r="C40" s="2152"/>
      <c r="D40" s="2152"/>
      <c r="E40" s="2152"/>
      <c r="F40" s="2153"/>
      <c r="G40" s="2153"/>
      <c r="H40" s="2154"/>
      <c r="I40" s="2066" t="s">
        <v>2063</v>
      </c>
      <c r="J40" s="2068"/>
      <c r="K40" s="2068"/>
      <c r="L40" s="2068"/>
      <c r="M40" s="2068"/>
      <c r="N40" s="2068"/>
      <c r="O40" s="2068"/>
      <c r="P40" s="2068"/>
      <c r="Q40" s="2068"/>
      <c r="R40" s="2068"/>
      <c r="S40" s="2069"/>
      <c r="T40" s="2066" t="s">
        <v>2070</v>
      </c>
      <c r="U40" s="2067"/>
      <c r="V40" s="2068"/>
      <c r="W40" s="2068"/>
      <c r="X40" s="2068"/>
      <c r="Y40" s="2068"/>
      <c r="Z40" s="2068"/>
      <c r="AA40" s="206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0" t="s">
        <v>2067</v>
      </c>
      <c r="B42" s="2141"/>
      <c r="C42" s="2142"/>
      <c r="D42" s="2155" t="s">
        <v>2068</v>
      </c>
      <c r="E42" s="2141"/>
      <c r="F42" s="2141"/>
      <c r="G42" s="2141"/>
      <c r="H42" s="2142"/>
      <c r="I42" s="2061" t="s">
        <v>2064</v>
      </c>
      <c r="J42" s="2057"/>
      <c r="K42" s="2057"/>
      <c r="L42" s="2057"/>
      <c r="M42" s="2057"/>
      <c r="N42" s="2057"/>
      <c r="O42" s="2058"/>
      <c r="P42" s="2056" t="s">
        <v>2065</v>
      </c>
      <c r="Q42" s="2057"/>
      <c r="R42" s="2057"/>
      <c r="S42" s="2058"/>
      <c r="T42" s="2061" t="s">
        <v>2071</v>
      </c>
      <c r="U42" s="2057"/>
      <c r="V42" s="2057"/>
      <c r="W42" s="2058"/>
      <c r="X42" s="2056" t="s">
        <v>2072</v>
      </c>
      <c r="Y42" s="2057"/>
      <c r="Z42" s="2057"/>
      <c r="AA42" s="205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4"/>
      <c r="B44" s="2145"/>
      <c r="C44" s="2145"/>
      <c r="D44" s="2145"/>
      <c r="E44" s="2145"/>
      <c r="F44" s="2145"/>
      <c r="G44" s="2145"/>
      <c r="H44" s="2146"/>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22" sqref="E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1145</v>
      </c>
      <c r="B4" s="1721">
        <f>'Revenues 9-14'!C5</f>
        <v>6950442</v>
      </c>
      <c r="C4" s="1722">
        <v>3408466</v>
      </c>
      <c r="D4" s="1723">
        <f>B4-C4</f>
        <v>3541976</v>
      </c>
      <c r="E4" s="1722">
        <v>9234975</v>
      </c>
      <c r="F4" s="1723">
        <f>E4-C4</f>
        <v>5826509</v>
      </c>
    </row>
    <row r="5" spans="1:8" ht="13.7" customHeight="1" x14ac:dyDescent="0.2">
      <c r="A5" s="579" t="s">
        <v>865</v>
      </c>
      <c r="B5" s="1724">
        <f>'Revenues 9-14'!D5</f>
        <v>931264</v>
      </c>
      <c r="C5" s="1664">
        <v>464812</v>
      </c>
      <c r="D5" s="1725">
        <f t="shared" ref="D5:D18" si="0">B5-C5</f>
        <v>466452</v>
      </c>
      <c r="E5" s="1664">
        <v>1259373</v>
      </c>
      <c r="F5" s="1725">
        <f>E5-C5</f>
        <v>794561</v>
      </c>
    </row>
    <row r="6" spans="1:8" ht="13.7" customHeight="1" x14ac:dyDescent="0.2">
      <c r="A6" s="579" t="s">
        <v>408</v>
      </c>
      <c r="B6" s="1724">
        <f>'Revenues 9-14'!E5</f>
        <v>566025</v>
      </c>
      <c r="C6" s="1664">
        <v>290053</v>
      </c>
      <c r="D6" s="1725">
        <f t="shared" si="0"/>
        <v>275972</v>
      </c>
      <c r="E6" s="1664">
        <v>785875</v>
      </c>
      <c r="F6" s="1725">
        <f t="shared" ref="F6:F18" si="1">E6-C6</f>
        <v>495822</v>
      </c>
    </row>
    <row r="7" spans="1:8" ht="13.7" customHeight="1" x14ac:dyDescent="0.2">
      <c r="A7" s="579" t="s">
        <v>154</v>
      </c>
      <c r="B7" s="1724">
        <f>'Revenues 9-14'!F5</f>
        <v>492877</v>
      </c>
      <c r="C7" s="1664">
        <v>251634</v>
      </c>
      <c r="D7" s="1725">
        <f t="shared" si="0"/>
        <v>241243</v>
      </c>
      <c r="E7" s="1664">
        <v>681783</v>
      </c>
      <c r="F7" s="1725">
        <f t="shared" si="1"/>
        <v>430149</v>
      </c>
    </row>
    <row r="8" spans="1:8" ht="13.7" customHeight="1" x14ac:dyDescent="0.2">
      <c r="A8" s="579" t="s">
        <v>1169</v>
      </c>
      <c r="B8" s="1724">
        <f>'Revenues 9-14'!G5</f>
        <v>699049</v>
      </c>
      <c r="C8" s="1664">
        <v>359559</v>
      </c>
      <c r="D8" s="1725">
        <f t="shared" si="0"/>
        <v>339490</v>
      </c>
      <c r="E8" s="1664">
        <v>974198</v>
      </c>
      <c r="F8" s="1725">
        <f t="shared" si="1"/>
        <v>614639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85753</v>
      </c>
      <c r="C10" s="1664">
        <v>41319</v>
      </c>
      <c r="D10" s="1725">
        <f t="shared" si="0"/>
        <v>44434</v>
      </c>
      <c r="E10" s="1664">
        <v>111950</v>
      </c>
      <c r="F10" s="1725">
        <f t="shared" si="1"/>
        <v>70631</v>
      </c>
    </row>
    <row r="11" spans="1:8" x14ac:dyDescent="0.2">
      <c r="A11" s="579" t="s">
        <v>406</v>
      </c>
      <c r="B11" s="1724">
        <f>'Revenues 9-14'!J5</f>
        <v>-255</v>
      </c>
      <c r="C11" s="1664"/>
      <c r="D11" s="1725">
        <f t="shared" si="0"/>
        <v>-255</v>
      </c>
      <c r="E11" s="1664"/>
      <c r="F11" s="1725">
        <f t="shared" si="1"/>
        <v>0</v>
      </c>
    </row>
    <row r="12" spans="1:8" ht="13.7" customHeight="1" x14ac:dyDescent="0.2">
      <c r="A12" s="579" t="s">
        <v>156</v>
      </c>
      <c r="B12" s="1724">
        <f>'Revenues 9-14'!K5</f>
        <v>-5399</v>
      </c>
      <c r="C12" s="1664"/>
      <c r="D12" s="1725">
        <f t="shared" si="0"/>
        <v>-5399</v>
      </c>
      <c r="E12" s="1664"/>
      <c r="F12" s="1725">
        <f t="shared" si="1"/>
        <v>0</v>
      </c>
    </row>
    <row r="13" spans="1:8" ht="13.7" customHeight="1" x14ac:dyDescent="0.2">
      <c r="A13" s="579" t="s">
        <v>930</v>
      </c>
      <c r="B13" s="1724">
        <f>SUM('Revenues 9-14'!C6:D6)</f>
        <v>-5399</v>
      </c>
      <c r="C13" s="1664"/>
      <c r="D13" s="1725">
        <f t="shared" si="0"/>
        <v>-5399</v>
      </c>
      <c r="E13" s="1664"/>
      <c r="F13" s="1725">
        <f t="shared" si="1"/>
        <v>0</v>
      </c>
    </row>
    <row r="14" spans="1:8" ht="13.7" customHeight="1" x14ac:dyDescent="0.2">
      <c r="A14" s="579" t="s">
        <v>407</v>
      </c>
      <c r="B14" s="1724">
        <f>SUM('Revenues 9-14'!C7:D7,'Revenues 9-14'!F7:H7)</f>
        <v>-21589</v>
      </c>
      <c r="C14" s="1664"/>
      <c r="D14" s="1725">
        <f t="shared" si="0"/>
        <v>-21589</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848389</v>
      </c>
      <c r="C16" s="1664">
        <v>431414</v>
      </c>
      <c r="D16" s="1725">
        <f t="shared" si="0"/>
        <v>416975</v>
      </c>
      <c r="E16" s="1664">
        <v>1168882</v>
      </c>
      <c r="F16" s="1725">
        <f t="shared" si="1"/>
        <v>737468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10541157</v>
      </c>
      <c r="C19" s="1726">
        <f>SUM(C4:C18)</f>
        <v>5247257</v>
      </c>
      <c r="D19" s="1726">
        <f>SUM(D4:D18)</f>
        <v>5293900</v>
      </c>
      <c r="E19" s="1726">
        <f>SUM(E4:E18)</f>
        <v>14217036</v>
      </c>
      <c r="F19" s="1726">
        <f>SUM(F4:F18)</f>
        <v>8969779</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625</v>
      </c>
      <c r="B1" s="2305"/>
      <c r="C1" s="585"/>
    </row>
    <row r="2" spans="1:7" ht="33.75" x14ac:dyDescent="0.2">
      <c r="A2" s="2313" t="s">
        <v>1778</v>
      </c>
      <c r="B2" s="231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06"/>
      <c r="D3" s="2307"/>
      <c r="E3" s="2307"/>
      <c r="F3" s="2308"/>
    </row>
    <row r="4" spans="1:7" ht="12.75" customHeight="1" thickBot="1" x14ac:dyDescent="0.25">
      <c r="A4" s="2315" t="s">
        <v>626</v>
      </c>
      <c r="B4" s="2316"/>
      <c r="C4" s="1656"/>
      <c r="D4" s="1656"/>
      <c r="E4" s="1656"/>
      <c r="F4" s="1732">
        <f>SUM(C4+D4)-E4</f>
        <v>0</v>
      </c>
    </row>
    <row r="5" spans="1:7" ht="15.75" customHeight="1" thickTop="1" x14ac:dyDescent="0.2">
      <c r="A5" s="2300" t="s">
        <v>1101</v>
      </c>
      <c r="B5" s="2301"/>
      <c r="C5" s="2309"/>
      <c r="D5" s="2310"/>
      <c r="E5" s="2310"/>
      <c r="F5" s="231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2" t="s">
        <v>1102</v>
      </c>
      <c r="B16" s="2301"/>
      <c r="C16" s="2309"/>
      <c r="D16" s="2310"/>
      <c r="E16" s="2310"/>
      <c r="F16" s="2311"/>
    </row>
    <row r="17" spans="1:11" ht="12.75" customHeight="1" thickBot="1" x14ac:dyDescent="0.25">
      <c r="A17" s="2325" t="s">
        <v>64</v>
      </c>
      <c r="B17" s="2326"/>
      <c r="C17" s="1733"/>
      <c r="D17" s="1664"/>
      <c r="E17" s="1733"/>
      <c r="F17" s="1732">
        <f>SUM(C17+D17)-E17</f>
        <v>0</v>
      </c>
    </row>
    <row r="18" spans="1:11" ht="12.75" customHeight="1" thickTop="1" thickBot="1" x14ac:dyDescent="0.25">
      <c r="A18" s="2325" t="s">
        <v>6</v>
      </c>
      <c r="B18" s="2326"/>
      <c r="C18" s="1733"/>
      <c r="D18" s="1664"/>
      <c r="E18" s="1733"/>
      <c r="F18" s="1732">
        <f>SUM(C18+D18)-E18</f>
        <v>0</v>
      </c>
    </row>
    <row r="19" spans="1:11" ht="12.75" customHeight="1" thickTop="1" thickBot="1" x14ac:dyDescent="0.25">
      <c r="A19" s="2325" t="s">
        <v>385</v>
      </c>
      <c r="B19" s="2326"/>
      <c r="C19" s="1733"/>
      <c r="D19" s="1664"/>
      <c r="E19" s="1733"/>
      <c r="F19" s="1732">
        <f>SUM(C19+D19)-E19</f>
        <v>0</v>
      </c>
    </row>
    <row r="20" spans="1:11" ht="12.75" customHeight="1" thickTop="1" thickBot="1" x14ac:dyDescent="0.25">
      <c r="A20" s="2325" t="s">
        <v>445</v>
      </c>
      <c r="B20" s="2326"/>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27" t="s">
        <v>1103</v>
      </c>
      <c r="B22" s="2301"/>
      <c r="C22" s="2309"/>
      <c r="D22" s="2310"/>
      <c r="E22" s="2310"/>
      <c r="F22" s="2311"/>
    </row>
    <row r="23" spans="1:11" ht="13.5" thickBot="1" x14ac:dyDescent="0.25">
      <c r="A23" s="2315" t="s">
        <v>629</v>
      </c>
      <c r="B23" s="2316"/>
      <c r="C23" s="1656"/>
      <c r="D23" s="1656"/>
      <c r="E23" s="1656"/>
      <c r="F23" s="1732">
        <f>SUM(C23+D23)-E23</f>
        <v>0</v>
      </c>
      <c r="G23" s="473"/>
    </row>
    <row r="24" spans="1:11" ht="15.75" customHeight="1" thickTop="1" x14ac:dyDescent="0.2">
      <c r="A24" s="2327" t="s">
        <v>2005</v>
      </c>
      <c r="B24" s="2301"/>
      <c r="C24" s="2309"/>
      <c r="D24" s="2310"/>
      <c r="E24" s="2310"/>
      <c r="F24" s="2311"/>
    </row>
    <row r="25" spans="1:11" ht="13.5" thickBot="1" x14ac:dyDescent="0.25">
      <c r="A25" s="2315" t="s">
        <v>2006</v>
      </c>
      <c r="B25" s="2316"/>
      <c r="C25" s="1656"/>
      <c r="D25" s="1656"/>
      <c r="E25" s="1656"/>
      <c r="F25" s="1732">
        <f>SUM(C25+D25)-E25</f>
        <v>0</v>
      </c>
      <c r="G25" s="473"/>
    </row>
    <row r="26" spans="1:11" ht="15.75" customHeight="1" thickTop="1" x14ac:dyDescent="0.2">
      <c r="A26" s="2300" t="s">
        <v>652</v>
      </c>
      <c r="B26" s="2301"/>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28" t="s">
        <v>578</v>
      </c>
      <c r="B29" s="230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42933</v>
      </c>
      <c r="C31" s="1734">
        <v>45000000</v>
      </c>
      <c r="D31" s="1735">
        <v>6</v>
      </c>
      <c r="E31" s="1734">
        <v>45000000</v>
      </c>
      <c r="F31" s="1734">
        <v>0</v>
      </c>
      <c r="G31" s="1734"/>
      <c r="H31" s="1734"/>
      <c r="I31" s="1736">
        <f>((E31+F31)-H31)+G31</f>
        <v>45000000</v>
      </c>
      <c r="J31" s="1734">
        <f>45000000-512618</f>
        <v>44487382</v>
      </c>
      <c r="K31" s="596"/>
    </row>
    <row r="32" spans="1:11" ht="12" customHeight="1" x14ac:dyDescent="0.2">
      <c r="A32" s="594" t="s">
        <v>2074</v>
      </c>
      <c r="B32" s="595">
        <v>42933</v>
      </c>
      <c r="C32" s="1734">
        <v>7800000</v>
      </c>
      <c r="D32" s="1735">
        <v>6</v>
      </c>
      <c r="E32" s="1734">
        <v>7800000</v>
      </c>
      <c r="F32" s="1734">
        <v>0</v>
      </c>
      <c r="G32" s="1734"/>
      <c r="H32" s="1734"/>
      <c r="I32" s="1736">
        <f>((E32+F32)-H32)+G32</f>
        <v>7800000</v>
      </c>
      <c r="J32" s="1734">
        <v>7800000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52800000</v>
      </c>
      <c r="D49" s="1742"/>
      <c r="E49" s="1736">
        <f t="shared" ref="E49:J49" si="2">SUM(E31:E48)</f>
        <v>52800000</v>
      </c>
      <c r="F49" s="1736">
        <f t="shared" si="2"/>
        <v>0</v>
      </c>
      <c r="G49" s="1736">
        <f t="shared" si="2"/>
        <v>0</v>
      </c>
      <c r="H49" s="1736">
        <f t="shared" si="2"/>
        <v>0</v>
      </c>
      <c r="I49" s="1736">
        <f t="shared" si="2"/>
        <v>52800000</v>
      </c>
      <c r="J49" s="1736">
        <f t="shared" si="2"/>
        <v>52287382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19" t="s">
        <v>580</v>
      </c>
      <c r="C52" s="2320"/>
      <c r="D52" s="2320"/>
      <c r="E52" s="603" t="s">
        <v>840</v>
      </c>
      <c r="F52" s="2321"/>
      <c r="G52" s="2322"/>
      <c r="H52" s="596"/>
      <c r="I52" s="596"/>
      <c r="J52" s="600"/>
    </row>
    <row r="53" spans="1:11" ht="11.25" customHeight="1" x14ac:dyDescent="0.2">
      <c r="A53" s="604" t="s">
        <v>907</v>
      </c>
      <c r="B53" s="605" t="s">
        <v>945</v>
      </c>
      <c r="C53" s="600"/>
      <c r="D53" s="597"/>
      <c r="E53" s="603" t="s">
        <v>494</v>
      </c>
      <c r="F53" s="2323"/>
      <c r="G53" s="2324"/>
      <c r="H53" s="596"/>
      <c r="I53" s="596"/>
      <c r="J53" s="600"/>
    </row>
    <row r="54" spans="1:11" ht="11.25" customHeight="1" x14ac:dyDescent="0.2">
      <c r="A54" s="606" t="s">
        <v>908</v>
      </c>
      <c r="B54" s="601" t="s">
        <v>946</v>
      </c>
      <c r="C54" s="600"/>
      <c r="D54" s="597"/>
      <c r="E54" s="603" t="s">
        <v>495</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N18" sqref="N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851</v>
      </c>
      <c r="B1" s="2356"/>
      <c r="C1" s="2356"/>
      <c r="D1" s="2356"/>
      <c r="E1" s="2356"/>
      <c r="F1" s="2356"/>
      <c r="G1" s="2357"/>
      <c r="H1" s="1298"/>
      <c r="I1" s="614"/>
      <c r="J1" s="400"/>
    </row>
    <row r="2" spans="1:11" ht="26.25" x14ac:dyDescent="0.2">
      <c r="A2" s="2332" t="s">
        <v>1658</v>
      </c>
      <c r="B2" s="2333"/>
      <c r="C2" s="2333"/>
      <c r="D2" s="2333"/>
      <c r="E2" s="2334"/>
      <c r="F2" s="615" t="s">
        <v>898</v>
      </c>
      <c r="G2" s="616" t="s">
        <v>1655</v>
      </c>
      <c r="H2" s="616" t="s">
        <v>407</v>
      </c>
      <c r="I2" s="616" t="s">
        <v>1148</v>
      </c>
      <c r="J2" s="616" t="s">
        <v>1788</v>
      </c>
      <c r="K2" s="616" t="s">
        <v>137</v>
      </c>
    </row>
    <row r="3" spans="1:11" x14ac:dyDescent="0.2">
      <c r="A3" s="2335" t="str">
        <f>"Cash Basis Fund Balance as of July 1, "&amp;'AFR20'!E2-1</f>
        <v>Cash Basis Fund Balance as of July 1, 2019</v>
      </c>
      <c r="B3" s="2336"/>
      <c r="C3" s="2336"/>
      <c r="D3" s="2336"/>
      <c r="E3" s="2337"/>
      <c r="F3" s="617"/>
      <c r="G3" s="1744"/>
      <c r="H3" s="1744"/>
      <c r="I3" s="1744"/>
      <c r="J3" s="1745"/>
      <c r="K3" s="1745"/>
    </row>
    <row r="4" spans="1:11" x14ac:dyDescent="0.2">
      <c r="A4" s="2338" t="s">
        <v>366</v>
      </c>
      <c r="B4" s="2339"/>
      <c r="C4" s="2339"/>
      <c r="D4" s="2339"/>
      <c r="E4" s="2320"/>
      <c r="F4" s="620"/>
      <c r="G4" s="1746"/>
      <c r="H4" s="1747"/>
      <c r="I4" s="1746"/>
      <c r="J4" s="1748"/>
      <c r="K4" s="1748"/>
    </row>
    <row r="5" spans="1:11" x14ac:dyDescent="0.2">
      <c r="A5" s="2358" t="s">
        <v>1060</v>
      </c>
      <c r="B5" s="2329"/>
      <c r="C5" s="2329"/>
      <c r="D5" s="2329"/>
      <c r="E5" s="2359"/>
      <c r="F5" s="622" t="s">
        <v>843</v>
      </c>
      <c r="G5" s="1749"/>
      <c r="H5" s="1744">
        <f>'Tax Sched 23'!D14</f>
        <v>-21589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8" t="s">
        <v>1789</v>
      </c>
      <c r="B10" s="2329"/>
      <c r="C10" s="2329"/>
      <c r="D10" s="2329"/>
      <c r="E10" s="2360"/>
      <c r="F10" s="633" t="s">
        <v>857</v>
      </c>
      <c r="G10" s="1753"/>
      <c r="H10" s="1754"/>
      <c r="I10" s="1744"/>
      <c r="J10" s="1745"/>
      <c r="K10" s="1745"/>
    </row>
    <row r="11" spans="1:11" x14ac:dyDescent="0.2">
      <c r="A11" s="2358" t="s">
        <v>159</v>
      </c>
      <c r="B11" s="2329"/>
      <c r="C11" s="2329"/>
      <c r="D11" s="2329"/>
      <c r="E11" s="2359"/>
      <c r="F11" s="622" t="s">
        <v>847</v>
      </c>
      <c r="G11" s="1749"/>
      <c r="H11" s="1744"/>
      <c r="I11" s="1744"/>
      <c r="J11" s="1745"/>
      <c r="K11" s="1751"/>
    </row>
    <row r="12" spans="1:11" ht="13.5" thickBot="1" x14ac:dyDescent="0.25">
      <c r="A12" s="2346" t="s">
        <v>899</v>
      </c>
      <c r="B12" s="2347"/>
      <c r="C12" s="2347"/>
      <c r="D12" s="2347"/>
      <c r="E12" s="2348"/>
      <c r="F12" s="1433"/>
      <c r="G12" s="1755">
        <f>SUM(G5:G11)</f>
        <v>0</v>
      </c>
      <c r="H12" s="1755">
        <f>SUM(H5:H11)</f>
        <v>-21589</v>
      </c>
      <c r="I12" s="1755">
        <f>SUM(I5:I11)</f>
        <v>0</v>
      </c>
      <c r="J12" s="1755">
        <f>SUM(J5:J11)</f>
        <v>0</v>
      </c>
      <c r="K12" s="1755">
        <f>SUM(K5:K11)</f>
        <v>0</v>
      </c>
    </row>
    <row r="13" spans="1:11" ht="13.5" thickTop="1" x14ac:dyDescent="0.2">
      <c r="A13" s="2340" t="s">
        <v>367</v>
      </c>
      <c r="B13" s="2341"/>
      <c r="C13" s="2341"/>
      <c r="D13" s="2341"/>
      <c r="E13" s="2342"/>
      <c r="F13" s="634"/>
      <c r="G13" s="1756"/>
      <c r="H13" s="1757"/>
      <c r="I13" s="1758"/>
      <c r="J13" s="1758"/>
      <c r="K13" s="1758"/>
    </row>
    <row r="14" spans="1:11" x14ac:dyDescent="0.2">
      <c r="A14" s="2364" t="s">
        <v>453</v>
      </c>
      <c r="B14" s="2364"/>
      <c r="C14" s="2364"/>
      <c r="D14" s="2364"/>
      <c r="E14" s="2365"/>
      <c r="F14" s="635" t="s">
        <v>849</v>
      </c>
      <c r="G14" s="1753"/>
      <c r="H14" s="1744">
        <v>-21589</v>
      </c>
      <c r="I14" s="1749"/>
      <c r="J14" s="1751"/>
      <c r="K14" s="1745"/>
    </row>
    <row r="15" spans="1:11" x14ac:dyDescent="0.2">
      <c r="A15" s="2329" t="s">
        <v>4</v>
      </c>
      <c r="B15" s="2329"/>
      <c r="C15" s="2329"/>
      <c r="D15" s="2329"/>
      <c r="E15" s="2359"/>
      <c r="F15" s="635" t="s">
        <v>850</v>
      </c>
      <c r="G15" s="1749"/>
      <c r="H15" s="1744"/>
      <c r="I15" s="1744"/>
      <c r="J15" s="1745"/>
      <c r="K15" s="1745"/>
    </row>
    <row r="16" spans="1:11" x14ac:dyDescent="0.2">
      <c r="A16" s="2329" t="s">
        <v>295</v>
      </c>
      <c r="B16" s="2329"/>
      <c r="C16" s="2329"/>
      <c r="D16" s="2329"/>
      <c r="E16" s="2359"/>
      <c r="F16" s="635" t="s">
        <v>917</v>
      </c>
      <c r="G16" s="1750"/>
      <c r="H16" s="1746"/>
      <c r="I16" s="1746"/>
      <c r="J16" s="1748"/>
      <c r="K16" s="1748"/>
    </row>
    <row r="17" spans="1:15" x14ac:dyDescent="0.2">
      <c r="A17" s="2353" t="s">
        <v>929</v>
      </c>
      <c r="B17" s="2353"/>
      <c r="C17" s="2353"/>
      <c r="D17" s="2353"/>
      <c r="E17" s="2354"/>
      <c r="F17" s="636"/>
      <c r="G17" s="1759"/>
      <c r="H17" s="1760"/>
      <c r="I17" s="1760"/>
      <c r="J17" s="1761"/>
      <c r="K17" s="1762"/>
    </row>
    <row r="18" spans="1:15" x14ac:dyDescent="0.2">
      <c r="A18" s="2343" t="s">
        <v>365</v>
      </c>
      <c r="B18" s="2344"/>
      <c r="C18" s="2344"/>
      <c r="D18" s="2344"/>
      <c r="E18" s="2345"/>
      <c r="F18" s="635" t="s">
        <v>926</v>
      </c>
      <c r="G18" s="1753"/>
      <c r="H18" s="1753"/>
      <c r="I18" s="1753"/>
      <c r="J18" s="1745"/>
      <c r="K18" s="1763"/>
    </row>
    <row r="19" spans="1:15" ht="21.75" customHeight="1" x14ac:dyDescent="0.2">
      <c r="A19" s="2366" t="s">
        <v>1785</v>
      </c>
      <c r="B19" s="2366"/>
      <c r="C19" s="2366"/>
      <c r="D19" s="2366"/>
      <c r="E19" s="2367"/>
      <c r="F19" s="635" t="s">
        <v>927</v>
      </c>
      <c r="G19" s="1753"/>
      <c r="H19" s="1753"/>
      <c r="I19" s="1753"/>
      <c r="J19" s="1745"/>
      <c r="K19" s="1763"/>
    </row>
    <row r="20" spans="1:15" x14ac:dyDescent="0.2">
      <c r="A20" s="2343" t="s">
        <v>1790</v>
      </c>
      <c r="B20" s="2344"/>
      <c r="C20" s="2344"/>
      <c r="D20" s="2344"/>
      <c r="E20" s="2345"/>
      <c r="F20" s="635" t="s">
        <v>928</v>
      </c>
      <c r="G20" s="1753"/>
      <c r="H20" s="1753"/>
      <c r="I20" s="1753"/>
      <c r="J20" s="1745"/>
      <c r="K20" s="1763"/>
    </row>
    <row r="21" spans="1:15" ht="13.5" thickBot="1" x14ac:dyDescent="0.25">
      <c r="A21" s="2349" t="s">
        <v>633</v>
      </c>
      <c r="B21" s="2349"/>
      <c r="C21" s="2349"/>
      <c r="D21" s="2349"/>
      <c r="E21" s="2349"/>
      <c r="F21" s="1434"/>
      <c r="G21" s="1760"/>
      <c r="H21" s="1764"/>
      <c r="I21" s="1764"/>
      <c r="J21" s="1765">
        <f>SUM(J18:J20)</f>
        <v>0</v>
      </c>
      <c r="K21" s="1761"/>
    </row>
    <row r="22" spans="1:15" ht="13.5" thickTop="1" x14ac:dyDescent="0.2">
      <c r="A22" s="2329" t="s">
        <v>1791</v>
      </c>
      <c r="B22" s="2329"/>
      <c r="C22" s="2329"/>
      <c r="D22" s="2329"/>
      <c r="E22" s="2359"/>
      <c r="F22" s="635" t="s">
        <v>857</v>
      </c>
      <c r="G22" s="1753"/>
      <c r="H22" s="1744"/>
      <c r="I22" s="1744"/>
      <c r="J22" s="1766"/>
      <c r="K22" s="1745"/>
    </row>
    <row r="23" spans="1:15" ht="13.5" thickBot="1" x14ac:dyDescent="0.25">
      <c r="A23" s="2350" t="s">
        <v>900</v>
      </c>
      <c r="B23" s="2349"/>
      <c r="C23" s="2349"/>
      <c r="D23" s="2349"/>
      <c r="E23" s="2349"/>
      <c r="F23" s="1436"/>
      <c r="G23" s="1755">
        <f>SUM(G14:G16,G21,G22)</f>
        <v>0</v>
      </c>
      <c r="H23" s="1755">
        <f>SUM(H14:H16,H21,H22)</f>
        <v>-21589</v>
      </c>
      <c r="I23" s="1755">
        <f>SUM(I14:I16,I21,I22)</f>
        <v>0</v>
      </c>
      <c r="J23" s="1755">
        <f>SUM(J14:J16,J21,J22)</f>
        <v>0</v>
      </c>
      <c r="K23" s="1755">
        <f>SUM(K14:K16,K21,K22)</f>
        <v>0</v>
      </c>
      <c r="M23" s="1846"/>
      <c r="N23" s="1846"/>
      <c r="O23" s="1846"/>
    </row>
    <row r="24" spans="1:15" ht="14.25" thickTop="1" thickBot="1" x14ac:dyDescent="0.25">
      <c r="A24" s="2351" t="str">
        <f>"Ending Cash Basis Fund Balance as of June 30, "&amp;'AFR20'!E2</f>
        <v>Ending Cash Basis Fund Balance as of June 30, 2020</v>
      </c>
      <c r="B24" s="2352"/>
      <c r="C24" s="2352"/>
      <c r="D24" s="2352"/>
      <c r="E24" s="235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61"/>
      <c r="I31" s="2362"/>
      <c r="J31" s="2362"/>
      <c r="K31" s="2362"/>
    </row>
    <row r="32" spans="1:15" x14ac:dyDescent="0.2">
      <c r="A32" s="649"/>
      <c r="B32" s="232"/>
      <c r="C32" s="232"/>
      <c r="D32" s="232"/>
      <c r="E32" s="645"/>
      <c r="F32" s="651" t="s">
        <v>537</v>
      </c>
      <c r="G32" s="618"/>
      <c r="H32" s="2363"/>
      <c r="I32" s="2362"/>
      <c r="J32" s="2362"/>
      <c r="K32" s="2362"/>
    </row>
    <row r="33" spans="1:11" ht="1.5" customHeight="1" x14ac:dyDescent="0.2">
      <c r="A33" s="652" t="s">
        <v>1159</v>
      </c>
      <c r="B33" s="341"/>
      <c r="C33" s="341"/>
      <c r="D33" s="341"/>
      <c r="E33" s="341"/>
      <c r="F33" s="341"/>
      <c r="G33" s="653"/>
      <c r="H33" s="2363"/>
      <c r="I33" s="2362"/>
      <c r="J33" s="2362"/>
      <c r="K33" s="2362"/>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9" t="s">
        <v>538</v>
      </c>
      <c r="B41" s="2330"/>
      <c r="C41" s="2330"/>
      <c r="D41" s="2330"/>
      <c r="E41" s="2330"/>
      <c r="F41" s="233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11" sqref="J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1874</v>
      </c>
      <c r="B1" s="2371"/>
      <c r="C1" s="2372"/>
      <c r="D1" s="666"/>
      <c r="E1" s="667"/>
      <c r="F1" s="667"/>
      <c r="G1" s="668"/>
      <c r="H1" s="669"/>
      <c r="I1" s="670"/>
      <c r="J1" s="2368"/>
      <c r="K1" s="2369"/>
      <c r="L1" s="236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462004</v>
      </c>
      <c r="D5" s="1770"/>
      <c r="E5" s="1770"/>
      <c r="F5" s="1765">
        <f>(C5+D5)-E5</f>
        <v>462004</v>
      </c>
      <c r="G5" s="676"/>
      <c r="H5" s="680"/>
      <c r="I5" s="680"/>
      <c r="J5" s="680"/>
      <c r="K5" s="637"/>
      <c r="L5" s="1442">
        <f>F5-K5</f>
        <v>462004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19362588</v>
      </c>
      <c r="D8" s="1771">
        <v>155930</v>
      </c>
      <c r="E8" s="1771"/>
      <c r="F8" s="1765">
        <f>(C8+D8)-E8</f>
        <v>19518518</v>
      </c>
      <c r="G8" s="681">
        <v>50</v>
      </c>
      <c r="H8" s="619">
        <v>5703599</v>
      </c>
      <c r="I8" s="619">
        <v>390389</v>
      </c>
      <c r="J8" s="619"/>
      <c r="K8" s="1442">
        <f>(H8+I8)-J8</f>
        <v>6093988</v>
      </c>
      <c r="L8" s="1442">
        <f>F8-K8</f>
        <v>13424530</v>
      </c>
    </row>
    <row r="9" spans="1:14" ht="14.25" thickTop="1" thickBot="1" x14ac:dyDescent="0.25">
      <c r="A9" s="629" t="s">
        <v>1109</v>
      </c>
      <c r="B9" s="679">
        <v>232</v>
      </c>
      <c r="C9" s="1745">
        <v>2829726</v>
      </c>
      <c r="D9" s="1745">
        <v>221279</v>
      </c>
      <c r="E9" s="1745"/>
      <c r="F9" s="1765">
        <f>(C9+D9)-E9</f>
        <v>3051005</v>
      </c>
      <c r="G9" s="681">
        <v>20</v>
      </c>
      <c r="H9" s="619">
        <v>366693</v>
      </c>
      <c r="I9" s="619">
        <v>98203</v>
      </c>
      <c r="J9" s="619"/>
      <c r="K9" s="1442">
        <f>(H9+I9)-J9</f>
        <v>464896</v>
      </c>
      <c r="L9" s="1442">
        <f>F9-K9</f>
        <v>2586109</v>
      </c>
    </row>
    <row r="10" spans="1:14" ht="24" thickTop="1" thickBot="1" x14ac:dyDescent="0.25">
      <c r="A10" s="682" t="s">
        <v>1110</v>
      </c>
      <c r="B10" s="679">
        <v>240</v>
      </c>
      <c r="C10" s="1772">
        <v>1282332</v>
      </c>
      <c r="D10" s="1772">
        <v>213130</v>
      </c>
      <c r="E10" s="1772"/>
      <c r="F10" s="1773">
        <f>(C10+D10)-E10</f>
        <v>1495462</v>
      </c>
      <c r="G10" s="681">
        <v>20</v>
      </c>
      <c r="H10" s="683">
        <v>425002</v>
      </c>
      <c r="I10" s="683">
        <v>115099</v>
      </c>
      <c r="J10" s="683"/>
      <c r="K10" s="1442">
        <f>(H10+I10)-J10</f>
        <v>540101</v>
      </c>
      <c r="L10" s="1442">
        <f>F10-K10</f>
        <v>955361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4235012</v>
      </c>
      <c r="D12" s="1771">
        <v>1005338</v>
      </c>
      <c r="E12" s="1771"/>
      <c r="F12" s="1765">
        <f>(C12+D12)-E12</f>
        <v>5240350</v>
      </c>
      <c r="G12" s="681">
        <v>10</v>
      </c>
      <c r="H12" s="619">
        <v>3871823</v>
      </c>
      <c r="I12" s="619">
        <v>151128</v>
      </c>
      <c r="J12" s="619"/>
      <c r="K12" s="1442">
        <f>(H12+I12)-J12</f>
        <v>4022951</v>
      </c>
      <c r="L12" s="1442">
        <f>F12-K12</f>
        <v>1217399</v>
      </c>
    </row>
    <row r="13" spans="1:14" ht="14.25" thickTop="1" thickBot="1" x14ac:dyDescent="0.25">
      <c r="A13" s="684" t="s">
        <v>1112</v>
      </c>
      <c r="B13" s="679">
        <v>252</v>
      </c>
      <c r="C13" s="1771">
        <v>613000</v>
      </c>
      <c r="D13" s="1771">
        <v>34811</v>
      </c>
      <c r="E13" s="1771"/>
      <c r="F13" s="1765">
        <f>(C13+D13)-E13</f>
        <v>647811</v>
      </c>
      <c r="G13" s="681">
        <v>5</v>
      </c>
      <c r="H13" s="619">
        <v>478951</v>
      </c>
      <c r="I13" s="619">
        <v>48720</v>
      </c>
      <c r="J13" s="619"/>
      <c r="K13" s="1442">
        <f>(H13+I13)-J13</f>
        <v>527671</v>
      </c>
      <c r="L13" s="1442">
        <f>F13-K13</f>
        <v>120140</v>
      </c>
    </row>
    <row r="14" spans="1:14" ht="14.25" thickTop="1" thickBot="1" x14ac:dyDescent="0.25">
      <c r="A14" s="684" t="s">
        <v>1113</v>
      </c>
      <c r="B14" s="679">
        <v>253</v>
      </c>
      <c r="C14" s="1745">
        <v>274304</v>
      </c>
      <c r="D14" s="1745">
        <v>814655</v>
      </c>
      <c r="E14" s="1745"/>
      <c r="F14" s="1765">
        <f>(C14+D14)-E14</f>
        <v>1088959</v>
      </c>
      <c r="G14" s="681">
        <v>3</v>
      </c>
      <c r="H14" s="619">
        <v>226931</v>
      </c>
      <c r="I14" s="619">
        <v>164212</v>
      </c>
      <c r="J14" s="619"/>
      <c r="K14" s="1442">
        <f>(H14+I14)-J14</f>
        <v>391143</v>
      </c>
      <c r="L14" s="1442">
        <f>F14-K14</f>
        <v>697816</v>
      </c>
    </row>
    <row r="15" spans="1:14" ht="15" customHeight="1" thickTop="1" thickBot="1" x14ac:dyDescent="0.25">
      <c r="A15" s="1366" t="s">
        <v>525</v>
      </c>
      <c r="B15" s="1365">
        <v>260</v>
      </c>
      <c r="C15" s="1771">
        <v>14396379</v>
      </c>
      <c r="D15" s="1771">
        <v>31076744</v>
      </c>
      <c r="E15" s="1771"/>
      <c r="F15" s="1765">
        <f>(C15+D15)-E15</f>
        <v>45473123</v>
      </c>
      <c r="G15" s="685" t="s">
        <v>857</v>
      </c>
      <c r="H15" s="632"/>
      <c r="I15" s="632"/>
      <c r="J15" s="632"/>
      <c r="K15" s="632"/>
      <c r="L15" s="1442">
        <f>F15-K15</f>
        <v>45473123</v>
      </c>
    </row>
    <row r="16" spans="1:14" ht="15" customHeight="1" thickTop="1" thickBot="1" x14ac:dyDescent="0.25">
      <c r="A16" s="1438" t="s">
        <v>638</v>
      </c>
      <c r="B16" s="1439">
        <v>200</v>
      </c>
      <c r="C16" s="1765">
        <f>SUM(C3,C5:C6,C8:C10,C12:C15)</f>
        <v>43455345</v>
      </c>
      <c r="D16" s="1765">
        <f>SUM(D3,D5:D6,D8:D10,D12:D15)</f>
        <v>33521887</v>
      </c>
      <c r="E16" s="1765">
        <f>SUM(E3,E5:E6,E8:E10,E12:E15)</f>
        <v>0</v>
      </c>
      <c r="F16" s="1765">
        <f>SUM(F3,F5:F6,F8:F10,F12:F15)</f>
        <v>76977232</v>
      </c>
      <c r="G16" s="681"/>
      <c r="H16" s="1435">
        <f>SUM(H3,H6,H8:H10,H12:H14,)</f>
        <v>11072999</v>
      </c>
      <c r="I16" s="1435">
        <f>SUM(I3,I6,I8:I10,I12:I14,)</f>
        <v>967751</v>
      </c>
      <c r="J16" s="1435">
        <f>SUM(J3,J6,J8:J10,J12:J14,)</f>
        <v>0</v>
      </c>
      <c r="K16" s="1435">
        <f>(H16+I16)-J16</f>
        <v>12040750</v>
      </c>
      <c r="L16" s="1435">
        <f>F16-K16</f>
        <v>64936482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324682</v>
      </c>
      <c r="G17" s="676">
        <v>10</v>
      </c>
      <c r="H17" s="621"/>
      <c r="I17" s="1442">
        <f>F17/G17</f>
        <v>32468.2</v>
      </c>
      <c r="J17" s="621"/>
      <c r="K17" s="638"/>
      <c r="L17" s="638"/>
    </row>
    <row r="18" spans="1:12" ht="14.25" thickTop="1" thickBot="1" x14ac:dyDescent="0.25">
      <c r="A18" s="1440" t="s">
        <v>680</v>
      </c>
      <c r="B18" s="1441"/>
      <c r="C18" s="623"/>
      <c r="D18" s="623"/>
      <c r="E18" s="623"/>
      <c r="F18" s="686"/>
      <c r="G18" s="687"/>
      <c r="H18" s="624"/>
      <c r="I18" s="1435">
        <f>SUM(I16,I17)</f>
        <v>1000219.2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activeCell="I83" sqref="I8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2"/>
      <c r="B5" s="2383"/>
      <c r="C5" s="2383"/>
      <c r="D5" s="2383"/>
      <c r="E5" s="2383"/>
      <c r="F5" s="2383"/>
    </row>
    <row r="6" spans="1:9" ht="13.5" customHeight="1" thickBot="1" x14ac:dyDescent="0.25">
      <c r="A6" s="2373" t="s">
        <v>1095</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39130419</v>
      </c>
      <c r="G8" s="701"/>
    </row>
    <row r="9" spans="1:9" x14ac:dyDescent="0.2">
      <c r="A9" s="705" t="s">
        <v>457</v>
      </c>
      <c r="B9" s="706" t="s">
        <v>1847</v>
      </c>
      <c r="C9" s="707"/>
      <c r="D9" s="705" t="s">
        <v>498</v>
      </c>
      <c r="E9" s="704"/>
      <c r="F9" s="1775">
        <f>'Expenditures 15-22'!K151</f>
        <v>2479713</v>
      </c>
      <c r="G9" s="708"/>
    </row>
    <row r="10" spans="1:9" x14ac:dyDescent="0.2">
      <c r="A10" s="705" t="s">
        <v>496</v>
      </c>
      <c r="B10" s="706" t="s">
        <v>1848</v>
      </c>
      <c r="C10" s="707"/>
      <c r="D10" s="705" t="s">
        <v>498</v>
      </c>
      <c r="E10" s="704"/>
      <c r="F10" s="1775">
        <f>'Expenditures 15-22'!K174</f>
        <v>2487650</v>
      </c>
      <c r="G10" s="708"/>
    </row>
    <row r="11" spans="1:9" x14ac:dyDescent="0.2">
      <c r="A11" s="705" t="s">
        <v>458</v>
      </c>
      <c r="B11" s="706" t="s">
        <v>1849</v>
      </c>
      <c r="C11" s="707"/>
      <c r="D11" s="705" t="s">
        <v>498</v>
      </c>
      <c r="E11" s="704"/>
      <c r="F11" s="1775">
        <f>'Expenditures 15-22'!K210</f>
        <v>1410248</v>
      </c>
      <c r="G11" s="708"/>
    </row>
    <row r="12" spans="1:9" x14ac:dyDescent="0.2">
      <c r="A12" s="705" t="s">
        <v>459</v>
      </c>
      <c r="B12" s="706" t="s">
        <v>1850</v>
      </c>
      <c r="C12" s="707"/>
      <c r="D12" s="705" t="s">
        <v>498</v>
      </c>
      <c r="E12" s="704"/>
      <c r="F12" s="1775">
        <f>'Expenditures 15-22'!K295</f>
        <v>1610453</v>
      </c>
      <c r="G12" s="708"/>
    </row>
    <row r="13" spans="1:9" x14ac:dyDescent="0.2">
      <c r="A13" s="705" t="s">
        <v>106</v>
      </c>
      <c r="B13" s="706" t="s">
        <v>1851</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47118483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18559</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301976</v>
      </c>
      <c r="G52" s="701"/>
    </row>
    <row r="53" spans="1:7" x14ac:dyDescent="0.2">
      <c r="A53" s="705" t="s">
        <v>456</v>
      </c>
      <c r="B53" s="705" t="s">
        <v>1458</v>
      </c>
      <c r="C53" s="724">
        <f>'Expenditures 15-22'!B102</f>
        <v>4000</v>
      </c>
      <c r="D53" s="723" t="str">
        <f>'Expenditures 15-22'!A102</f>
        <v>Total Payments to Other Govt Units</v>
      </c>
      <c r="E53" s="704"/>
      <c r="F53" s="1782">
        <f>'Expenditures 15-22'!K102</f>
        <v>1719687</v>
      </c>
      <c r="G53" s="701"/>
    </row>
    <row r="54" spans="1:7" x14ac:dyDescent="0.2">
      <c r="A54" s="705" t="s">
        <v>456</v>
      </c>
      <c r="B54" s="705" t="s">
        <v>1459</v>
      </c>
      <c r="C54" s="724" t="s">
        <v>975</v>
      </c>
      <c r="D54" s="720" t="s">
        <v>1086</v>
      </c>
      <c r="E54" s="704"/>
      <c r="F54" s="1782">
        <f>'Expenditures 15-22'!G114</f>
        <v>248966</v>
      </c>
      <c r="G54" s="701"/>
    </row>
    <row r="55" spans="1:7" x14ac:dyDescent="0.2">
      <c r="A55" s="705" t="s">
        <v>456</v>
      </c>
      <c r="B55" s="705" t="s">
        <v>1460</v>
      </c>
      <c r="C55" s="724" t="s">
        <v>975</v>
      </c>
      <c r="D55" s="720" t="s">
        <v>288</v>
      </c>
      <c r="E55" s="704"/>
      <c r="F55" s="1782">
        <f>'Expenditures 15-22'!I114</f>
        <v>323546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1136</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29</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22266</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2636165</v>
      </c>
      <c r="G77" s="701"/>
    </row>
    <row r="78" spans="1:9" s="728" customFormat="1" ht="12" customHeight="1" thickTop="1" thickBot="1" x14ac:dyDescent="0.25">
      <c r="A78" s="1450"/>
      <c r="B78" s="1448"/>
      <c r="C78" s="1445"/>
      <c r="D78" s="1449" t="s">
        <v>2011</v>
      </c>
      <c r="E78" s="1447"/>
      <c r="F78" s="1788">
        <f>(F14-F77)</f>
        <v>44482318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3040.87</v>
      </c>
      <c r="G79" s="733"/>
      <c r="H79" s="705"/>
      <c r="I79" s="705"/>
    </row>
    <row r="80" spans="1:9" s="728" customFormat="1" ht="12" customHeight="1" thickBot="1" x14ac:dyDescent="0.25">
      <c r="A80" s="1452"/>
      <c r="B80" s="1448"/>
      <c r="C80" s="1445"/>
      <c r="D80" s="1449" t="s">
        <v>2012</v>
      </c>
      <c r="E80" s="1447" t="s">
        <v>952</v>
      </c>
      <c r="F80" s="1790">
        <f>IF(F79&gt;0,F78/F79," Complete Line 79")</f>
        <v>14628.155100349572</v>
      </c>
      <c r="G80" s="705"/>
    </row>
    <row r="81" spans="1:7" s="728" customFormat="1" ht="8.25" customHeight="1" thickTop="1" x14ac:dyDescent="0.2">
      <c r="A81" s="734"/>
      <c r="B81" s="705"/>
      <c r="C81" s="707"/>
      <c r="D81" s="735"/>
      <c r="E81" s="704"/>
      <c r="F81" s="1791"/>
      <c r="G81" s="705"/>
    </row>
    <row r="82" spans="1:7" s="728" customFormat="1" ht="12" thickBot="1" x14ac:dyDescent="0.25">
      <c r="A82" s="2373" t="s">
        <v>1096</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37323</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18226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129610</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22652</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538553</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112203</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1424691</v>
      </c>
      <c r="G126" s="763"/>
    </row>
    <row r="127" spans="1:7" x14ac:dyDescent="0.2">
      <c r="A127" s="760" t="s">
        <v>663</v>
      </c>
      <c r="B127" s="760" t="s">
        <v>1930</v>
      </c>
      <c r="C127" s="765">
        <v>4300</v>
      </c>
      <c r="D127" s="766" t="str">
        <f>'Revenues 9-14'!A204</f>
        <v>Total Title I</v>
      </c>
      <c r="E127" s="739"/>
      <c r="F127" s="1793">
        <f>SUM('Revenues 9-14'!C204,'Revenues 9-14'!D204,'Revenues 9-14'!F204,'Revenues 9-14'!G204)</f>
        <v>2570935</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127129</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635706</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30529</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890631</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890631</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112242</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141771</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132100</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217189</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0</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7142540</v>
      </c>
    </row>
    <row r="176" spans="1:7" ht="12" customHeight="1" x14ac:dyDescent="0.2">
      <c r="A176" s="1443"/>
      <c r="B176" s="1453"/>
      <c r="C176" s="1454"/>
      <c r="D176" s="1455" t="s">
        <v>2013</v>
      </c>
      <c r="E176" s="1456"/>
      <c r="F176" s="1793">
        <f>'PCTC-OEPP 27-28'!F78-F175</f>
        <v>37339778</v>
      </c>
    </row>
    <row r="177" spans="1:9" ht="12" customHeight="1" x14ac:dyDescent="0.2">
      <c r="A177" s="1443"/>
      <c r="B177" s="1453"/>
      <c r="C177" s="1454"/>
      <c r="D177" s="1455" t="s">
        <v>1793</v>
      </c>
      <c r="E177" s="1456"/>
      <c r="F177" s="1793">
        <f>'Cap Outlay Deprec 26'!I18</f>
        <v>1000219.2</v>
      </c>
    </row>
    <row r="178" spans="1:9" ht="12" customHeight="1" x14ac:dyDescent="0.2">
      <c r="A178" s="1443"/>
      <c r="B178" s="1453"/>
      <c r="C178" s="1454"/>
      <c r="D178" s="1455" t="s">
        <v>2014</v>
      </c>
      <c r="E178" s="1456"/>
      <c r="F178" s="1793">
        <f>F176+F177</f>
        <v>38339997.200000003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3040.87</v>
      </c>
      <c r="G179" s="763"/>
      <c r="I179" s="701"/>
    </row>
    <row r="180" spans="1:9" ht="12" customHeight="1" thickBot="1" x14ac:dyDescent="0.25">
      <c r="A180" s="1443"/>
      <c r="B180" s="1457"/>
      <c r="C180" s="1454"/>
      <c r="D180" s="1455" t="s">
        <v>2016</v>
      </c>
      <c r="E180" s="1456" t="s">
        <v>1528</v>
      </c>
      <c r="F180" s="1798">
        <f>F178/F179</f>
        <v>12608.232907029898</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04"/>
  <sheetViews>
    <sheetView showGridLines="0" topLeftCell="A52" zoomScaleNormal="100" workbookViewId="0">
      <selection activeCell="A98" sqref="A98:XFD116"/>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1806</v>
      </c>
      <c r="B1" s="1860"/>
      <c r="C1" s="1861"/>
      <c r="D1" s="1861"/>
      <c r="E1" s="1861"/>
      <c r="F1" s="1861"/>
    </row>
    <row r="2" spans="1:6" x14ac:dyDescent="0.25">
      <c r="A2" s="1863"/>
      <c r="B2" s="1864"/>
      <c r="C2" s="1912" t="s">
        <v>2002</v>
      </c>
      <c r="D2" s="1863"/>
      <c r="E2" s="1863"/>
      <c r="F2" s="1863"/>
    </row>
    <row r="3" spans="1:6" ht="5.25" customHeight="1" x14ac:dyDescent="0.25">
      <c r="A3" s="1865"/>
      <c r="B3" s="1866"/>
      <c r="C3" s="1865"/>
      <c r="D3" s="1865"/>
      <c r="E3" s="1865"/>
      <c r="F3" s="1865"/>
    </row>
    <row r="4" spans="1:6" ht="18.75" customHeight="1" x14ac:dyDescent="0.25">
      <c r="A4" s="2387" t="s">
        <v>1794</v>
      </c>
      <c r="B4" s="2388"/>
      <c r="C4" s="2388"/>
      <c r="D4" s="2388"/>
      <c r="E4" s="2388"/>
      <c r="F4" s="2389"/>
    </row>
    <row r="5" spans="1:6" x14ac:dyDescent="0.25">
      <c r="A5" s="2390"/>
      <c r="B5" s="2391"/>
      <c r="C5" s="2391"/>
      <c r="D5" s="2391"/>
      <c r="E5" s="2391"/>
      <c r="F5" s="2392"/>
    </row>
    <row r="6" spans="1:6" ht="18.75" x14ac:dyDescent="0.25">
      <c r="A6" s="1867" t="s">
        <v>1795</v>
      </c>
      <c r="B6" s="1868"/>
      <c r="C6" s="1869"/>
      <c r="D6" s="1869"/>
      <c r="E6" s="1869"/>
      <c r="F6" s="1870"/>
    </row>
    <row r="7" spans="1:6" ht="47.25" customHeight="1" x14ac:dyDescent="0.25">
      <c r="A7" s="2393" t="s">
        <v>1984</v>
      </c>
      <c r="B7" s="2394"/>
      <c r="C7" s="2394"/>
      <c r="D7" s="2394"/>
      <c r="E7" s="2394"/>
      <c r="F7" s="2395"/>
    </row>
    <row r="8" spans="1:6" ht="20.25" customHeight="1" x14ac:dyDescent="0.25">
      <c r="A8" s="1901" t="s">
        <v>1986</v>
      </c>
      <c r="B8" s="1902"/>
      <c r="C8" s="1902"/>
      <c r="D8" s="1902"/>
      <c r="E8" s="1871"/>
      <c r="F8" s="1872"/>
    </row>
    <row r="9" spans="1:6" ht="18" customHeight="1" x14ac:dyDescent="0.25">
      <c r="A9" s="1873" t="s">
        <v>1983</v>
      </c>
      <c r="B9" s="1875"/>
      <c r="C9" s="1875"/>
      <c r="D9" s="1875"/>
      <c r="E9" s="1871"/>
      <c r="F9" s="1872"/>
    </row>
    <row r="10" spans="1:6" ht="15.75" customHeight="1" x14ac:dyDescent="0.25">
      <c r="A10" s="2396" t="s">
        <v>1980</v>
      </c>
      <c r="B10" s="2397"/>
      <c r="C10" s="2397"/>
      <c r="D10" s="2397"/>
      <c r="E10" s="2397"/>
      <c r="F10" s="2398"/>
    </row>
    <row r="11" spans="1:6" ht="33" customHeight="1" x14ac:dyDescent="0.25">
      <c r="A11" s="2393" t="s">
        <v>1985</v>
      </c>
      <c r="B11" s="2394"/>
      <c r="C11" s="2394"/>
      <c r="D11" s="2394"/>
      <c r="E11" s="2394"/>
      <c r="F11" s="2395"/>
    </row>
    <row r="12" spans="1:6" ht="15" customHeight="1" x14ac:dyDescent="0.25">
      <c r="A12" s="1873" t="s">
        <v>1981</v>
      </c>
      <c r="B12" s="1874"/>
      <c r="C12" s="1875"/>
      <c r="D12" s="1875"/>
      <c r="E12" s="1875"/>
      <c r="F12" s="1876"/>
    </row>
    <row r="13" spans="1:6" ht="17.25" customHeight="1" x14ac:dyDescent="0.25">
      <c r="A13" s="2393" t="s">
        <v>1982</v>
      </c>
      <c r="B13" s="2394"/>
      <c r="C13" s="2394"/>
      <c r="D13" s="2394"/>
      <c r="E13" s="2394"/>
      <c r="F13" s="2395"/>
    </row>
    <row r="14" spans="1:6" ht="15" customHeight="1" x14ac:dyDescent="0.25">
      <c r="A14" s="1873" t="s">
        <v>1799</v>
      </c>
      <c r="B14" s="1874"/>
      <c r="C14" s="1875"/>
      <c r="D14" s="1875"/>
      <c r="E14" s="1875"/>
      <c r="F14" s="187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6" t="s">
        <v>1798</v>
      </c>
      <c r="C17" s="1881" t="s">
        <v>1796</v>
      </c>
      <c r="D17" s="1882">
        <v>500000</v>
      </c>
      <c r="E17" s="1882" t="str">
        <f>IF(D17&lt;25000,D17,"25,000")</f>
        <v>25,000</v>
      </c>
      <c r="F17" s="1883">
        <f>IF(D17&gt;=25000,(D17-E17),"0")</f>
        <v>475000</v>
      </c>
    </row>
    <row r="18" spans="1:7" x14ac:dyDescent="0.25">
      <c r="A18" s="1913"/>
      <c r="B18" s="1907">
        <v>101000300</v>
      </c>
      <c r="C18" s="2035" t="s">
        <v>2080</v>
      </c>
      <c r="D18" s="1885">
        <v>148492</v>
      </c>
      <c r="E18" s="1905" t="str">
        <f t="shared" ref="E18:E81" si="0">IF(D18&lt;25000,D18,"25,000")</f>
        <v>25,000</v>
      </c>
      <c r="F18" s="1905">
        <f t="shared" ref="F18:F81" si="1">IF(D18&gt;=25000,(D18-E18),"0")</f>
        <v>123492</v>
      </c>
      <c r="G18" s="1886"/>
    </row>
    <row r="19" spans="1:7" x14ac:dyDescent="0.25">
      <c r="A19" s="1887"/>
      <c r="B19" s="1907">
        <v>101000400</v>
      </c>
      <c r="C19" s="2035" t="s">
        <v>2081</v>
      </c>
      <c r="D19" s="1885">
        <v>46585</v>
      </c>
      <c r="E19" s="1905" t="str">
        <f t="shared" si="0"/>
        <v>25,000</v>
      </c>
      <c r="F19" s="1905">
        <f t="shared" si="1"/>
        <v>21585</v>
      </c>
    </row>
    <row r="20" spans="1:7" x14ac:dyDescent="0.25">
      <c r="A20" s="1887"/>
      <c r="B20" s="1907">
        <v>101000400</v>
      </c>
      <c r="C20" s="2035" t="s">
        <v>2082</v>
      </c>
      <c r="D20" s="1885">
        <v>13627</v>
      </c>
      <c r="E20" s="1905">
        <f t="shared" si="0"/>
        <v>13627</v>
      </c>
      <c r="F20" s="1905" t="str">
        <f t="shared" si="1"/>
        <v>0</v>
      </c>
    </row>
    <row r="21" spans="1:7" x14ac:dyDescent="0.25">
      <c r="A21" s="1887"/>
      <c r="B21" s="1907">
        <v>101000400</v>
      </c>
      <c r="C21" s="2035" t="s">
        <v>2083</v>
      </c>
      <c r="D21" s="1885">
        <v>26295</v>
      </c>
      <c r="E21" s="1905" t="str">
        <f t="shared" si="0"/>
        <v>25,000</v>
      </c>
      <c r="F21" s="1905">
        <f t="shared" si="1"/>
        <v>1295</v>
      </c>
    </row>
    <row r="22" spans="1:7" x14ac:dyDescent="0.25">
      <c r="A22" s="1887"/>
      <c r="B22" s="1907">
        <v>101000400</v>
      </c>
      <c r="C22" s="2035" t="s">
        <v>2084</v>
      </c>
      <c r="D22" s="1885">
        <v>14742</v>
      </c>
      <c r="E22" s="1905">
        <f t="shared" si="0"/>
        <v>14742</v>
      </c>
      <c r="F22" s="1905" t="str">
        <f t="shared" si="1"/>
        <v>0</v>
      </c>
    </row>
    <row r="23" spans="1:7" x14ac:dyDescent="0.25">
      <c r="A23" s="1887"/>
      <c r="B23" s="1907">
        <v>101000400</v>
      </c>
      <c r="C23" s="2035" t="s">
        <v>2085</v>
      </c>
      <c r="D23" s="1885">
        <v>11544</v>
      </c>
      <c r="E23" s="1905">
        <f t="shared" si="0"/>
        <v>11544</v>
      </c>
      <c r="F23" s="1905" t="str">
        <f t="shared" si="1"/>
        <v>0</v>
      </c>
    </row>
    <row r="24" spans="1:7" x14ac:dyDescent="0.25">
      <c r="A24" s="1887"/>
      <c r="B24" s="1907">
        <v>101000400</v>
      </c>
      <c r="C24" s="2035" t="s">
        <v>2086</v>
      </c>
      <c r="D24" s="1885">
        <v>67295</v>
      </c>
      <c r="E24" s="1905" t="str">
        <f t="shared" si="0"/>
        <v>25,000</v>
      </c>
      <c r="F24" s="1905">
        <f t="shared" si="1"/>
        <v>42295</v>
      </c>
    </row>
    <row r="25" spans="1:7" x14ac:dyDescent="0.25">
      <c r="A25" s="1887"/>
      <c r="B25" s="1907">
        <v>101000400</v>
      </c>
      <c r="C25" s="2035" t="s">
        <v>2087</v>
      </c>
      <c r="D25" s="1885">
        <f>14273+117356</f>
        <v>131629</v>
      </c>
      <c r="E25" s="1905" t="str">
        <f t="shared" si="0"/>
        <v>25,000</v>
      </c>
      <c r="F25" s="1905">
        <f t="shared" si="1"/>
        <v>106629</v>
      </c>
    </row>
    <row r="26" spans="1:7" x14ac:dyDescent="0.25">
      <c r="A26" s="1887"/>
      <c r="B26" s="1907">
        <v>101000400</v>
      </c>
      <c r="C26" s="2035" t="s">
        <v>2088</v>
      </c>
      <c r="D26" s="1885">
        <v>20839</v>
      </c>
      <c r="E26" s="1905">
        <f t="shared" si="0"/>
        <v>20839</v>
      </c>
      <c r="F26" s="1905" t="str">
        <f t="shared" si="1"/>
        <v>0</v>
      </c>
    </row>
    <row r="27" spans="1:7" x14ac:dyDescent="0.25">
      <c r="A27" s="1887"/>
      <c r="B27" s="1907">
        <v>101000400</v>
      </c>
      <c r="C27" s="2035" t="s">
        <v>2089</v>
      </c>
      <c r="D27" s="1885">
        <f>26127+16329+192</f>
        <v>42648</v>
      </c>
      <c r="E27" s="1905" t="str">
        <f t="shared" si="0"/>
        <v>25,000</v>
      </c>
      <c r="F27" s="1905">
        <f t="shared" si="1"/>
        <v>17648</v>
      </c>
    </row>
    <row r="28" spans="1:7" x14ac:dyDescent="0.25">
      <c r="A28" s="1887"/>
      <c r="B28" s="1907">
        <v>101000400</v>
      </c>
      <c r="C28" s="2035" t="s">
        <v>2090</v>
      </c>
      <c r="D28" s="1885">
        <f>57815</f>
        <v>57815</v>
      </c>
      <c r="E28" s="1905" t="str">
        <f t="shared" si="0"/>
        <v>25,000</v>
      </c>
      <c r="F28" s="1905">
        <f t="shared" si="1"/>
        <v>32815</v>
      </c>
    </row>
    <row r="29" spans="1:7" x14ac:dyDescent="0.25">
      <c r="A29" s="1887"/>
      <c r="B29" s="1907">
        <v>101000400</v>
      </c>
      <c r="C29" s="2035" t="s">
        <v>2091</v>
      </c>
      <c r="D29" s="1885">
        <v>22072</v>
      </c>
      <c r="E29" s="1905">
        <f t="shared" si="0"/>
        <v>22072</v>
      </c>
      <c r="F29" s="1905" t="str">
        <f t="shared" si="1"/>
        <v>0</v>
      </c>
    </row>
    <row r="30" spans="1:7" x14ac:dyDescent="0.25">
      <c r="A30" s="1887"/>
      <c r="B30" s="1907">
        <v>101000400</v>
      </c>
      <c r="C30" s="2035" t="s">
        <v>2092</v>
      </c>
      <c r="D30" s="1885">
        <v>94906</v>
      </c>
      <c r="E30" s="1905" t="str">
        <f t="shared" si="0"/>
        <v>25,000</v>
      </c>
      <c r="F30" s="1905">
        <f t="shared" si="1"/>
        <v>69906</v>
      </c>
    </row>
    <row r="31" spans="1:7" x14ac:dyDescent="0.25">
      <c r="A31" s="1887"/>
      <c r="B31" s="1907">
        <v>101000400</v>
      </c>
      <c r="C31" s="2035" t="s">
        <v>2093</v>
      </c>
      <c r="D31" s="1885">
        <v>19809</v>
      </c>
      <c r="E31" s="1905">
        <f t="shared" si="0"/>
        <v>19809</v>
      </c>
      <c r="F31" s="1905" t="str">
        <f t="shared" si="1"/>
        <v>0</v>
      </c>
    </row>
    <row r="32" spans="1:7" x14ac:dyDescent="0.25">
      <c r="A32" s="1887"/>
      <c r="B32" s="1907">
        <v>102100400</v>
      </c>
      <c r="C32" s="2035" t="s">
        <v>2094</v>
      </c>
      <c r="D32" s="1885">
        <v>17344</v>
      </c>
      <c r="E32" s="1905">
        <f t="shared" si="0"/>
        <v>17344</v>
      </c>
      <c r="F32" s="1905" t="str">
        <f t="shared" si="1"/>
        <v>0</v>
      </c>
    </row>
    <row r="33" spans="1:6" x14ac:dyDescent="0.25">
      <c r="A33" s="1887"/>
      <c r="B33" s="1907">
        <v>102300300</v>
      </c>
      <c r="C33" s="2035" t="s">
        <v>2095</v>
      </c>
      <c r="D33" s="2036">
        <v>148331</v>
      </c>
      <c r="E33" s="1905" t="str">
        <f t="shared" si="0"/>
        <v>25,000</v>
      </c>
      <c r="F33" s="1905">
        <f t="shared" si="1"/>
        <v>123331</v>
      </c>
    </row>
    <row r="34" spans="1:6" x14ac:dyDescent="0.25">
      <c r="A34" s="1887"/>
      <c r="B34" s="1907">
        <v>102300300</v>
      </c>
      <c r="C34" s="2035" t="s">
        <v>2096</v>
      </c>
      <c r="D34" s="1885">
        <v>19546</v>
      </c>
      <c r="E34" s="1905">
        <f t="shared" si="0"/>
        <v>19546</v>
      </c>
      <c r="F34" s="1905" t="str">
        <f t="shared" si="1"/>
        <v>0</v>
      </c>
    </row>
    <row r="35" spans="1:6" x14ac:dyDescent="0.25">
      <c r="A35" s="1887"/>
      <c r="B35" s="1907">
        <v>102300300</v>
      </c>
      <c r="C35" s="2035" t="s">
        <v>2097</v>
      </c>
      <c r="D35" s="1885">
        <v>142250</v>
      </c>
      <c r="E35" s="1905" t="str">
        <f t="shared" si="0"/>
        <v>25,000</v>
      </c>
      <c r="F35" s="1905">
        <f t="shared" si="1"/>
        <v>117250</v>
      </c>
    </row>
    <row r="36" spans="1:6" x14ac:dyDescent="0.25">
      <c r="A36" s="1887"/>
      <c r="B36" s="1907">
        <v>102300300</v>
      </c>
      <c r="C36" s="2035" t="s">
        <v>2081</v>
      </c>
      <c r="D36" s="1885">
        <v>18593</v>
      </c>
      <c r="E36" s="1905">
        <f t="shared" si="0"/>
        <v>18593</v>
      </c>
      <c r="F36" s="1905" t="str">
        <f t="shared" si="1"/>
        <v>0</v>
      </c>
    </row>
    <row r="37" spans="1:6" x14ac:dyDescent="0.25">
      <c r="A37" s="1887"/>
      <c r="B37" s="1907">
        <v>102300300</v>
      </c>
      <c r="C37" s="2035" t="s">
        <v>2098</v>
      </c>
      <c r="D37" s="1885">
        <v>60000</v>
      </c>
      <c r="E37" s="1905" t="str">
        <f t="shared" si="0"/>
        <v>25,000</v>
      </c>
      <c r="F37" s="1905">
        <f t="shared" si="1"/>
        <v>35000</v>
      </c>
    </row>
    <row r="38" spans="1:6" x14ac:dyDescent="0.25">
      <c r="A38" s="1887"/>
      <c r="B38" s="1907">
        <v>102300300</v>
      </c>
      <c r="C38" s="2035" t="s">
        <v>2099</v>
      </c>
      <c r="D38" s="1885">
        <v>22651</v>
      </c>
      <c r="E38" s="1905">
        <f t="shared" si="0"/>
        <v>22651</v>
      </c>
      <c r="F38" s="1905" t="str">
        <f t="shared" si="1"/>
        <v>0</v>
      </c>
    </row>
    <row r="39" spans="1:6" x14ac:dyDescent="0.25">
      <c r="A39" s="1887"/>
      <c r="B39" s="1907">
        <v>102300300</v>
      </c>
      <c r="C39" s="2035" t="s">
        <v>2100</v>
      </c>
      <c r="D39" s="1885">
        <f>1590+213282</f>
        <v>214872</v>
      </c>
      <c r="E39" s="1905" t="str">
        <f t="shared" si="0"/>
        <v>25,000</v>
      </c>
      <c r="F39" s="1905">
        <f t="shared" si="1"/>
        <v>189872</v>
      </c>
    </row>
    <row r="40" spans="1:6" x14ac:dyDescent="0.25">
      <c r="A40" s="1887"/>
      <c r="B40" s="1907">
        <v>102300300</v>
      </c>
      <c r="C40" s="2035" t="s">
        <v>2101</v>
      </c>
      <c r="D40" s="1885">
        <v>321238</v>
      </c>
      <c r="E40" s="1905" t="str">
        <f t="shared" si="0"/>
        <v>25,000</v>
      </c>
      <c r="F40" s="1905">
        <f t="shared" si="1"/>
        <v>296238</v>
      </c>
    </row>
    <row r="41" spans="1:6" x14ac:dyDescent="0.25">
      <c r="A41" s="1887"/>
      <c r="B41" s="1907">
        <v>102300300</v>
      </c>
      <c r="C41" s="2035" t="s">
        <v>2102</v>
      </c>
      <c r="D41" s="1885">
        <v>86328</v>
      </c>
      <c r="E41" s="1905" t="str">
        <f t="shared" si="0"/>
        <v>25,000</v>
      </c>
      <c r="F41" s="1905">
        <f t="shared" si="1"/>
        <v>61328</v>
      </c>
    </row>
    <row r="42" spans="1:6" x14ac:dyDescent="0.25">
      <c r="A42" s="1887"/>
      <c r="B42" s="1907">
        <v>102300300</v>
      </c>
      <c r="C42" s="2035" t="s">
        <v>2103</v>
      </c>
      <c r="D42" s="1885">
        <v>12533</v>
      </c>
      <c r="E42" s="1905">
        <f t="shared" si="0"/>
        <v>12533</v>
      </c>
      <c r="F42" s="1905" t="str">
        <f t="shared" si="1"/>
        <v>0</v>
      </c>
    </row>
    <row r="43" spans="1:6" x14ac:dyDescent="0.25">
      <c r="A43" s="1887"/>
      <c r="B43" s="1907">
        <v>102300300</v>
      </c>
      <c r="C43" s="2035" t="s">
        <v>2104</v>
      </c>
      <c r="D43" s="1885">
        <v>89922</v>
      </c>
      <c r="E43" s="1905" t="str">
        <f t="shared" si="0"/>
        <v>25,000</v>
      </c>
      <c r="F43" s="1905">
        <f t="shared" si="1"/>
        <v>64922</v>
      </c>
    </row>
    <row r="44" spans="1:6" x14ac:dyDescent="0.25">
      <c r="A44" s="1887"/>
      <c r="B44" s="1907">
        <v>102300300</v>
      </c>
      <c r="C44" s="2035" t="s">
        <v>2105</v>
      </c>
      <c r="D44" s="1885">
        <v>13899</v>
      </c>
      <c r="E44" s="1905">
        <f t="shared" si="0"/>
        <v>13899</v>
      </c>
      <c r="F44" s="1905" t="str">
        <f t="shared" si="1"/>
        <v>0</v>
      </c>
    </row>
    <row r="45" spans="1:6" x14ac:dyDescent="0.25">
      <c r="A45" s="1887"/>
      <c r="B45" s="1907">
        <v>102300300</v>
      </c>
      <c r="C45" s="2035" t="s">
        <v>2106</v>
      </c>
      <c r="D45" s="1885">
        <v>11800</v>
      </c>
      <c r="E45" s="1905">
        <f t="shared" si="0"/>
        <v>11800</v>
      </c>
      <c r="F45" s="1905" t="str">
        <f t="shared" si="1"/>
        <v>0</v>
      </c>
    </row>
    <row r="46" spans="1:6" x14ac:dyDescent="0.25">
      <c r="A46" s="1887"/>
      <c r="B46" s="1907">
        <v>102300300</v>
      </c>
      <c r="C46" s="2035" t="s">
        <v>2107</v>
      </c>
      <c r="D46" s="1885">
        <v>10595</v>
      </c>
      <c r="E46" s="1905">
        <f t="shared" si="0"/>
        <v>10595</v>
      </c>
      <c r="F46" s="1905" t="str">
        <f t="shared" si="1"/>
        <v>0</v>
      </c>
    </row>
    <row r="47" spans="1:6" x14ac:dyDescent="0.25">
      <c r="A47" s="1887"/>
      <c r="B47" s="1907">
        <v>102300300</v>
      </c>
      <c r="C47" s="2035" t="s">
        <v>2108</v>
      </c>
      <c r="D47" s="1885">
        <v>619216</v>
      </c>
      <c r="E47" s="1905" t="str">
        <f t="shared" si="0"/>
        <v>25,000</v>
      </c>
      <c r="F47" s="1905">
        <f t="shared" si="1"/>
        <v>594216</v>
      </c>
    </row>
    <row r="48" spans="1:6" x14ac:dyDescent="0.25">
      <c r="A48" s="1887"/>
      <c r="B48" s="1907">
        <v>102300300</v>
      </c>
      <c r="C48" s="2035" t="s">
        <v>2109</v>
      </c>
      <c r="D48" s="1885">
        <v>216755</v>
      </c>
      <c r="E48" s="1905" t="str">
        <f t="shared" si="0"/>
        <v>25,000</v>
      </c>
      <c r="F48" s="1905">
        <f t="shared" si="1"/>
        <v>191755</v>
      </c>
    </row>
    <row r="49" spans="1:6" x14ac:dyDescent="0.25">
      <c r="A49" s="1887"/>
      <c r="B49" s="1907">
        <v>102300300</v>
      </c>
      <c r="C49" s="2035" t="s">
        <v>2110</v>
      </c>
      <c r="D49" s="1885">
        <v>31102</v>
      </c>
      <c r="E49" s="1905" t="str">
        <f t="shared" si="0"/>
        <v>25,000</v>
      </c>
      <c r="F49" s="1905">
        <f t="shared" si="1"/>
        <v>6102</v>
      </c>
    </row>
    <row r="50" spans="1:6" x14ac:dyDescent="0.25">
      <c r="A50" s="1887"/>
      <c r="B50" s="1907">
        <v>102300300</v>
      </c>
      <c r="C50" s="2035" t="s">
        <v>2111</v>
      </c>
      <c r="D50" s="1885">
        <v>25000</v>
      </c>
      <c r="E50" s="1905" t="str">
        <f t="shared" si="0"/>
        <v>25,000</v>
      </c>
      <c r="F50" s="1905">
        <f t="shared" si="1"/>
        <v>0</v>
      </c>
    </row>
    <row r="51" spans="1:6" x14ac:dyDescent="0.25">
      <c r="A51" s="1887"/>
      <c r="B51" s="1907">
        <v>102300300</v>
      </c>
      <c r="C51" s="2035" t="s">
        <v>2112</v>
      </c>
      <c r="D51" s="1885">
        <v>50371</v>
      </c>
      <c r="E51" s="1905" t="str">
        <f t="shared" si="0"/>
        <v>25,000</v>
      </c>
      <c r="F51" s="1905">
        <f t="shared" si="1"/>
        <v>25371</v>
      </c>
    </row>
    <row r="52" spans="1:6" x14ac:dyDescent="0.25">
      <c r="A52" s="1887"/>
      <c r="B52" s="1907">
        <v>102300300</v>
      </c>
      <c r="C52" s="2035" t="s">
        <v>2113</v>
      </c>
      <c r="D52" s="1885">
        <v>41027</v>
      </c>
      <c r="E52" s="1905" t="str">
        <f t="shared" si="0"/>
        <v>25,000</v>
      </c>
      <c r="F52" s="1905">
        <f t="shared" si="1"/>
        <v>16027</v>
      </c>
    </row>
    <row r="53" spans="1:6" x14ac:dyDescent="0.25">
      <c r="A53" s="1887"/>
      <c r="B53" s="1908">
        <v>102300400</v>
      </c>
      <c r="C53" s="2035" t="s">
        <v>2114</v>
      </c>
      <c r="D53" s="1885">
        <v>13343</v>
      </c>
      <c r="E53" s="1905">
        <f t="shared" si="0"/>
        <v>13343</v>
      </c>
      <c r="F53" s="1905" t="str">
        <f t="shared" si="1"/>
        <v>0</v>
      </c>
    </row>
    <row r="54" spans="1:6" x14ac:dyDescent="0.25">
      <c r="A54" s="1887"/>
      <c r="B54" s="1908">
        <v>102300400</v>
      </c>
      <c r="C54" s="2035" t="s">
        <v>2115</v>
      </c>
      <c r="D54" s="1885">
        <v>19598</v>
      </c>
      <c r="E54" s="1905">
        <f t="shared" si="0"/>
        <v>19598</v>
      </c>
      <c r="F54" s="1905" t="str">
        <f t="shared" si="1"/>
        <v>0</v>
      </c>
    </row>
    <row r="55" spans="1:6" x14ac:dyDescent="0.25">
      <c r="A55" s="1887"/>
      <c r="B55" s="1908">
        <v>102540300</v>
      </c>
      <c r="C55" s="2035" t="s">
        <v>2116</v>
      </c>
      <c r="D55" s="1885">
        <f>63794+14650</f>
        <v>78444</v>
      </c>
      <c r="E55" s="1905" t="str">
        <f t="shared" si="0"/>
        <v>25,000</v>
      </c>
      <c r="F55" s="1905">
        <f t="shared" si="1"/>
        <v>53444</v>
      </c>
    </row>
    <row r="56" spans="1:6" x14ac:dyDescent="0.25">
      <c r="A56" s="1887"/>
      <c r="B56" s="1908">
        <v>102540300</v>
      </c>
      <c r="C56" s="2035" t="s">
        <v>2117</v>
      </c>
      <c r="D56" s="1885">
        <v>12370</v>
      </c>
      <c r="E56" s="1905">
        <f t="shared" si="0"/>
        <v>12370</v>
      </c>
      <c r="F56" s="1905" t="str">
        <f t="shared" si="1"/>
        <v>0</v>
      </c>
    </row>
    <row r="57" spans="1:6" x14ac:dyDescent="0.25">
      <c r="A57" s="1887"/>
      <c r="B57" s="1908">
        <v>102540300</v>
      </c>
      <c r="C57" s="2035" t="s">
        <v>2118</v>
      </c>
      <c r="D57" s="1885">
        <v>72910</v>
      </c>
      <c r="E57" s="1905" t="str">
        <f t="shared" si="0"/>
        <v>25,000</v>
      </c>
      <c r="F57" s="1905">
        <f t="shared" si="1"/>
        <v>47910</v>
      </c>
    </row>
    <row r="58" spans="1:6" x14ac:dyDescent="0.25">
      <c r="A58" s="1887"/>
      <c r="B58" s="1908">
        <v>102540300</v>
      </c>
      <c r="C58" s="2035" t="s">
        <v>2119</v>
      </c>
      <c r="D58" s="1885">
        <v>61593</v>
      </c>
      <c r="E58" s="1905" t="str">
        <f t="shared" si="0"/>
        <v>25,000</v>
      </c>
      <c r="F58" s="1905">
        <f t="shared" si="1"/>
        <v>36593</v>
      </c>
    </row>
    <row r="59" spans="1:6" x14ac:dyDescent="0.25">
      <c r="A59" s="1887"/>
      <c r="B59" s="1908">
        <v>102540300</v>
      </c>
      <c r="C59" s="2035" t="s">
        <v>2120</v>
      </c>
      <c r="D59" s="1885">
        <v>67851</v>
      </c>
      <c r="E59" s="1905" t="str">
        <f t="shared" si="0"/>
        <v>25,000</v>
      </c>
      <c r="F59" s="1905">
        <f t="shared" si="1"/>
        <v>42851</v>
      </c>
    </row>
    <row r="60" spans="1:6" x14ac:dyDescent="0.25">
      <c r="A60" s="1887"/>
      <c r="B60" s="1908">
        <v>102540400</v>
      </c>
      <c r="C60" s="2035" t="s">
        <v>2121</v>
      </c>
      <c r="D60" s="1885">
        <v>95292</v>
      </c>
      <c r="E60" s="1905" t="str">
        <f t="shared" si="0"/>
        <v>25,000</v>
      </c>
      <c r="F60" s="1905">
        <f t="shared" si="1"/>
        <v>70292</v>
      </c>
    </row>
    <row r="61" spans="1:6" x14ac:dyDescent="0.25">
      <c r="A61" s="1887"/>
      <c r="B61" s="1908">
        <v>102540400</v>
      </c>
      <c r="C61" s="2035" t="s">
        <v>2122</v>
      </c>
      <c r="D61" s="1885">
        <v>139606</v>
      </c>
      <c r="E61" s="1905" t="str">
        <f t="shared" si="0"/>
        <v>25,000</v>
      </c>
      <c r="F61" s="1905">
        <f t="shared" si="1"/>
        <v>114606</v>
      </c>
    </row>
    <row r="62" spans="1:6" x14ac:dyDescent="0.25">
      <c r="A62" s="1887"/>
      <c r="B62" s="1908">
        <v>102540400</v>
      </c>
      <c r="C62" s="2035" t="s">
        <v>2123</v>
      </c>
      <c r="D62" s="1885">
        <v>229405</v>
      </c>
      <c r="E62" s="1905" t="str">
        <f t="shared" si="0"/>
        <v>25,000</v>
      </c>
      <c r="F62" s="1905">
        <f t="shared" si="1"/>
        <v>204405</v>
      </c>
    </row>
    <row r="63" spans="1:6" x14ac:dyDescent="0.25">
      <c r="A63" s="1887"/>
      <c r="B63" s="1908">
        <v>102540400</v>
      </c>
      <c r="C63" s="2035" t="s">
        <v>2124</v>
      </c>
      <c r="D63" s="1885">
        <v>13250</v>
      </c>
      <c r="E63" s="1905">
        <f t="shared" si="0"/>
        <v>13250</v>
      </c>
      <c r="F63" s="1905" t="str">
        <f t="shared" si="1"/>
        <v>0</v>
      </c>
    </row>
    <row r="64" spans="1:6" x14ac:dyDescent="0.25">
      <c r="A64" s="1887"/>
      <c r="B64" s="1908">
        <v>102540400</v>
      </c>
      <c r="C64" s="2035" t="s">
        <v>2125</v>
      </c>
      <c r="D64" s="1885">
        <v>18468</v>
      </c>
      <c r="E64" s="1905">
        <f t="shared" si="0"/>
        <v>18468</v>
      </c>
      <c r="F64" s="1905" t="str">
        <f t="shared" si="1"/>
        <v>0</v>
      </c>
    </row>
    <row r="65" spans="1:6" x14ac:dyDescent="0.25">
      <c r="A65" s="1884"/>
      <c r="B65" s="1908">
        <v>102540400</v>
      </c>
      <c r="C65" s="2035" t="s">
        <v>2126</v>
      </c>
      <c r="D65" s="1885">
        <v>17497</v>
      </c>
      <c r="E65" s="1905">
        <f t="shared" si="0"/>
        <v>17497</v>
      </c>
      <c r="F65" s="1905" t="str">
        <f t="shared" si="1"/>
        <v>0</v>
      </c>
    </row>
    <row r="66" spans="1:6" x14ac:dyDescent="0.25">
      <c r="A66" s="1887"/>
      <c r="B66" s="1908">
        <v>102560400</v>
      </c>
      <c r="C66" s="2035" t="s">
        <v>2127</v>
      </c>
      <c r="D66" s="1885">
        <v>17380</v>
      </c>
      <c r="E66" s="1905">
        <f t="shared" si="0"/>
        <v>17380</v>
      </c>
      <c r="F66" s="1905" t="str">
        <f t="shared" si="1"/>
        <v>0</v>
      </c>
    </row>
    <row r="67" spans="1:6" x14ac:dyDescent="0.25">
      <c r="A67" s="1887"/>
      <c r="B67" s="1908">
        <v>102560400</v>
      </c>
      <c r="C67" s="2035" t="s">
        <v>2128</v>
      </c>
      <c r="D67" s="1885">
        <v>16495</v>
      </c>
      <c r="E67" s="1905">
        <f t="shared" si="0"/>
        <v>16495</v>
      </c>
      <c r="F67" s="1905" t="str">
        <f t="shared" si="1"/>
        <v>0</v>
      </c>
    </row>
    <row r="68" spans="1:6" x14ac:dyDescent="0.25">
      <c r="A68" s="1887"/>
      <c r="B68" s="1908">
        <v>102560400</v>
      </c>
      <c r="C68" s="2035" t="s">
        <v>2129</v>
      </c>
      <c r="D68" s="1885">
        <v>97186</v>
      </c>
      <c r="E68" s="1905" t="str">
        <f t="shared" si="0"/>
        <v>25,000</v>
      </c>
      <c r="F68" s="1905">
        <f t="shared" si="1"/>
        <v>72186</v>
      </c>
    </row>
    <row r="69" spans="1:6" x14ac:dyDescent="0.25">
      <c r="A69" s="1887"/>
      <c r="B69" s="1908">
        <v>102560400</v>
      </c>
      <c r="C69" s="2035" t="s">
        <v>2130</v>
      </c>
      <c r="D69" s="1885">
        <v>186376</v>
      </c>
      <c r="E69" s="1905" t="str">
        <f t="shared" si="0"/>
        <v>25,000</v>
      </c>
      <c r="F69" s="1905">
        <f t="shared" si="1"/>
        <v>161376</v>
      </c>
    </row>
    <row r="70" spans="1:6" x14ac:dyDescent="0.25">
      <c r="A70" s="1887"/>
      <c r="B70" s="1908">
        <v>102560400</v>
      </c>
      <c r="C70" s="2035" t="s">
        <v>2131</v>
      </c>
      <c r="D70" s="1885">
        <v>21514</v>
      </c>
      <c r="E70" s="1905">
        <f t="shared" si="0"/>
        <v>21514</v>
      </c>
      <c r="F70" s="1905" t="str">
        <f t="shared" si="1"/>
        <v>0</v>
      </c>
    </row>
    <row r="71" spans="1:6" x14ac:dyDescent="0.25">
      <c r="A71" s="1887"/>
      <c r="B71" s="1908">
        <v>102560400</v>
      </c>
      <c r="C71" s="2035" t="s">
        <v>2132</v>
      </c>
      <c r="D71" s="1885">
        <v>226440</v>
      </c>
      <c r="E71" s="1905" t="str">
        <f t="shared" si="0"/>
        <v>25,000</v>
      </c>
      <c r="F71" s="1905">
        <f t="shared" si="1"/>
        <v>201440</v>
      </c>
    </row>
    <row r="72" spans="1:6" x14ac:dyDescent="0.25">
      <c r="A72" s="1887"/>
      <c r="B72" s="1908">
        <v>102560400</v>
      </c>
      <c r="C72" s="2035" t="s">
        <v>2133</v>
      </c>
      <c r="D72" s="1885">
        <v>155855</v>
      </c>
      <c r="E72" s="1905" t="str">
        <f t="shared" si="0"/>
        <v>25,000</v>
      </c>
      <c r="F72" s="1905">
        <f t="shared" si="1"/>
        <v>130855</v>
      </c>
    </row>
    <row r="73" spans="1:6" x14ac:dyDescent="0.25">
      <c r="A73" s="1887"/>
      <c r="B73" s="1908">
        <v>103000400</v>
      </c>
      <c r="C73" s="2035" t="s">
        <v>2134</v>
      </c>
      <c r="D73" s="1885">
        <v>19778</v>
      </c>
      <c r="E73" s="1905">
        <f t="shared" si="0"/>
        <v>19778</v>
      </c>
      <c r="F73" s="1905" t="str">
        <f t="shared" si="1"/>
        <v>0</v>
      </c>
    </row>
    <row r="74" spans="1:6" x14ac:dyDescent="0.25">
      <c r="A74" s="1887"/>
      <c r="B74" s="1908">
        <v>202540300</v>
      </c>
      <c r="C74" s="2035" t="s">
        <v>2135</v>
      </c>
      <c r="D74" s="1885">
        <f>165+94468</f>
        <v>94633</v>
      </c>
      <c r="E74" s="1905" t="str">
        <f t="shared" si="0"/>
        <v>25,000</v>
      </c>
      <c r="F74" s="1905">
        <f t="shared" si="1"/>
        <v>69633</v>
      </c>
    </row>
    <row r="75" spans="1:6" x14ac:dyDescent="0.25">
      <c r="A75" s="1887"/>
      <c r="B75" s="1908">
        <v>202540300</v>
      </c>
      <c r="C75" s="2035" t="s">
        <v>2136</v>
      </c>
      <c r="D75" s="1885">
        <v>38126</v>
      </c>
      <c r="E75" s="1905" t="str">
        <f t="shared" si="0"/>
        <v>25,000</v>
      </c>
      <c r="F75" s="1905">
        <f t="shared" si="1"/>
        <v>13126</v>
      </c>
    </row>
    <row r="76" spans="1:6" x14ac:dyDescent="0.25">
      <c r="A76" s="1887"/>
      <c r="B76" s="1908">
        <v>202540300</v>
      </c>
      <c r="C76" s="2035" t="s">
        <v>2137</v>
      </c>
      <c r="D76" s="1885">
        <v>31860</v>
      </c>
      <c r="E76" s="1905" t="str">
        <f t="shared" si="0"/>
        <v>25,000</v>
      </c>
      <c r="F76" s="1905">
        <f t="shared" si="1"/>
        <v>6860</v>
      </c>
    </row>
    <row r="77" spans="1:6" x14ac:dyDescent="0.25">
      <c r="A77" s="1887"/>
      <c r="B77" s="1908">
        <v>202540300</v>
      </c>
      <c r="C77" s="2035" t="s">
        <v>2138</v>
      </c>
      <c r="D77" s="1885">
        <v>12100</v>
      </c>
      <c r="E77" s="1905">
        <f t="shared" si="0"/>
        <v>12100</v>
      </c>
      <c r="F77" s="1905" t="str">
        <f t="shared" si="1"/>
        <v>0</v>
      </c>
    </row>
    <row r="78" spans="1:6" x14ac:dyDescent="0.25">
      <c r="A78" s="1887"/>
      <c r="B78" s="1908">
        <v>202540300</v>
      </c>
      <c r="C78" s="2035" t="s">
        <v>2139</v>
      </c>
      <c r="D78" s="1885">
        <v>10228</v>
      </c>
      <c r="E78" s="1905">
        <f t="shared" si="0"/>
        <v>10228</v>
      </c>
      <c r="F78" s="1905" t="str">
        <f t="shared" si="1"/>
        <v>0</v>
      </c>
    </row>
    <row r="79" spans="1:6" x14ac:dyDescent="0.25">
      <c r="A79" s="1887"/>
      <c r="B79" s="1908">
        <v>202540400</v>
      </c>
      <c r="C79" s="2035" t="s">
        <v>2140</v>
      </c>
      <c r="D79" s="1885">
        <v>10879</v>
      </c>
      <c r="E79" s="1905">
        <f t="shared" si="0"/>
        <v>10879</v>
      </c>
      <c r="F79" s="1905" t="str">
        <f t="shared" si="1"/>
        <v>0</v>
      </c>
    </row>
    <row r="80" spans="1:6" x14ac:dyDescent="0.25">
      <c r="A80" s="1887"/>
      <c r="B80" s="1908">
        <v>202540400</v>
      </c>
      <c r="C80" s="2035" t="s">
        <v>2094</v>
      </c>
      <c r="D80" s="1885">
        <v>113989</v>
      </c>
      <c r="E80" s="1905" t="str">
        <f t="shared" si="0"/>
        <v>25,000</v>
      </c>
      <c r="F80" s="1905">
        <f t="shared" si="1"/>
        <v>88989</v>
      </c>
    </row>
    <row r="81" spans="1:6" x14ac:dyDescent="0.25">
      <c r="A81" s="1887"/>
      <c r="B81" s="1908">
        <v>402550300</v>
      </c>
      <c r="C81" s="2037" t="s">
        <v>2145</v>
      </c>
      <c r="D81" s="1885">
        <v>141250</v>
      </c>
      <c r="E81" s="1905" t="str">
        <f t="shared" si="0"/>
        <v>25,000</v>
      </c>
      <c r="F81" s="1905">
        <f t="shared" si="1"/>
        <v>116250</v>
      </c>
    </row>
    <row r="82" spans="1:6" x14ac:dyDescent="0.25">
      <c r="A82" s="1887"/>
      <c r="B82" s="1908">
        <v>402550300</v>
      </c>
      <c r="C82" s="2037" t="s">
        <v>2146</v>
      </c>
      <c r="D82" s="1885">
        <f>123531+78882</f>
        <v>202413</v>
      </c>
      <c r="E82" s="1905" t="str">
        <f t="shared" ref="E82:E103" si="2">IF(D82&lt;25000,D82,"25,000")</f>
        <v>25,000</v>
      </c>
      <c r="F82" s="1905">
        <f t="shared" ref="F82:F103" si="3">IF(D82&gt;=25000,(D82-E82),"0")</f>
        <v>177413</v>
      </c>
    </row>
    <row r="83" spans="1:6" x14ac:dyDescent="0.25">
      <c r="A83" s="1887"/>
      <c r="B83" s="1908">
        <v>402550300</v>
      </c>
      <c r="C83" s="2037" t="s">
        <v>2147</v>
      </c>
      <c r="D83" s="1885">
        <v>177245</v>
      </c>
      <c r="E83" s="1905" t="str">
        <f t="shared" si="2"/>
        <v>25,000</v>
      </c>
      <c r="F83" s="1905">
        <f t="shared" si="3"/>
        <v>152245</v>
      </c>
    </row>
    <row r="84" spans="1:6" x14ac:dyDescent="0.25">
      <c r="A84" s="1887"/>
      <c r="B84" s="1908">
        <v>402550300</v>
      </c>
      <c r="C84" s="2037" t="s">
        <v>2148</v>
      </c>
      <c r="D84" s="1885">
        <v>27835</v>
      </c>
      <c r="E84" s="1905" t="str">
        <f t="shared" si="2"/>
        <v>25,000</v>
      </c>
      <c r="F84" s="1905">
        <f t="shared" si="3"/>
        <v>2835</v>
      </c>
    </row>
    <row r="85" spans="1:6" x14ac:dyDescent="0.25">
      <c r="A85" s="1887"/>
      <c r="B85" s="1908">
        <v>402550300</v>
      </c>
      <c r="C85" s="2037" t="s">
        <v>2149</v>
      </c>
      <c r="D85" s="1885">
        <v>30643</v>
      </c>
      <c r="E85" s="1905" t="str">
        <f t="shared" si="2"/>
        <v>25,000</v>
      </c>
      <c r="F85" s="1905">
        <f t="shared" si="3"/>
        <v>5643</v>
      </c>
    </row>
    <row r="86" spans="1:6" x14ac:dyDescent="0.25">
      <c r="A86" s="1887"/>
      <c r="B86" s="1908">
        <v>402550300</v>
      </c>
      <c r="C86" s="2037" t="s">
        <v>2150</v>
      </c>
      <c r="D86" s="1885">
        <v>20910</v>
      </c>
      <c r="E86" s="1905">
        <f t="shared" si="2"/>
        <v>20910</v>
      </c>
      <c r="F86" s="1905" t="str">
        <f t="shared" si="3"/>
        <v>0</v>
      </c>
    </row>
    <row r="87" spans="1:6" x14ac:dyDescent="0.25">
      <c r="A87" s="1887"/>
      <c r="B87" s="1908">
        <v>402550300</v>
      </c>
      <c r="C87" s="2037" t="s">
        <v>2151</v>
      </c>
      <c r="D87" s="1885">
        <v>1480</v>
      </c>
      <c r="E87" s="1905">
        <f t="shared" si="2"/>
        <v>1480</v>
      </c>
      <c r="F87" s="1905" t="str">
        <f t="shared" si="3"/>
        <v>0</v>
      </c>
    </row>
    <row r="88" spans="1:6" x14ac:dyDescent="0.25">
      <c r="A88" s="1887"/>
      <c r="B88" s="1908">
        <v>402550400</v>
      </c>
      <c r="C88" s="2037" t="s">
        <v>2152</v>
      </c>
      <c r="D88" s="1885">
        <v>47635</v>
      </c>
      <c r="E88" s="1905" t="str">
        <f t="shared" si="2"/>
        <v>25,000</v>
      </c>
      <c r="F88" s="1905">
        <f t="shared" si="3"/>
        <v>22635</v>
      </c>
    </row>
    <row r="89" spans="1:6" x14ac:dyDescent="0.25">
      <c r="A89" s="1887"/>
      <c r="B89" s="1908">
        <v>402550600</v>
      </c>
      <c r="C89" s="2037" t="s">
        <v>2153</v>
      </c>
      <c r="D89" s="1885">
        <v>205143</v>
      </c>
      <c r="E89" s="1905" t="str">
        <f t="shared" si="2"/>
        <v>25,000</v>
      </c>
      <c r="F89" s="1905">
        <f t="shared" si="3"/>
        <v>180143</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9"/>
      <c r="C103" s="1888"/>
      <c r="D103" s="1885"/>
      <c r="E103" s="1905">
        <f t="shared" si="2"/>
        <v>0</v>
      </c>
      <c r="F103" s="1905" t="str">
        <f t="shared" si="3"/>
        <v>0</v>
      </c>
    </row>
    <row r="104" spans="1:6" x14ac:dyDescent="0.25">
      <c r="A104" s="1889" t="s">
        <v>155</v>
      </c>
      <c r="B104" s="1910"/>
      <c r="C104" s="1890"/>
      <c r="D104" s="1891">
        <f>SUM(D18:D103)</f>
        <v>5638691</v>
      </c>
      <c r="E104" s="1892">
        <f>SUM(E18:E103)</f>
        <v>454884</v>
      </c>
      <c r="F104" s="1893">
        <f>SUM(F18:F103)</f>
        <v>4108807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30" zoomScaleNormal="130" workbookViewId="0">
      <selection activeCell="F31" sqref="F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9" t="s">
        <v>1660</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741207</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801">
        <v>150715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25055917</v>
      </c>
      <c r="F19" s="1802"/>
      <c r="G19" s="1804">
        <f>'Expenditures 15-22'!K33-SUM('Expenditures 15-22'!G33,'Expenditures 15-22'!I33)+'Expenditures 15-22'!D229</f>
        <v>25055917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1459124</v>
      </c>
      <c r="F21" s="1805"/>
      <c r="G21" s="1808">
        <f>'Expenditures 15-22'!K42-SUM('Expenditures 15-22'!G42,'Expenditures 15-22'!I42)+'Expenditures 15-22'!K120-SUM('Expenditures 15-22'!G120,'Expenditures 15-22'!I120)+'Expenditures 15-22'!K180-SUM('Expenditures 15-22'!G180,'Expenditures 15-22'!I180)+'Expenditures 15-22'!D238</f>
        <v>1459124</v>
      </c>
      <c r="H21" s="817"/>
      <c r="I21" s="157"/>
    </row>
    <row r="22" spans="1:9" s="542" customFormat="1" ht="12" customHeight="1" x14ac:dyDescent="0.2">
      <c r="A22" s="824" t="s">
        <v>560</v>
      </c>
      <c r="B22" s="825"/>
      <c r="C22" s="823">
        <v>2200</v>
      </c>
      <c r="D22" s="1805"/>
      <c r="E22" s="1807">
        <f>'Expenditures 15-22'!K47-SUM('Expenditures 15-22'!G47,'Expenditures 15-22'!I47)+'Expenditures 15-22'!D243</f>
        <v>885763</v>
      </c>
      <c r="F22" s="1805"/>
      <c r="G22" s="1808">
        <f>'Expenditures 15-22'!K47-SUM('Expenditures 15-22'!G47,'Expenditures 15-22'!I47)+'Expenditures 15-22'!D243</f>
        <v>885763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4585020</v>
      </c>
      <c r="F23" s="1805"/>
      <c r="G23" s="1807">
        <f>'Expenditures 15-22'!K53-SUM('Expenditures 15-22'!G53,'Expenditures 15-22'!I53)+'Expenditures 15-22'!D257+'Expenditures 15-22'!K330-SUM('Expenditures 15-22'!G330,'Expenditures 15-22'!I330)</f>
        <v>4585020</v>
      </c>
      <c r="H23" s="817"/>
      <c r="I23" s="157"/>
    </row>
    <row r="24" spans="1:9" s="542" customFormat="1" ht="12" customHeight="1" x14ac:dyDescent="0.2">
      <c r="A24" s="824" t="s">
        <v>562</v>
      </c>
      <c r="B24" s="825"/>
      <c r="C24" s="823">
        <v>2400</v>
      </c>
      <c r="D24" s="1805"/>
      <c r="E24" s="1807">
        <f>'Expenditures 15-22'!K57-SUM('Expenditures 15-22'!G57,'Expenditures 15-22'!I57)+'Expenditures 15-22'!D261</f>
        <v>2234157</v>
      </c>
      <c r="F24" s="1805"/>
      <c r="G24" s="1808">
        <f>'Expenditures 15-22'!K57-SUM('Expenditures 15-22'!G57,'Expenditures 15-22'!I57)+'Expenditures 15-22'!D261</f>
        <v>2234157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328680</v>
      </c>
      <c r="E26" s="1807">
        <f>'Expenditures 15-22'!K122-SUM('Expenditures 15-22'!G122,'Expenditures 15-22'!I122)+E7</f>
        <v>0</v>
      </c>
      <c r="F26" s="1807">
        <f>'Expenditures 15-22'!K59-SUM('Expenditures 15-22'!G59,'Expenditures 15-22'!I59)+'Expenditures 15-22'!D263-E7</f>
        <v>328680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599200</v>
      </c>
      <c r="E27" s="1807">
        <f>E8</f>
        <v>0</v>
      </c>
      <c r="F27" s="1807">
        <f>'Expenditures 15-22'!K60-SUM('Expenditures 15-22'!G60,'Expenditures 15-22'!I60)+'Expenditures 15-22'!D264-E8</f>
        <v>599200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3654235</v>
      </c>
      <c r="F28" s="1809">
        <f>'Expenditures 15-22'!K61-SUM('Expenditures 15-22'!G61,'Expenditures 15-22'!I61)+'Expenditures 15-22'!K124-SUM('Expenditures 15-22'!G124,'Expenditures 15-22'!I124)+'Expenditures 15-22'!D266-E9</f>
        <v>3654235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1517511</v>
      </c>
      <c r="F29" s="1805"/>
      <c r="G29" s="1808">
        <f>'Expenditures 15-22'!K62-SUM('Expenditures 15-22'!G62,'Expenditures 15-22'!I62)+'Expenditures 15-22'!K125-SUM('Expenditures 15-22'!G125,'Expenditures 15-22'!I125)+'Expenditures 15-22'!K182-SUM('Expenditures 15-22'!G182,'Expenditures 15-22'!I182)+'Expenditures 15-22'!D267</f>
        <v>1517511</v>
      </c>
      <c r="H29" s="815"/>
    </row>
    <row r="30" spans="1:9" ht="12" customHeight="1" x14ac:dyDescent="0.2">
      <c r="A30" s="824" t="s">
        <v>100</v>
      </c>
      <c r="B30" s="827"/>
      <c r="C30" s="823">
        <v>2560</v>
      </c>
      <c r="D30" s="1805"/>
      <c r="E30" s="1807">
        <f>'Expenditures 15-22'!K63-SUM('Expenditures 15-22'!G63,'Expenditures 15-22'!I63)+'Expenditures 15-22'!D268-E10</f>
        <v>933776</v>
      </c>
      <c r="F30" s="1805"/>
      <c r="G30" s="1807">
        <f>'Expenditures 15-22'!K63-SUM('Expenditures 15-22'!G63,'Expenditures 15-22'!I63)+'Expenditures 15-22'!D268-E10</f>
        <v>933776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8319</v>
      </c>
      <c r="E36" s="1807">
        <f>E13</f>
        <v>0</v>
      </c>
      <c r="F36" s="1807">
        <f>'Expenditures 15-22'!K70-SUM('Expenditures 15-22'!G70,'Expenditures 15-22'!I70)+'Expenditures 15-22'!D275-E13</f>
        <v>8319</v>
      </c>
      <c r="G36" s="1807">
        <f>E13</f>
        <v>0</v>
      </c>
    </row>
    <row r="37" spans="1:7" ht="12" customHeight="1" x14ac:dyDescent="0.2">
      <c r="A37" s="824" t="s">
        <v>401</v>
      </c>
      <c r="B37" s="827"/>
      <c r="C37" s="823">
        <v>2660</v>
      </c>
      <c r="D37" s="1807">
        <f>'Expenditures 15-22'!K71-SUM('Expenditures 15-22'!G71,'Expenditures 15-22'!I71)+'Expenditures 15-22'!D276-E14</f>
        <v>7475</v>
      </c>
      <c r="E37" s="1807">
        <f>E14</f>
        <v>0</v>
      </c>
      <c r="F37" s="1807">
        <f>'Expenditures 15-22'!K71-SUM('Expenditures 15-22'!G71,'Expenditures 15-22'!I71)+'Expenditures 15-22'!D276-E14</f>
        <v>7475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2872</v>
      </c>
      <c r="F38" s="1805"/>
      <c r="G38" s="1807">
        <f>'Expenditures 15-22'!K73-SUM('Expenditures 15-22'!G73,'Expenditures 15-22'!I73)+'Expenditures 15-22'!K128-SUM('Expenditures 15-22'!G128,'Expenditures 15-22'!I128)+'Expenditures 15-22'!K183-SUM('Expenditures 15-22'!G183,'Expenditures 15-22'!I183)+'Expenditures 15-22'!D278</f>
        <v>2872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324242</v>
      </c>
      <c r="F39" s="1805"/>
      <c r="G39" s="1807">
        <f>'Expenditures 15-22'!K75-SUM('Expenditures 15-22'!G75,'Expenditures 15-22'!I75)+'Expenditures 15-22'!K130-SUM('Expenditures 15-22'!G130,'Expenditures 15-22'!I130)+'Expenditures 15-22'!K185-SUM('Expenditures 15-22'!G185,'Expenditures 15-22'!I185)+'Expenditures 15-22'!D280</f>
        <v>324242</v>
      </c>
    </row>
    <row r="40" spans="1:7" ht="12" customHeight="1" x14ac:dyDescent="0.2">
      <c r="A40" s="820" t="s">
        <v>1797</v>
      </c>
      <c r="B40" s="821"/>
      <c r="C40" s="823"/>
      <c r="D40" s="1805"/>
      <c r="E40" s="1809">
        <f>-'Contracts Paid in CY 29'!F104</f>
        <v>-4108807</v>
      </c>
      <c r="F40" s="1805"/>
      <c r="G40" s="1809">
        <f>-'Contracts Paid in CY 29'!F104</f>
        <v>-4108807</v>
      </c>
    </row>
    <row r="41" spans="1:7" ht="12" customHeight="1" x14ac:dyDescent="0.2">
      <c r="A41" s="828" t="s">
        <v>155</v>
      </c>
      <c r="B41" s="829"/>
      <c r="C41" s="830"/>
      <c r="D41" s="1809">
        <f>SUM(D19:D39)</f>
        <v>943674</v>
      </c>
      <c r="E41" s="1809">
        <f>SUM(E19:E40)</f>
        <v>36543810</v>
      </c>
      <c r="F41" s="1809">
        <f>SUM(F19:F39)</f>
        <v>4597909</v>
      </c>
      <c r="G41" s="1809">
        <f>SUM(G19:G40)</f>
        <v>32889575</v>
      </c>
    </row>
    <row r="42" spans="1:7" x14ac:dyDescent="0.2">
      <c r="A42" s="817"/>
      <c r="B42" s="157"/>
      <c r="C42" s="831"/>
      <c r="D42" s="2402" t="s">
        <v>519</v>
      </c>
      <c r="E42" s="2403"/>
      <c r="F42" s="832" t="s">
        <v>520</v>
      </c>
      <c r="G42" s="833"/>
    </row>
    <row r="43" spans="1:7" ht="12" customHeight="1" x14ac:dyDescent="0.2">
      <c r="A43" s="817"/>
      <c r="B43" s="157"/>
      <c r="C43" s="831"/>
      <c r="D43" s="1458" t="s">
        <v>470</v>
      </c>
      <c r="E43" s="1810">
        <f>D41</f>
        <v>943674</v>
      </c>
      <c r="F43" s="1458" t="s">
        <v>470</v>
      </c>
      <c r="G43" s="1810">
        <f>F41</f>
        <v>4597909</v>
      </c>
    </row>
    <row r="44" spans="1:7" ht="12" customHeight="1" x14ac:dyDescent="0.2">
      <c r="A44" s="817"/>
      <c r="B44" s="157"/>
      <c r="C44" s="831"/>
      <c r="D44" s="1458" t="s">
        <v>471</v>
      </c>
      <c r="E44" s="1810">
        <f>E41</f>
        <v>36543810</v>
      </c>
      <c r="F44" s="1458" t="s">
        <v>471</v>
      </c>
      <c r="G44" s="1810">
        <f>G41</f>
        <v>32889575</v>
      </c>
    </row>
    <row r="45" spans="1:7" ht="12" customHeight="1" x14ac:dyDescent="0.2">
      <c r="A45" s="817"/>
      <c r="B45" s="157"/>
      <c r="C45" s="157"/>
      <c r="D45" s="1459" t="s">
        <v>999</v>
      </c>
      <c r="E45" s="1811">
        <f>(E43/E44)</f>
        <v>2.5823087412067871E-2</v>
      </c>
      <c r="F45" s="1459" t="s">
        <v>999</v>
      </c>
      <c r="G45" s="1811">
        <f>(G43/G44)</f>
        <v>0.13979837076033971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Chicago Heights SD 170</v>
      </c>
      <c r="D6" s="2414"/>
      <c r="E6" s="2414"/>
      <c r="F6" s="1482"/>
      <c r="G6" s="1507"/>
      <c r="L6" s="1507"/>
      <c r="M6" s="1855"/>
      <c r="N6" s="1855"/>
      <c r="O6" s="1855"/>
    </row>
    <row r="7" spans="1:15" ht="11.25" customHeight="1" thickBot="1" x14ac:dyDescent="0.3">
      <c r="A7" s="1480"/>
      <c r="B7" s="1481"/>
      <c r="C7" s="2415">
        <f>COVER!A13</f>
        <v>7016170002</v>
      </c>
      <c r="D7" s="2415"/>
      <c r="E7" s="241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2050</v>
      </c>
      <c r="D19" s="1495" t="s">
        <v>2050</v>
      </c>
      <c r="E19" s="1498"/>
      <c r="F19" s="1497" t="s">
        <v>2141</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2050</v>
      </c>
      <c r="D20" s="1495" t="s">
        <v>2050</v>
      </c>
      <c r="E20" s="1498"/>
      <c r="F20" s="1497" t="s">
        <v>2142</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2144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2050</v>
      </c>
      <c r="D33" s="1495" t="s">
        <v>2050</v>
      </c>
      <c r="E33" s="1498"/>
      <c r="F33" s="1497" t="s">
        <v>2143</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1502"/>
      <c r="B39" s="1502"/>
      <c r="C39" s="1502"/>
      <c r="D39" s="1502"/>
      <c r="E39" s="1502"/>
      <c r="F39" s="1502"/>
    </row>
    <row r="40" spans="1:15" s="1499" customFormat="1" ht="12" customHeight="1" x14ac:dyDescent="0.25">
      <c r="A40" s="1503" t="s">
        <v>1375</v>
      </c>
      <c r="B40" s="1504"/>
      <c r="C40" s="2424"/>
      <c r="D40" s="2424"/>
      <c r="E40" s="2424"/>
      <c r="F40" s="2425"/>
      <c r="H40" s="1508"/>
      <c r="I40" s="1508"/>
      <c r="J40" s="1508"/>
      <c r="K40" s="1508"/>
    </row>
    <row r="41" spans="1:15" s="1499" customFormat="1" ht="12" customHeight="1" x14ac:dyDescent="0.25">
      <c r="A41" s="2426"/>
      <c r="B41" s="2427"/>
      <c r="C41" s="2427"/>
      <c r="D41" s="2427"/>
      <c r="E41" s="2427"/>
      <c r="F41" s="2428"/>
      <c r="H41" s="1508"/>
      <c r="I41" s="1508"/>
      <c r="J41" s="1508"/>
      <c r="K41" s="1508"/>
    </row>
    <row r="42" spans="1:15" s="1499" customFormat="1" ht="12" customHeight="1" x14ac:dyDescent="0.25">
      <c r="A42" s="2426"/>
      <c r="B42" s="2427"/>
      <c r="C42" s="2427"/>
      <c r="D42" s="2427"/>
      <c r="E42" s="2427"/>
      <c r="F42" s="2428"/>
      <c r="H42" s="1508"/>
      <c r="I42" s="1508"/>
      <c r="J42" s="1508"/>
      <c r="K42" s="1508"/>
    </row>
    <row r="43" spans="1:15" s="1499" customFormat="1" ht="15" x14ac:dyDescent="0.25">
      <c r="A43" s="2418"/>
      <c r="B43" s="2419"/>
      <c r="C43" s="2419"/>
      <c r="D43" s="2419"/>
      <c r="E43" s="2419"/>
      <c r="F43" s="2420"/>
      <c r="H43" s="1508"/>
      <c r="I43" s="1508"/>
      <c r="J43" s="1508"/>
      <c r="K43" s="1508"/>
    </row>
    <row r="44" spans="1:15" s="1499" customFormat="1" ht="12" hidden="1" customHeight="1" x14ac:dyDescent="0.25">
      <c r="A44" s="2418"/>
      <c r="B44" s="2419"/>
      <c r="C44" s="2419"/>
      <c r="D44" s="2419"/>
      <c r="E44" s="2419"/>
      <c r="F44" s="242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64" zoomScaleNormal="100" workbookViewId="0">
      <selection activeCell="G12" sqref="G1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0" t="str">
        <f>COVER!A17</f>
        <v xml:space="preserve"> Chicago Heights SD 170</v>
      </c>
      <c r="K6" s="2430"/>
      <c r="L6" s="2431"/>
      <c r="M6" s="838"/>
      <c r="N6" s="1998"/>
    </row>
    <row r="7" spans="1:14" x14ac:dyDescent="0.2">
      <c r="A7" s="2432" t="s">
        <v>864</v>
      </c>
      <c r="B7" s="2433"/>
      <c r="C7" s="2433"/>
      <c r="D7" s="2433"/>
      <c r="E7" s="2434"/>
      <c r="F7" s="839"/>
      <c r="G7" s="838"/>
      <c r="H7" s="838"/>
      <c r="I7" s="1924" t="s">
        <v>369</v>
      </c>
      <c r="J7" s="2435">
        <f>COVER!A13</f>
        <v>7016170002</v>
      </c>
      <c r="K7" s="2435"/>
      <c r="L7" s="2435"/>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6" t="s">
        <v>478</v>
      </c>
      <c r="B11" s="2437"/>
      <c r="C11" s="2438"/>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649088</v>
      </c>
      <c r="F12" s="1942"/>
      <c r="G12" s="1968">
        <f>G68</f>
        <v>0</v>
      </c>
      <c r="H12" s="1944">
        <f t="shared" ref="H12:H18" si="0">SUM(E12:G12)</f>
        <v>649088</v>
      </c>
      <c r="I12" s="1943">
        <v>684934</v>
      </c>
      <c r="J12" s="1942"/>
      <c r="K12" s="1943"/>
      <c r="L12" s="1944">
        <f t="shared" ref="L12:L18" si="1">SUM(I12:K12)</f>
        <v>684934</v>
      </c>
      <c r="M12" s="838"/>
      <c r="N12" s="1998"/>
    </row>
    <row r="13" spans="1:14" x14ac:dyDescent="0.2">
      <c r="A13" s="2003">
        <v>2</v>
      </c>
      <c r="B13" s="1940" t="s">
        <v>42</v>
      </c>
      <c r="C13" s="842"/>
      <c r="D13" s="1941">
        <v>2330</v>
      </c>
      <c r="E13" s="1944">
        <f>'Expenditures 15-22'!K51</f>
        <v>470543</v>
      </c>
      <c r="F13" s="1942"/>
      <c r="G13" s="1968">
        <f>H68</f>
        <v>0</v>
      </c>
      <c r="H13" s="1944">
        <f t="shared" si="0"/>
        <v>470543</v>
      </c>
      <c r="I13" s="1943">
        <v>489365</v>
      </c>
      <c r="J13" s="1942"/>
      <c r="K13" s="1943"/>
      <c r="L13" s="1944">
        <f t="shared" si="1"/>
        <v>489365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313351</v>
      </c>
      <c r="F15" s="1944">
        <f>'Expenditures 15-22'!K122</f>
        <v>0</v>
      </c>
      <c r="G15" s="1968">
        <f>J68</f>
        <v>0</v>
      </c>
      <c r="H15" s="1944">
        <f t="shared" si="0"/>
        <v>313351</v>
      </c>
      <c r="I15" s="1943">
        <v>325887</v>
      </c>
      <c r="J15" s="1943"/>
      <c r="K15" s="1943"/>
      <c r="L15" s="1944">
        <f t="shared" si="1"/>
        <v>325887</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9" t="s">
        <v>7</v>
      </c>
      <c r="C18" s="2440"/>
      <c r="D18" s="244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1432982</v>
      </c>
      <c r="F19" s="1950">
        <f t="shared" si="2"/>
        <v>0</v>
      </c>
      <c r="G19" s="1950">
        <f t="shared" ref="G19" si="3">SUM(G12:G17)-G18</f>
        <v>0</v>
      </c>
      <c r="H19" s="1950">
        <f t="shared" si="2"/>
        <v>1432982</v>
      </c>
      <c r="I19" s="1950">
        <f t="shared" si="2"/>
        <v>1500186</v>
      </c>
      <c r="J19" s="1950">
        <f t="shared" si="2"/>
        <v>0</v>
      </c>
      <c r="K19" s="1950">
        <f t="shared" si="2"/>
        <v>0</v>
      </c>
      <c r="L19" s="1950">
        <f t="shared" si="2"/>
        <v>1500186</v>
      </c>
      <c r="M19" s="838"/>
      <c r="N19" s="1998"/>
    </row>
    <row r="20" spans="1:14" ht="13.5" thickTop="1" x14ac:dyDescent="0.2">
      <c r="A20" s="2003">
        <v>9</v>
      </c>
      <c r="B20" s="2442" t="s">
        <v>2020</v>
      </c>
      <c r="C20" s="2442"/>
      <c r="D20" s="2443"/>
      <c r="E20" s="1951"/>
      <c r="F20" s="1951"/>
      <c r="G20" s="1951"/>
      <c r="H20" s="1951"/>
      <c r="I20" s="1951"/>
      <c r="J20" s="1951"/>
      <c r="K20" s="1951"/>
      <c r="L20" s="1952">
        <f>IF(AND(H19&gt;0,L19&gt;0),(((L19-H19)/H19)),"Enter Budget Data")</f>
        <v>4.689800709290138E-2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4"/>
      <c r="D27" s="2444"/>
      <c r="E27" s="843"/>
      <c r="F27" s="2445"/>
      <c r="G27" s="2445"/>
      <c r="H27" s="2445"/>
      <c r="I27" s="838"/>
      <c r="J27" s="838"/>
      <c r="K27" s="838"/>
      <c r="L27" s="838"/>
      <c r="M27" s="838"/>
      <c r="N27" s="1998"/>
    </row>
    <row r="28" spans="1:14" x14ac:dyDescent="0.2">
      <c r="A28" s="1997"/>
      <c r="B28" s="2007"/>
      <c r="C28" s="1957" t="s">
        <v>1026</v>
      </c>
      <c r="D28" s="844"/>
      <c r="E28" s="1958"/>
      <c r="F28" s="2446" t="s">
        <v>1492</v>
      </c>
      <c r="G28" s="2446"/>
      <c r="H28" s="2446"/>
      <c r="I28" s="838"/>
      <c r="J28" s="838"/>
      <c r="K28" s="838"/>
      <c r="L28" s="838"/>
      <c r="M28" s="838"/>
      <c r="N28" s="1998"/>
    </row>
    <row r="29" spans="1:14" x14ac:dyDescent="0.2">
      <c r="A29" s="1997"/>
      <c r="B29" s="2007"/>
      <c r="C29" s="2447"/>
      <c r="D29" s="2447"/>
      <c r="E29" s="845"/>
      <c r="F29" s="2447"/>
      <c r="G29" s="2447"/>
      <c r="H29" s="2447"/>
      <c r="I29" s="838"/>
      <c r="J29" s="838"/>
      <c r="K29" s="838"/>
      <c r="L29" s="838"/>
      <c r="M29" s="838"/>
      <c r="N29" s="1998"/>
    </row>
    <row r="30" spans="1:14" x14ac:dyDescent="0.2">
      <c r="A30" s="1997"/>
      <c r="B30" s="2007"/>
      <c r="C30" s="1960" t="s">
        <v>1544</v>
      </c>
      <c r="D30" s="838"/>
      <c r="E30" s="1959"/>
      <c r="F30" s="2429" t="s">
        <v>1493</v>
      </c>
      <c r="G30" s="2429"/>
      <c r="H30" s="242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0" t="s">
        <v>2023</v>
      </c>
      <c r="D34" s="2451"/>
      <c r="E34" s="2451"/>
      <c r="F34" s="2451"/>
      <c r="G34" s="2451"/>
      <c r="H34" s="2451"/>
      <c r="I34" s="2451"/>
      <c r="J34" s="2451"/>
      <c r="K34" s="2016"/>
      <c r="L34" s="838"/>
      <c r="M34" s="838"/>
      <c r="N34" s="1998"/>
    </row>
    <row r="35" spans="1:14" x14ac:dyDescent="0.2">
      <c r="A35" s="1997"/>
      <c r="B35" s="838"/>
      <c r="C35" s="2451"/>
      <c r="D35" s="2451"/>
      <c r="E35" s="2451"/>
      <c r="F35" s="2451"/>
      <c r="G35" s="2451"/>
      <c r="H35" s="2451"/>
      <c r="I35" s="2451"/>
      <c r="J35" s="245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0" t="s">
        <v>2024</v>
      </c>
      <c r="D37" s="2451"/>
      <c r="E37" s="2451"/>
      <c r="F37" s="2451"/>
      <c r="G37" s="2451"/>
      <c r="H37" s="2451"/>
      <c r="I37" s="2451"/>
      <c r="J37" s="2451"/>
      <c r="K37" s="2016"/>
      <c r="L37" s="2018"/>
      <c r="M37" s="838"/>
      <c r="N37" s="1998"/>
    </row>
    <row r="38" spans="1:14" x14ac:dyDescent="0.2">
      <c r="A38" s="1997"/>
      <c r="B38" s="838"/>
      <c r="C38" s="2451"/>
      <c r="D38" s="2451"/>
      <c r="E38" s="2451"/>
      <c r="F38" s="2451"/>
      <c r="G38" s="2451"/>
      <c r="H38" s="2451"/>
      <c r="I38" s="2451"/>
      <c r="J38" s="245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2" t="s">
        <v>2025</v>
      </c>
      <c r="D40" s="2453"/>
      <c r="E40" s="2453"/>
      <c r="F40" s="2453"/>
      <c r="G40" s="2453"/>
      <c r="H40" s="2453"/>
      <c r="I40" s="2453"/>
      <c r="J40" s="245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4" t="s">
        <v>2026</v>
      </c>
      <c r="B43" s="2455"/>
      <c r="C43" s="2455"/>
      <c r="D43" s="2455"/>
      <c r="E43" s="2455"/>
      <c r="F43" s="2455"/>
      <c r="G43" s="2455"/>
      <c r="H43" s="2455"/>
      <c r="I43" s="2455"/>
      <c r="J43" s="2455"/>
      <c r="K43" s="2455"/>
      <c r="L43" s="2455"/>
      <c r="M43" s="2455"/>
      <c r="N43" s="245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57" t="s">
        <v>2028</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0" t="str">
        <f>J6</f>
        <v xml:space="preserve"> Chicago Heights SD 170</v>
      </c>
      <c r="M52" s="2430"/>
      <c r="N52" s="2460"/>
    </row>
    <row r="53" spans="1:14" x14ac:dyDescent="0.2">
      <c r="A53" s="1982"/>
      <c r="B53" s="1983"/>
      <c r="C53" s="1983"/>
      <c r="D53" s="1983"/>
      <c r="E53" s="1983"/>
      <c r="F53" s="1983"/>
      <c r="G53" s="1983"/>
      <c r="H53" s="1983"/>
      <c r="I53" s="1983"/>
      <c r="J53" s="1983"/>
      <c r="K53" s="1924" t="s">
        <v>369</v>
      </c>
      <c r="L53" s="2435">
        <f>J7</f>
        <v>7016170002</v>
      </c>
      <c r="M53" s="2435"/>
      <c r="N53" s="246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2"/>
      <c r="B55" s="2463"/>
      <c r="C55" s="2463"/>
      <c r="D55" s="1970"/>
      <c r="E55" s="1970"/>
      <c r="F55" s="1970"/>
      <c r="G55" s="2464" t="s">
        <v>2029</v>
      </c>
      <c r="H55" s="2464"/>
      <c r="I55" s="2464"/>
      <c r="J55" s="2464"/>
      <c r="K55" s="2464"/>
      <c r="L55" s="2464"/>
      <c r="M55" s="2464"/>
      <c r="N55" s="2465"/>
    </row>
    <row r="56" spans="1:14" ht="63.75" x14ac:dyDescent="0.2">
      <c r="A56" s="2466" t="s">
        <v>2030</v>
      </c>
      <c r="B56" s="2467"/>
      <c r="C56" s="246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69" t="s">
        <v>296</v>
      </c>
      <c r="B57" s="2470"/>
      <c r="C57" s="247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8" t="s">
        <v>2040</v>
      </c>
      <c r="B58" s="2449"/>
      <c r="C58" s="244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71" t="s">
        <v>297</v>
      </c>
      <c r="B59" s="2472"/>
      <c r="C59" s="247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71" t="s">
        <v>236</v>
      </c>
      <c r="B60" s="2472"/>
      <c r="C60" s="247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71" t="s">
        <v>697</v>
      </c>
      <c r="B61" s="2472"/>
      <c r="C61" s="2472"/>
      <c r="D61" s="1967">
        <v>2365</v>
      </c>
      <c r="E61" s="1977">
        <f>'Expenditures 15-22'!K323</f>
        <v>0</v>
      </c>
      <c r="F61" s="1972"/>
      <c r="G61" s="2031"/>
      <c r="H61" s="2032"/>
      <c r="I61" s="2032"/>
      <c r="J61" s="2032"/>
      <c r="K61" s="2032"/>
      <c r="L61" s="2032"/>
      <c r="M61" s="2032"/>
      <c r="N61" s="1975">
        <f t="shared" si="4"/>
        <v>0</v>
      </c>
    </row>
    <row r="62" spans="1:14" ht="24" customHeight="1" x14ac:dyDescent="0.2">
      <c r="A62" s="2471" t="s">
        <v>237</v>
      </c>
      <c r="B62" s="2472"/>
      <c r="C62" s="2472"/>
      <c r="D62" s="1967">
        <v>2366</v>
      </c>
      <c r="E62" s="1977">
        <f>'Expenditures 15-22'!K324</f>
        <v>0</v>
      </c>
      <c r="F62" s="1972"/>
      <c r="G62" s="2031"/>
      <c r="H62" s="2032"/>
      <c r="I62" s="2032"/>
      <c r="J62" s="2032"/>
      <c r="K62" s="2032"/>
      <c r="L62" s="2032"/>
      <c r="M62" s="2032"/>
      <c r="N62" s="1975">
        <f t="shared" si="4"/>
        <v>0</v>
      </c>
    </row>
    <row r="63" spans="1:14" ht="24" customHeight="1" x14ac:dyDescent="0.2">
      <c r="A63" s="2448" t="s">
        <v>1022</v>
      </c>
      <c r="B63" s="2449"/>
      <c r="C63" s="2449"/>
      <c r="D63" s="1967">
        <v>2367</v>
      </c>
      <c r="E63" s="1977">
        <f>'Expenditures 15-22'!K325</f>
        <v>0</v>
      </c>
      <c r="F63" s="1972"/>
      <c r="G63" s="2031"/>
      <c r="H63" s="2032"/>
      <c r="I63" s="2032"/>
      <c r="J63" s="2032"/>
      <c r="K63" s="2032"/>
      <c r="L63" s="2032"/>
      <c r="M63" s="2032"/>
      <c r="N63" s="1975">
        <f t="shared" si="4"/>
        <v>0</v>
      </c>
    </row>
    <row r="64" spans="1:14" ht="24" customHeight="1" x14ac:dyDescent="0.2">
      <c r="A64" s="2471" t="s">
        <v>1023</v>
      </c>
      <c r="B64" s="2472"/>
      <c r="C64" s="2472"/>
      <c r="D64" s="1967">
        <v>2368</v>
      </c>
      <c r="E64" s="1977">
        <f>'Expenditures 15-22'!K326</f>
        <v>0</v>
      </c>
      <c r="F64" s="1972"/>
      <c r="G64" s="2031"/>
      <c r="H64" s="2032"/>
      <c r="I64" s="2032"/>
      <c r="J64" s="2032"/>
      <c r="K64" s="2032"/>
      <c r="L64" s="2032"/>
      <c r="M64" s="2032"/>
      <c r="N64" s="1975">
        <f t="shared" si="4"/>
        <v>0</v>
      </c>
    </row>
    <row r="65" spans="1:14" ht="24" customHeight="1" x14ac:dyDescent="0.2">
      <c r="A65" s="2471" t="s">
        <v>965</v>
      </c>
      <c r="B65" s="2472"/>
      <c r="C65" s="2472"/>
      <c r="D65" s="1967">
        <v>2369</v>
      </c>
      <c r="E65" s="1977">
        <f>'Expenditures 15-22'!K327</f>
        <v>0</v>
      </c>
      <c r="F65" s="1972"/>
      <c r="G65" s="2031"/>
      <c r="H65" s="2032"/>
      <c r="I65" s="2032"/>
      <c r="J65" s="2032"/>
      <c r="K65" s="2032"/>
      <c r="L65" s="2032"/>
      <c r="M65" s="2032"/>
      <c r="N65" s="1975">
        <f t="shared" si="4"/>
        <v>0</v>
      </c>
    </row>
    <row r="66" spans="1:14" ht="24" customHeight="1" x14ac:dyDescent="0.2">
      <c r="A66" s="2471" t="s">
        <v>469</v>
      </c>
      <c r="B66" s="2472"/>
      <c r="C66" s="2472"/>
      <c r="D66" s="1967">
        <v>2371</v>
      </c>
      <c r="E66" s="1977">
        <f>'Expenditures 15-22'!K328</f>
        <v>0</v>
      </c>
      <c r="F66" s="1972"/>
      <c r="G66" s="2031"/>
      <c r="H66" s="2032"/>
      <c r="I66" s="2032"/>
      <c r="J66" s="2032"/>
      <c r="K66" s="2032"/>
      <c r="L66" s="2032"/>
      <c r="M66" s="2032"/>
      <c r="N66" s="1975">
        <f t="shared" si="4"/>
        <v>0</v>
      </c>
    </row>
    <row r="67" spans="1:14" ht="24.75" customHeight="1" x14ac:dyDescent="0.2">
      <c r="A67" s="2473" t="s">
        <v>2041</v>
      </c>
      <c r="B67" s="2474"/>
      <c r="C67" s="2474"/>
      <c r="D67" s="1969">
        <v>2372</v>
      </c>
      <c r="E67" s="1978">
        <f>'Expenditures 15-22'!K329</f>
        <v>0</v>
      </c>
      <c r="F67" s="1972"/>
      <c r="G67" s="2033"/>
      <c r="H67" s="2034"/>
      <c r="I67" s="2034"/>
      <c r="J67" s="2034"/>
      <c r="K67" s="2034"/>
      <c r="L67" s="2034"/>
      <c r="M67" s="2034"/>
      <c r="N67" s="1975">
        <f t="shared" si="4"/>
        <v>0</v>
      </c>
    </row>
    <row r="68" spans="1:14" x14ac:dyDescent="0.2">
      <c r="A68" s="2475" t="s">
        <v>1151</v>
      </c>
      <c r="B68" s="2476"/>
      <c r="C68" s="247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20" sqref="B2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c r="B7" s="307" t="s">
        <v>2077</v>
      </c>
    </row>
    <row r="8" spans="1:2" x14ac:dyDescent="0.2">
      <c r="A8" s="847">
        <v>4</v>
      </c>
      <c r="B8" s="307" t="s">
        <v>2078</v>
      </c>
    </row>
    <row r="9" spans="1:2" x14ac:dyDescent="0.2">
      <c r="A9" s="848">
        <v>5</v>
      </c>
      <c r="B9" s="307" t="s">
        <v>2079</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Chicago Heights SD 170</v>
      </c>
    </row>
    <row r="65" spans="2:2" x14ac:dyDescent="0.2">
      <c r="B65" s="849">
        <f>COVER!A13</f>
        <v>7016170002</v>
      </c>
    </row>
  </sheetData>
  <phoneticPr fontId="18"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63" t="s">
        <v>1056</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686</v>
      </c>
      <c r="B40" s="2160"/>
      <c r="C40" s="2160"/>
      <c r="D40" s="2160"/>
      <c r="E40" s="2160"/>
    </row>
    <row r="41" spans="1:5" x14ac:dyDescent="0.2">
      <c r="A41" s="2161" t="s">
        <v>1591</v>
      </c>
      <c r="B41" s="2161"/>
      <c r="C41" s="2161"/>
      <c r="D41" s="2161"/>
      <c r="E41" s="2161"/>
    </row>
    <row r="42" spans="1:5" ht="12.75" customHeight="1" x14ac:dyDescent="0.2">
      <c r="A42" s="2162" t="s">
        <v>1015</v>
      </c>
      <c r="B42" s="2162"/>
      <c r="C42" s="2162"/>
      <c r="D42" s="2162"/>
      <c r="E42" s="216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E30" sqref="E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30" sqref="G3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77" t="s">
        <v>1665</v>
      </c>
      <c r="B18" s="2477"/>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8369" r:id="rId4">
          <objectPr defaultSize="0" autoPict="0" r:id="rId5">
            <anchor moveWithCells="1">
              <from>
                <xdr:col>0</xdr:col>
                <xdr:colOff>47625</xdr:colOff>
                <xdr:row>3</xdr:row>
                <xdr:rowOff>152400</xdr:rowOff>
              </from>
              <to>
                <xdr:col>1</xdr:col>
                <xdr:colOff>885825</xdr:colOff>
                <xdr:row>8</xdr:row>
                <xdr:rowOff>66675</xdr:rowOff>
              </to>
            </anchor>
          </objectPr>
        </oleObject>
      </mc:Choice>
      <mc:Fallback>
        <oleObject progId="Acrobat Document" dvAspect="DVASPECT_ICON" shapeId="58369" r:id="rId4"/>
      </mc:Fallback>
    </mc:AlternateContent>
    <mc:AlternateContent xmlns:mc="http://schemas.openxmlformats.org/markup-compatibility/2006">
      <mc:Choice Requires="x14">
        <oleObject progId="Acrobat Document" dvAspect="DVASPECT_ICON" shapeId="58371" r:id="rId6">
          <objectPr defaultSize="0" r:id="rId7">
            <anchor moveWithCells="1">
              <from>
                <xdr:col>1</xdr:col>
                <xdr:colOff>1190625</xdr:colOff>
                <xdr:row>4</xdr:row>
                <xdr:rowOff>0</xdr:rowOff>
              </from>
              <to>
                <xdr:col>1</xdr:col>
                <xdr:colOff>2105025</xdr:colOff>
                <xdr:row>8</xdr:row>
                <xdr:rowOff>38100</xdr:rowOff>
              </to>
            </anchor>
          </objectPr>
        </oleObject>
      </mc:Choice>
      <mc:Fallback>
        <oleObject progId="Acrobat Document" dvAspect="DVASPECT_ICON" shapeId="58371" r:id="rId6"/>
      </mc:Fallback>
    </mc:AlternateContent>
    <mc:AlternateContent xmlns:mc="http://schemas.openxmlformats.org/markup-compatibility/2006">
      <mc:Choice Requires="x14">
        <oleObject progId="Acrobat Document" dvAspect="DVASPECT_ICON" shapeId="58372" r:id="rId8">
          <objectPr defaultSize="0" r:id="rId9">
            <anchor moveWithCells="1">
              <from>
                <xdr:col>1</xdr:col>
                <xdr:colOff>2190750</xdr:colOff>
                <xdr:row>0</xdr:row>
                <xdr:rowOff>0</xdr:rowOff>
              </from>
              <to>
                <xdr:col>1</xdr:col>
                <xdr:colOff>3105150</xdr:colOff>
                <xdr:row>4</xdr:row>
                <xdr:rowOff>38100</xdr:rowOff>
              </to>
            </anchor>
          </objectPr>
        </oleObject>
      </mc:Choice>
      <mc:Fallback>
        <oleObject progId="Acrobat Document" dvAspect="DVASPECT_ICON" shapeId="58372" r:id="rId8"/>
      </mc:Fallback>
    </mc:AlternateContent>
    <mc:AlternateContent xmlns:mc="http://schemas.openxmlformats.org/markup-compatibility/2006">
      <mc:Choice Requires="x14">
        <oleObject progId="Acrobat Document" dvAspect="DVASPECT_ICON" shapeId="58373" r:id="rId10">
          <objectPr defaultSize="0" r:id="rId11">
            <anchor moveWithCells="1">
              <from>
                <xdr:col>1</xdr:col>
                <xdr:colOff>2286000</xdr:colOff>
                <xdr:row>5</xdr:row>
                <xdr:rowOff>142875</xdr:rowOff>
              </from>
              <to>
                <xdr:col>1</xdr:col>
                <xdr:colOff>3200400</xdr:colOff>
                <xdr:row>10</xdr:row>
                <xdr:rowOff>19050</xdr:rowOff>
              </to>
            </anchor>
          </objectPr>
        </oleObject>
      </mc:Choice>
      <mc:Fallback>
        <oleObject progId="Acrobat Document" dvAspect="DVASPECT_ICON" shapeId="5837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3" sqref="D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1669</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1971</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1670</v>
      </c>
      <c r="B6" s="2495"/>
      <c r="C6" s="2495"/>
      <c r="D6" s="2495"/>
      <c r="E6" s="2495"/>
      <c r="F6" s="249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41095868</v>
      </c>
      <c r="C8" s="1813">
        <f>'Acct Summary 7-8'!D8</f>
        <v>2536733</v>
      </c>
      <c r="D8" s="1813">
        <f>'Acct Summary 7-8'!F8</f>
        <v>1031430</v>
      </c>
      <c r="E8" s="1813">
        <f>'Acct Summary 7-8'!I8</f>
        <v>85753</v>
      </c>
      <c r="F8" s="1813">
        <f>SUM(B8:E8)</f>
        <v>44749784</v>
      </c>
    </row>
    <row r="9" spans="1:8" s="858" customFormat="1" ht="14.25" customHeight="1" thickBot="1" x14ac:dyDescent="0.25">
      <c r="A9" s="857" t="s">
        <v>1353</v>
      </c>
      <c r="B9" s="1814">
        <f>'Acct Summary 7-8'!C17</f>
        <v>39130419</v>
      </c>
      <c r="C9" s="1814">
        <f>'Acct Summary 7-8'!D17</f>
        <v>2479713</v>
      </c>
      <c r="D9" s="1814">
        <f>'Acct Summary 7-8'!F17</f>
        <v>1410248</v>
      </c>
      <c r="E9" s="1813"/>
      <c r="F9" s="1813">
        <f>SUM(B9:E9)</f>
        <v>43020380</v>
      </c>
    </row>
    <row r="10" spans="1:8" s="858" customFormat="1" ht="14.25" thickTop="1" thickBot="1" x14ac:dyDescent="0.25">
      <c r="A10" s="859" t="s">
        <v>1354</v>
      </c>
      <c r="B10" s="1815">
        <f>(B8-B9)</f>
        <v>1965449</v>
      </c>
      <c r="C10" s="1815">
        <f>(C8-C9)</f>
        <v>57020</v>
      </c>
      <c r="D10" s="1815">
        <f>(D8-D9)</f>
        <v>-378818</v>
      </c>
      <c r="E10" s="1814">
        <f>(E8-E9)</f>
        <v>85753</v>
      </c>
      <c r="F10" s="1816">
        <f>SUM(F8-F9)</f>
        <v>1729404</v>
      </c>
    </row>
    <row r="11" spans="1:8" s="858" customFormat="1" ht="14.25" thickTop="1" thickBot="1" x14ac:dyDescent="0.25">
      <c r="A11" s="860" t="s">
        <v>1902</v>
      </c>
      <c r="B11" s="1817">
        <f>'Acct Summary 7-8'!C81</f>
        <v>22406004</v>
      </c>
      <c r="C11" s="1817">
        <f>'Acct Summary 7-8'!D81</f>
        <v>1708497</v>
      </c>
      <c r="D11" s="1817">
        <f>'Acct Summary 7-8'!F81</f>
        <v>2119475</v>
      </c>
      <c r="E11" s="1817">
        <f>'Acct Summary 7-8'!I81</f>
        <v>7912285</v>
      </c>
      <c r="F11" s="1818">
        <f>SUM(B11:E11)</f>
        <v>34146261</v>
      </c>
    </row>
    <row r="12" spans="1:8" ht="16.5" customHeight="1" thickTop="1" x14ac:dyDescent="0.2">
      <c r="A12" s="861"/>
      <c r="B12" s="862"/>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1666</v>
      </c>
      <c r="B16" s="2481"/>
      <c r="C16" s="2481"/>
      <c r="D16" s="2481"/>
      <c r="E16" s="248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96" sqref="D9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3" t="s">
        <v>660</v>
      </c>
      <c r="B3" s="2504"/>
      <c r="C3" s="2504"/>
      <c r="D3" s="2505"/>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4" t="s">
        <v>1487</v>
      </c>
      <c r="D7" s="2515"/>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6" t="s">
        <v>1001</v>
      </c>
      <c r="B15" s="2507"/>
      <c r="C15" s="2507"/>
      <c r="D15" s="2508"/>
    </row>
    <row r="16" spans="1:4" s="542" customFormat="1" ht="24" customHeight="1" x14ac:dyDescent="0.2">
      <c r="A16" s="2509" t="s">
        <v>658</v>
      </c>
      <c r="B16" s="2510"/>
      <c r="C16" s="2510"/>
      <c r="D16" s="2511"/>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8" t="s">
        <v>311</v>
      </c>
      <c r="D21" s="2519"/>
    </row>
    <row r="22" spans="1:10" ht="12.75" x14ac:dyDescent="0.2">
      <c r="A22" s="918"/>
      <c r="B22" s="919">
        <v>2</v>
      </c>
      <c r="C22" s="2516" t="s">
        <v>1507</v>
      </c>
      <c r="D22" s="251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0" t="s">
        <v>533</v>
      </c>
      <c r="D43" s="252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2" t="s">
        <v>779</v>
      </c>
      <c r="D56" s="251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12" t="s">
        <v>1674</v>
      </c>
      <c r="D70" s="251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29'!$D$104&gt;0,"OK","PLEASE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9" t="s">
        <v>1977</v>
      </c>
    </row>
    <row r="2" spans="1:7" ht="15.75" x14ac:dyDescent="0.25">
      <c r="A2" t="s">
        <v>260</v>
      </c>
      <c r="B2" s="135">
        <f>COVER!A13</f>
        <v>7016170002</v>
      </c>
      <c r="E2" s="1542">
        <v>2020</v>
      </c>
      <c r="F2" s="1542">
        <v>1</v>
      </c>
      <c r="G2" s="1898">
        <v>101000300</v>
      </c>
    </row>
    <row r="3" spans="1:7" ht="15" x14ac:dyDescent="0.25">
      <c r="A3" t="s">
        <v>950</v>
      </c>
      <c r="B3" s="135" t="str">
        <f>COVER!A15</f>
        <v>Cook</v>
      </c>
      <c r="E3" s="1830" t="s">
        <v>1970</v>
      </c>
      <c r="F3" s="1830" t="s">
        <v>1969</v>
      </c>
      <c r="G3" s="1898">
        <v>101000400</v>
      </c>
    </row>
    <row r="4" spans="1:7" ht="15" x14ac:dyDescent="0.25">
      <c r="A4" t="s">
        <v>1000</v>
      </c>
      <c r="B4" s="135" t="str">
        <f>COVER!A17</f>
        <v xml:space="preserve"> Chicago Heights SD 170</v>
      </c>
      <c r="E4" s="1828">
        <v>44119</v>
      </c>
      <c r="F4" s="1829">
        <v>44151</v>
      </c>
      <c r="G4" s="1898">
        <v>101000600</v>
      </c>
    </row>
    <row r="5" spans="1:7" ht="15" x14ac:dyDescent="0.25">
      <c r="A5" t="s">
        <v>699</v>
      </c>
      <c r="B5" s="135" t="str">
        <f>COVER!A38</f>
        <v>Thomas Amadio</v>
      </c>
      <c r="G5" s="1898">
        <v>101000800</v>
      </c>
    </row>
    <row r="6" spans="1:7" ht="15" x14ac:dyDescent="0.25">
      <c r="A6" t="s">
        <v>704</v>
      </c>
      <c r="B6" s="135">
        <f>COVER!P35</f>
        <v>0</v>
      </c>
      <c r="G6" s="1898">
        <v>102100300</v>
      </c>
    </row>
    <row r="7" spans="1:7" ht="15" x14ac:dyDescent="0.25">
      <c r="A7" t="s">
        <v>700</v>
      </c>
      <c r="B7" s="135" t="str">
        <f>COVER!I38</f>
        <v>Dr. Robert G Grossi</v>
      </c>
      <c r="G7" s="1898">
        <v>102100400</v>
      </c>
    </row>
    <row r="8" spans="1:7" ht="15" x14ac:dyDescent="0.25">
      <c r="A8" t="s">
        <v>701</v>
      </c>
      <c r="B8" s="135" t="str">
        <f>COVER!T38</f>
        <v>Dr. Vanessa Kinder (ISC #4)</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f>COVER!T23</f>
        <v>65025792</v>
      </c>
      <c r="G15" s="1898">
        <v>402100400</v>
      </c>
    </row>
    <row r="16" spans="1:7" ht="15" x14ac:dyDescent="0.25">
      <c r="A16" t="s">
        <v>419</v>
      </c>
      <c r="B16" s="135" t="str">
        <f>COVER!T13</f>
        <v>GW &amp; Associates, PC</v>
      </c>
      <c r="G16" s="1898">
        <v>402100600</v>
      </c>
    </row>
    <row r="17" spans="1:7" ht="15" x14ac:dyDescent="0.25">
      <c r="A17" t="s">
        <v>878</v>
      </c>
      <c r="B17" s="135" t="str">
        <f>COVER!T15</f>
        <v>John Wysocki</v>
      </c>
      <c r="G17" s="1898">
        <v>402100800</v>
      </c>
    </row>
    <row r="18" spans="1:7" ht="15" x14ac:dyDescent="0.25">
      <c r="A18" t="s">
        <v>1140</v>
      </c>
      <c r="B18" s="135" t="str">
        <f>COVER!T17</f>
        <v>4415 West Harrison St, Suite 434</v>
      </c>
      <c r="G18" s="1898">
        <v>102200300</v>
      </c>
    </row>
    <row r="19" spans="1:7" ht="15" x14ac:dyDescent="0.25">
      <c r="A19" t="s">
        <v>880</v>
      </c>
      <c r="B19" s="135" t="str">
        <f>COVER!T25</f>
        <v>john.wysocki@cpagwa.com</v>
      </c>
      <c r="G19" s="1898">
        <v>102200400</v>
      </c>
    </row>
    <row r="20" spans="1:7" ht="15" x14ac:dyDescent="0.25">
      <c r="A20" t="s">
        <v>881</v>
      </c>
      <c r="B20" s="135" t="str">
        <f>COVER!T19</f>
        <v>Hillside</v>
      </c>
      <c r="G20" s="1898">
        <v>102200600</v>
      </c>
    </row>
    <row r="21" spans="1:7" ht="15" x14ac:dyDescent="0.25">
      <c r="A21" t="s">
        <v>476</v>
      </c>
      <c r="B21" s="135" t="str">
        <f>COVER!X19</f>
        <v>IL</v>
      </c>
      <c r="G21" s="1898">
        <v>102200800</v>
      </c>
    </row>
    <row r="22" spans="1:7" ht="15" x14ac:dyDescent="0.25">
      <c r="A22" t="s">
        <v>882</v>
      </c>
      <c r="B22" s="135">
        <f>COVER!Z19</f>
        <v>60162</v>
      </c>
      <c r="G22" s="1898">
        <v>102300300</v>
      </c>
    </row>
    <row r="23" spans="1:7" ht="15" x14ac:dyDescent="0.25">
      <c r="A23" t="s">
        <v>1142</v>
      </c>
      <c r="B23" s="135" t="str">
        <f>COVER!T21</f>
        <v>708-755-8182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34335</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22406004</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22406004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22406004</v>
      </c>
      <c r="D92" s="2" t="str">
        <f t="shared" si="0"/>
        <v>Error?</v>
      </c>
      <c r="G92" s="1898">
        <v>102640600</v>
      </c>
    </row>
    <row r="93" spans="1:7" ht="15" x14ac:dyDescent="0.25">
      <c r="A93" s="5">
        <v>32</v>
      </c>
      <c r="B93" s="1832">
        <f>'Assets-Liab 5-6'!C41</f>
        <v>22406004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1708497</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1708497</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1708497</v>
      </c>
      <c r="D123" s="2" t="str">
        <f t="shared" si="0"/>
        <v>Error?</v>
      </c>
      <c r="G123" s="1898">
        <v>203000400</v>
      </c>
    </row>
    <row r="124" spans="1:7" ht="15" x14ac:dyDescent="0.25">
      <c r="A124" s="5">
        <v>63</v>
      </c>
      <c r="B124" s="1832">
        <f>'Assets-Liab 5-6'!D41</f>
        <v>1708497</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512618</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512618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512618</v>
      </c>
      <c r="D140" s="2" t="str">
        <f t="shared" si="1"/>
        <v>Error?</v>
      </c>
    </row>
    <row r="141" spans="1:7" x14ac:dyDescent="0.2">
      <c r="A141" s="5">
        <v>80</v>
      </c>
      <c r="B141" s="1832">
        <f>'Assets-Liab 5-6'!E41</f>
        <v>512618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2119475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2119475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2119475</v>
      </c>
      <c r="D170" s="2" t="str">
        <f t="shared" si="1"/>
        <v>Error?</v>
      </c>
    </row>
    <row r="171" spans="1:4" x14ac:dyDescent="0.2">
      <c r="A171" s="5">
        <v>110</v>
      </c>
      <c r="B171" s="1832">
        <f>'Assets-Liab 5-6'!F41</f>
        <v>2119475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260594</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260594</v>
      </c>
      <c r="C188" s="2" t="s">
        <v>569</v>
      </c>
      <c r="D188" s="2" t="str">
        <f t="shared" si="1"/>
        <v>Error?</v>
      </c>
    </row>
    <row r="189" spans="1:4" x14ac:dyDescent="0.2">
      <c r="A189" s="5">
        <v>128</v>
      </c>
      <c r="B189" s="1832">
        <f>'Assets-Liab 5-6'!G39</f>
        <v>-260594</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4144580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4144580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4144580</v>
      </c>
      <c r="D212" s="2" t="str">
        <f t="shared" si="2"/>
        <v>Error?</v>
      </c>
    </row>
    <row r="213" spans="1:4" x14ac:dyDescent="0.2">
      <c r="A213" s="12">
        <v>152</v>
      </c>
      <c r="B213" s="1832">
        <f>'Assets-Liab 5-6'!H41</f>
        <v>4144580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462004</v>
      </c>
      <c r="D273" s="2" t="str">
        <f t="shared" si="3"/>
        <v>Error?</v>
      </c>
    </row>
    <row r="274" spans="1:4" x14ac:dyDescent="0.2">
      <c r="A274" s="5">
        <v>213</v>
      </c>
      <c r="B274" s="1832">
        <f>'Assets-Liab 5-6'!M17</f>
        <v>16010639</v>
      </c>
      <c r="D274" s="2" t="str">
        <f t="shared" si="3"/>
        <v>Error?</v>
      </c>
    </row>
    <row r="275" spans="1:4" x14ac:dyDescent="0.2">
      <c r="A275" s="5">
        <v>214</v>
      </c>
      <c r="B275" s="1832">
        <f>'Assets-Liab 5-6'!M18</f>
        <v>955361</v>
      </c>
      <c r="D275" s="2" t="str">
        <f t="shared" si="3"/>
        <v>Error?</v>
      </c>
    </row>
    <row r="276" spans="1:4" x14ac:dyDescent="0.2">
      <c r="A276" s="5">
        <v>215</v>
      </c>
      <c r="B276" s="1832">
        <f>'Assets-Liab 5-6'!M19</f>
        <v>2035355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64936482</v>
      </c>
      <c r="C279" s="2" t="s">
        <v>569</v>
      </c>
      <c r="D279" s="2" t="str">
        <f t="shared" si="3"/>
        <v>Error?</v>
      </c>
    </row>
    <row r="280" spans="1:4" x14ac:dyDescent="0.2">
      <c r="A280" s="5">
        <v>219</v>
      </c>
      <c r="B280" s="1832">
        <f>'Assets-Liab 5-6'!M40</f>
        <v>64936482</v>
      </c>
      <c r="D280" s="2" t="str">
        <f t="shared" si="3"/>
        <v>Error?</v>
      </c>
    </row>
    <row r="281" spans="1:4" x14ac:dyDescent="0.2">
      <c r="A281" s="5">
        <v>220</v>
      </c>
      <c r="B281" s="1832">
        <f>'Assets-Liab 5-6'!M41</f>
        <v>64936482</v>
      </c>
      <c r="C281" s="2" t="s">
        <v>569</v>
      </c>
      <c r="D281" s="2" t="str">
        <f t="shared" si="3"/>
        <v>Error?</v>
      </c>
    </row>
    <row r="282" spans="1:4" x14ac:dyDescent="0.2">
      <c r="A282" s="5">
        <v>221</v>
      </c>
      <c r="B282" s="1832">
        <f>'Assets-Liab 5-6'!N21</f>
        <v>512618</v>
      </c>
      <c r="D282" s="2" t="str">
        <f t="shared" si="3"/>
        <v>Error?</v>
      </c>
    </row>
    <row r="283" spans="1:4" x14ac:dyDescent="0.2">
      <c r="A283" s="5">
        <v>222</v>
      </c>
      <c r="B283" s="1832">
        <f>'Assets-Liab 5-6'!N22</f>
        <v>52287382</v>
      </c>
      <c r="D283" s="2" t="str">
        <f t="shared" si="3"/>
        <v>Error?</v>
      </c>
    </row>
    <row r="284" spans="1:4" x14ac:dyDescent="0.2">
      <c r="A284" s="5">
        <v>223</v>
      </c>
      <c r="B284" s="1832">
        <f>'Assets-Liab 5-6'!N23</f>
        <v>52800000</v>
      </c>
      <c r="C284" s="2" t="s">
        <v>569</v>
      </c>
      <c r="D284" s="2" t="str">
        <f t="shared" si="3"/>
        <v>Error?</v>
      </c>
    </row>
    <row r="285" spans="1:4" x14ac:dyDescent="0.2">
      <c r="A285" s="5">
        <v>224</v>
      </c>
      <c r="B285" s="1832">
        <f>'Assets-Liab 5-6'!N36</f>
        <v>52800000</v>
      </c>
      <c r="D285" s="2" t="str">
        <f t="shared" si="3"/>
        <v>Error?</v>
      </c>
    </row>
    <row r="286" spans="1:4" x14ac:dyDescent="0.2">
      <c r="A286" s="10">
        <v>225</v>
      </c>
      <c r="B286" s="1832"/>
      <c r="D286" s="2" t="str">
        <f t="shared" si="3"/>
        <v>OK</v>
      </c>
    </row>
    <row r="287" spans="1:4" x14ac:dyDescent="0.2">
      <c r="A287" s="5">
        <v>226</v>
      </c>
      <c r="B287" s="1832">
        <f>'Assets-Liab 5-6'!N37</f>
        <v>52800000</v>
      </c>
      <c r="C287" s="2" t="s">
        <v>569</v>
      </c>
      <c r="D287" s="2" t="str">
        <f t="shared" si="3"/>
        <v>Error?</v>
      </c>
    </row>
    <row r="288" spans="1:4" x14ac:dyDescent="0.2">
      <c r="A288" s="5">
        <v>227</v>
      </c>
      <c r="B288" s="1832">
        <f>'Assets-Liab 5-6'!N41</f>
        <v>52800000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12927617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1389669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7372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17636485</v>
      </c>
      <c r="C720" s="2" t="s">
        <v>569</v>
      </c>
      <c r="D720" s="2" t="str">
        <f t="shared" si="10"/>
        <v>Error?</v>
      </c>
    </row>
    <row r="721" spans="1:4" x14ac:dyDescent="0.2">
      <c r="A721" s="5">
        <v>660</v>
      </c>
      <c r="B721" s="1832">
        <f>'Expenditures 15-22'!C36</f>
        <v>520204</v>
      </c>
      <c r="D721" s="2" t="str">
        <f t="shared" si="10"/>
        <v>Error?</v>
      </c>
    </row>
    <row r="722" spans="1:4" x14ac:dyDescent="0.2">
      <c r="A722" s="5">
        <v>661</v>
      </c>
      <c r="B722" s="1832">
        <f>'Expenditures 15-22'!C37</f>
        <v>99002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274077</v>
      </c>
      <c r="D724" s="2" t="str">
        <f t="shared" si="10"/>
        <v>Error?</v>
      </c>
    </row>
    <row r="725" spans="1:4" x14ac:dyDescent="0.2">
      <c r="A725" s="5">
        <v>664</v>
      </c>
      <c r="B725" s="1832">
        <f>'Expenditures 15-22'!C40</f>
        <v>300695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1193978</v>
      </c>
      <c r="C727" s="2" t="s">
        <v>569</v>
      </c>
      <c r="D727" s="2" t="str">
        <f t="shared" si="10"/>
        <v>Error?</v>
      </c>
    </row>
    <row r="728" spans="1:4" x14ac:dyDescent="0.2">
      <c r="A728" s="5">
        <v>667</v>
      </c>
      <c r="B728" s="1832">
        <f>'Expenditures 15-22'!C44</f>
        <v>393302</v>
      </c>
      <c r="D728" s="2" t="str">
        <f t="shared" si="10"/>
        <v>Error?</v>
      </c>
    </row>
    <row r="729" spans="1:4" x14ac:dyDescent="0.2">
      <c r="A729" s="5">
        <v>668</v>
      </c>
      <c r="B729" s="1832">
        <f>'Expenditures 15-22'!C45</f>
        <v>38035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431337</v>
      </c>
      <c r="C731" s="2" t="s">
        <v>569</v>
      </c>
      <c r="D731" s="2" t="str">
        <f t="shared" si="10"/>
        <v>Error?</v>
      </c>
    </row>
    <row r="732" spans="1:4" x14ac:dyDescent="0.2">
      <c r="A732" s="5">
        <v>671</v>
      </c>
      <c r="B732" s="1832">
        <f>'Expenditures 15-22'!C49</f>
        <v>64896</v>
      </c>
      <c r="D732" s="2" t="str">
        <f t="shared" si="10"/>
        <v>Error?</v>
      </c>
    </row>
    <row r="733" spans="1:4" x14ac:dyDescent="0.2">
      <c r="A733" s="5">
        <v>672</v>
      </c>
      <c r="B733" s="1832">
        <f>'Expenditures 15-22'!C50</f>
        <v>515426</v>
      </c>
      <c r="D733" s="2" t="str">
        <f t="shared" si="10"/>
        <v>Error?</v>
      </c>
    </row>
    <row r="734" spans="1:4" x14ac:dyDescent="0.2">
      <c r="A734" s="5">
        <v>673</v>
      </c>
      <c r="B734" s="1832">
        <f>'Expenditures 15-22'!C53</f>
        <v>1748731</v>
      </c>
      <c r="C734" s="2" t="s">
        <v>569</v>
      </c>
      <c r="D734" s="2" t="str">
        <f t="shared" si="10"/>
        <v>Error?</v>
      </c>
    </row>
    <row r="735" spans="1:4" x14ac:dyDescent="0.2">
      <c r="A735" s="5">
        <v>674</v>
      </c>
      <c r="B735" s="1832">
        <f>'Expenditures 15-22'!C55</f>
        <v>1794550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1794550</v>
      </c>
      <c r="C737" s="2" t="s">
        <v>569</v>
      </c>
      <c r="D737" s="2" t="str">
        <f t="shared" si="10"/>
        <v>Error?</v>
      </c>
    </row>
    <row r="738" spans="1:4" x14ac:dyDescent="0.2">
      <c r="A738" s="5">
        <v>677</v>
      </c>
      <c r="B738" s="1832">
        <f>'Expenditures 15-22'!C59</f>
        <v>238891</v>
      </c>
      <c r="D738" s="2" t="str">
        <f t="shared" si="10"/>
        <v>Error?</v>
      </c>
    </row>
    <row r="739" spans="1:4" x14ac:dyDescent="0.2">
      <c r="A739" s="5">
        <v>678</v>
      </c>
      <c r="B739" s="1832">
        <f>'Expenditures 15-22'!C60</f>
        <v>432155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21530</v>
      </c>
      <c r="D741" s="2" t="str">
        <f t="shared" si="10"/>
        <v>Error?</v>
      </c>
    </row>
    <row r="742" spans="1:4" x14ac:dyDescent="0.2">
      <c r="A742" s="5">
        <v>681</v>
      </c>
      <c r="B742" s="1832">
        <f>'Expenditures 15-22'!C63</f>
        <v>595964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1288540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6457136</v>
      </c>
      <c r="C755" s="2" t="s">
        <v>569</v>
      </c>
      <c r="D755" s="2" t="str">
        <f t="shared" si="10"/>
        <v>Error?</v>
      </c>
    </row>
    <row r="756" spans="1:4" x14ac:dyDescent="0.2">
      <c r="A756" s="5">
        <v>695</v>
      </c>
      <c r="B756" s="1832">
        <f>'Expenditures 15-22'!C75</f>
        <v>173288</v>
      </c>
      <c r="D756" s="2" t="str">
        <f t="shared" si="10"/>
        <v>Error?</v>
      </c>
    </row>
    <row r="757" spans="1:4" x14ac:dyDescent="0.2">
      <c r="A757" s="5">
        <v>696</v>
      </c>
      <c r="B757" s="1832">
        <f>'Expenditures 15-22'!C114</f>
        <v>24266909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3839718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371220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4959937</v>
      </c>
      <c r="C778" s="2" t="s">
        <v>569</v>
      </c>
      <c r="D778" s="2" t="str">
        <f t="shared" si="11"/>
        <v>Error?</v>
      </c>
    </row>
    <row r="779" spans="1:4" x14ac:dyDescent="0.2">
      <c r="A779" s="5">
        <v>718</v>
      </c>
      <c r="B779" s="1832">
        <f>'Expenditures 15-22'!D36</f>
        <v>85364</v>
      </c>
      <c r="D779" s="2" t="str">
        <f t="shared" si="11"/>
        <v>Error?</v>
      </c>
    </row>
    <row r="780" spans="1:4" x14ac:dyDescent="0.2">
      <c r="A780" s="5">
        <v>719</v>
      </c>
      <c r="B780" s="1832">
        <f>'Expenditures 15-22'!D37</f>
        <v>7922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46517</v>
      </c>
      <c r="D782" s="2" t="str">
        <f t="shared" si="11"/>
        <v>Error?</v>
      </c>
    </row>
    <row r="783" spans="1:4" x14ac:dyDescent="0.2">
      <c r="A783" s="5">
        <v>722</v>
      </c>
      <c r="B783" s="1832">
        <f>'Expenditures 15-22'!D40</f>
        <v>76225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216028</v>
      </c>
      <c r="C785" s="2" t="s">
        <v>569</v>
      </c>
      <c r="D785" s="2" t="str">
        <f t="shared" si="11"/>
        <v>Error?</v>
      </c>
    </row>
    <row r="786" spans="1:4" x14ac:dyDescent="0.2">
      <c r="A786" s="5">
        <v>725</v>
      </c>
      <c r="B786" s="1832">
        <f>'Expenditures 15-22'!D44</f>
        <v>25289</v>
      </c>
      <c r="D786" s="2" t="str">
        <f t="shared" si="11"/>
        <v>Error?</v>
      </c>
    </row>
    <row r="787" spans="1:4" x14ac:dyDescent="0.2">
      <c r="A787" s="5">
        <v>726</v>
      </c>
      <c r="B787" s="1832">
        <f>'Expenditures 15-22'!D45</f>
        <v>20553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45842</v>
      </c>
      <c r="C789" s="2" t="s">
        <v>569</v>
      </c>
      <c r="D789" s="2" t="str">
        <f t="shared" si="11"/>
        <v>Error?</v>
      </c>
    </row>
    <row r="790" spans="1:4" x14ac:dyDescent="0.2">
      <c r="A790" s="5">
        <v>729</v>
      </c>
      <c r="B790" s="1832">
        <f>'Expenditures 15-22'!D49</f>
        <v>17195</v>
      </c>
      <c r="D790" s="2" t="str">
        <f t="shared" si="11"/>
        <v>Error?</v>
      </c>
    </row>
    <row r="791" spans="1:4" x14ac:dyDescent="0.2">
      <c r="A791" s="5">
        <v>730</v>
      </c>
      <c r="B791" s="1832">
        <f>'Expenditures 15-22'!D50</f>
        <v>125514</v>
      </c>
      <c r="D791" s="2" t="str">
        <f t="shared" si="11"/>
        <v>Error?</v>
      </c>
    </row>
    <row r="792" spans="1:4" x14ac:dyDescent="0.2">
      <c r="A792" s="5">
        <v>731</v>
      </c>
      <c r="B792" s="1832">
        <f>'Expenditures 15-22'!D53</f>
        <v>376217</v>
      </c>
      <c r="C792" s="2" t="s">
        <v>569</v>
      </c>
      <c r="D792" s="2" t="str">
        <f t="shared" si="11"/>
        <v>Error?</v>
      </c>
    </row>
    <row r="793" spans="1:4" x14ac:dyDescent="0.2">
      <c r="A793" s="5">
        <v>732</v>
      </c>
      <c r="B793" s="1832">
        <f>'Expenditures 15-22'!D55</f>
        <v>360810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360810</v>
      </c>
      <c r="C795" s="2" t="s">
        <v>569</v>
      </c>
      <c r="D795" s="2" t="str">
        <f t="shared" si="11"/>
        <v>Error?</v>
      </c>
    </row>
    <row r="796" spans="1:4" x14ac:dyDescent="0.2">
      <c r="A796" s="5">
        <v>735</v>
      </c>
      <c r="B796" s="1832">
        <f>'Expenditures 15-22'!D59</f>
        <v>57381</v>
      </c>
      <c r="D796" s="2" t="str">
        <f t="shared" si="11"/>
        <v>Error?</v>
      </c>
    </row>
    <row r="797" spans="1:4" x14ac:dyDescent="0.2">
      <c r="A797" s="5">
        <v>736</v>
      </c>
      <c r="B797" s="1832">
        <f>'Expenditures 15-22'!D60</f>
        <v>114705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21</v>
      </c>
      <c r="D799" s="2" t="str">
        <f t="shared" si="11"/>
        <v>Error?</v>
      </c>
    </row>
    <row r="800" spans="1:4" x14ac:dyDescent="0.2">
      <c r="A800" s="5">
        <v>739</v>
      </c>
      <c r="B800" s="1832">
        <f>'Expenditures 15-22'!D63</f>
        <v>73487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245594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1244491</v>
      </c>
      <c r="C813" s="2" t="s">
        <v>569</v>
      </c>
      <c r="D813" s="2" t="str">
        <f t="shared" si="11"/>
        <v>Error?</v>
      </c>
    </row>
    <row r="814" spans="1:4" x14ac:dyDescent="0.2">
      <c r="A814" s="5">
        <v>753</v>
      </c>
      <c r="B814" s="1832">
        <f>'Expenditures 15-22'!D75</f>
        <v>19836</v>
      </c>
      <c r="D814" s="2" t="str">
        <f t="shared" si="11"/>
        <v>Error?</v>
      </c>
    </row>
    <row r="815" spans="1:4" x14ac:dyDescent="0.2">
      <c r="A815" s="5">
        <v>754</v>
      </c>
      <c r="B815" s="1832">
        <f>'Expenditures 15-22'!D114</f>
        <v>6224264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176264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13244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363355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1300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1300</v>
      </c>
      <c r="C843" s="2" t="s">
        <v>569</v>
      </c>
      <c r="D843" s="2" t="str">
        <f t="shared" si="12"/>
        <v>Error?</v>
      </c>
    </row>
    <row r="844" spans="1:4" x14ac:dyDescent="0.2">
      <c r="A844" s="5">
        <v>783</v>
      </c>
      <c r="B844" s="1832">
        <f>'Expenditures 15-22'!E44</f>
        <v>344025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32918</v>
      </c>
      <c r="D846" s="2" t="str">
        <f t="shared" si="12"/>
        <v>Error?</v>
      </c>
    </row>
    <row r="847" spans="1:4" x14ac:dyDescent="0.2">
      <c r="A847" s="5">
        <v>786</v>
      </c>
      <c r="B847" s="1832">
        <f>'Expenditures 15-22'!E47</f>
        <v>376943</v>
      </c>
      <c r="C847" s="2" t="s">
        <v>569</v>
      </c>
      <c r="D847" s="2" t="str">
        <f t="shared" si="12"/>
        <v>Error?</v>
      </c>
    </row>
    <row r="848" spans="1:4" x14ac:dyDescent="0.2">
      <c r="A848" s="5">
        <v>787</v>
      </c>
      <c r="B848" s="1832">
        <f>'Expenditures 15-22'!E49</f>
        <v>2277702</v>
      </c>
      <c r="D848" s="2" t="str">
        <f t="shared" si="12"/>
        <v>Error?</v>
      </c>
    </row>
    <row r="849" spans="1:4" x14ac:dyDescent="0.2">
      <c r="A849" s="5">
        <v>788</v>
      </c>
      <c r="B849" s="1832">
        <f>'Expenditures 15-22'!E50</f>
        <v>200</v>
      </c>
      <c r="D849" s="2" t="str">
        <f t="shared" si="12"/>
        <v>Error?</v>
      </c>
    </row>
    <row r="850" spans="1:4" x14ac:dyDescent="0.2">
      <c r="A850" s="5">
        <v>789</v>
      </c>
      <c r="B850" s="1832">
        <f>'Expenditures 15-22'!E53</f>
        <v>2277902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17033</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319767</v>
      </c>
      <c r="D856" s="2" t="str">
        <f t="shared" si="12"/>
        <v>Error?</v>
      </c>
    </row>
    <row r="857" spans="1:4" x14ac:dyDescent="0.2">
      <c r="A857" s="5">
        <v>796</v>
      </c>
      <c r="B857" s="1832">
        <f>'Expenditures 15-22'!E62</f>
        <v>11662</v>
      </c>
      <c r="D857" s="2" t="str">
        <f t="shared" si="12"/>
        <v>Error?</v>
      </c>
    </row>
    <row r="858" spans="1:4" x14ac:dyDescent="0.2">
      <c r="A858" s="5">
        <v>797</v>
      </c>
      <c r="B858" s="1832">
        <f>'Expenditures 15-22'!E63</f>
        <v>16859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365321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8319</v>
      </c>
      <c r="D865" s="2" t="str">
        <f t="shared" si="12"/>
        <v>Error?</v>
      </c>
    </row>
    <row r="866" spans="1:4" x14ac:dyDescent="0.2">
      <c r="A866" s="10">
        <v>805</v>
      </c>
      <c r="B866" s="1832"/>
      <c r="D866" s="2" t="str">
        <f t="shared" si="12"/>
        <v>OK</v>
      </c>
    </row>
    <row r="867" spans="1:4" x14ac:dyDescent="0.2">
      <c r="A867" s="5">
        <v>806</v>
      </c>
      <c r="B867" s="1832">
        <f>'Expenditures 15-22'!E71</f>
        <v>7475</v>
      </c>
      <c r="D867" s="2" t="str">
        <f t="shared" si="12"/>
        <v>Error?</v>
      </c>
    </row>
    <row r="868" spans="1:4" x14ac:dyDescent="0.2">
      <c r="A868" s="10">
        <v>807</v>
      </c>
      <c r="B868" s="1832"/>
      <c r="D868" s="2" t="str">
        <f t="shared" si="12"/>
        <v>OK</v>
      </c>
    </row>
    <row r="869" spans="1:4" x14ac:dyDescent="0.2">
      <c r="A869" s="5">
        <v>808</v>
      </c>
      <c r="B869" s="1832">
        <f>'Expenditures 15-22'!E72</f>
        <v>15794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3037260</v>
      </c>
      <c r="C871" s="2" t="s">
        <v>569</v>
      </c>
      <c r="D871" s="2" t="str">
        <f t="shared" si="12"/>
        <v>Error?</v>
      </c>
    </row>
    <row r="872" spans="1:4" x14ac:dyDescent="0.2">
      <c r="A872" s="5">
        <v>811</v>
      </c>
      <c r="B872" s="1832">
        <f>'Expenditures 15-22'!E75</f>
        <v>48963</v>
      </c>
      <c r="D872" s="2" t="str">
        <f t="shared" si="12"/>
        <v>Error?</v>
      </c>
    </row>
    <row r="873" spans="1:4" x14ac:dyDescent="0.2">
      <c r="A873" s="5">
        <v>812</v>
      </c>
      <c r="B873" s="1832">
        <f>'Expenditures 15-22'!E114</f>
        <v>3449578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611022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2430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1273949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1883</v>
      </c>
      <c r="D896" s="2" t="str">
        <f t="shared" si="13"/>
        <v>Error?</v>
      </c>
    </row>
    <row r="897" spans="1:4" x14ac:dyDescent="0.2">
      <c r="A897" s="5">
        <v>836</v>
      </c>
      <c r="B897" s="1832">
        <f>'Expenditures 15-22'!F38</f>
        <v>23887</v>
      </c>
      <c r="D897" s="2" t="str">
        <f t="shared" si="13"/>
        <v>Error?</v>
      </c>
    </row>
    <row r="898" spans="1:4" x14ac:dyDescent="0.2">
      <c r="A898" s="5">
        <v>837</v>
      </c>
      <c r="B898" s="1832">
        <f>'Expenditures 15-22'!F39</f>
        <v>3993</v>
      </c>
      <c r="D898" s="2" t="str">
        <f t="shared" si="13"/>
        <v>Error?</v>
      </c>
    </row>
    <row r="899" spans="1:4" x14ac:dyDescent="0.2">
      <c r="A899" s="5">
        <v>838</v>
      </c>
      <c r="B899" s="1832">
        <f>'Expenditures 15-22'!F40</f>
        <v>1028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30791</v>
      </c>
      <c r="C901" s="2" t="s">
        <v>569</v>
      </c>
      <c r="D901" s="2" t="str">
        <f t="shared" si="13"/>
        <v>Error?</v>
      </c>
    </row>
    <row r="902" spans="1:4" x14ac:dyDescent="0.2">
      <c r="A902" s="5">
        <v>841</v>
      </c>
      <c r="B902" s="1832">
        <f>'Expenditures 15-22'!F44</f>
        <v>4622</v>
      </c>
      <c r="D902" s="2" t="str">
        <f t="shared" si="13"/>
        <v>Error?</v>
      </c>
    </row>
    <row r="903" spans="1:4" x14ac:dyDescent="0.2">
      <c r="A903" s="5">
        <v>842</v>
      </c>
      <c r="B903" s="1832">
        <f>'Expenditures 15-22'!F45</f>
        <v>12043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16665</v>
      </c>
      <c r="C905" s="2" t="s">
        <v>569</v>
      </c>
      <c r="D905" s="2" t="str">
        <f t="shared" si="13"/>
        <v>Error?</v>
      </c>
    </row>
    <row r="906" spans="1:4" x14ac:dyDescent="0.2">
      <c r="A906" s="5">
        <v>845</v>
      </c>
      <c r="B906" s="1832">
        <f>'Expenditures 15-22'!F49</f>
        <v>6200</v>
      </c>
      <c r="D906" s="2" t="str">
        <f t="shared" si="13"/>
        <v>Error?</v>
      </c>
    </row>
    <row r="907" spans="1:4" x14ac:dyDescent="0.2">
      <c r="A907" s="5">
        <v>846</v>
      </c>
      <c r="B907" s="1832">
        <f>'Expenditures 15-22'!F50</f>
        <v>2699</v>
      </c>
      <c r="D907" s="2" t="str">
        <f t="shared" si="13"/>
        <v>Error?</v>
      </c>
    </row>
    <row r="908" spans="1:4" x14ac:dyDescent="0.2">
      <c r="A908" s="5">
        <v>847</v>
      </c>
      <c r="B908" s="1832">
        <f>'Expenditures 15-22'!F53</f>
        <v>8899</v>
      </c>
      <c r="C908" s="2" t="s">
        <v>569</v>
      </c>
      <c r="D908" s="2" t="str">
        <f t="shared" si="13"/>
        <v>Error?</v>
      </c>
    </row>
    <row r="909" spans="1:4" x14ac:dyDescent="0.2">
      <c r="A909" s="5">
        <v>848</v>
      </c>
      <c r="B909" s="1832">
        <f>'Expenditures 15-22'!F55</f>
        <v>1233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1233</v>
      </c>
      <c r="C911" s="2" t="s">
        <v>569</v>
      </c>
      <c r="D911" s="2" t="str">
        <f t="shared" si="13"/>
        <v>Error?</v>
      </c>
    </row>
    <row r="912" spans="1:4" x14ac:dyDescent="0.2">
      <c r="A912" s="5">
        <v>851</v>
      </c>
      <c r="B912" s="1832">
        <f>'Expenditures 15-22'!F59</f>
        <v>46</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549484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891922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1441452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2872</v>
      </c>
      <c r="D928" s="2" t="str">
        <f t="shared" si="13"/>
        <v>Error?</v>
      </c>
    </row>
    <row r="929" spans="1:4" x14ac:dyDescent="0.2">
      <c r="A929" s="5">
        <v>868</v>
      </c>
      <c r="B929" s="1832">
        <f>'Expenditures 15-22'!F74</f>
        <v>1501912</v>
      </c>
      <c r="C929" s="2" t="s">
        <v>569</v>
      </c>
      <c r="D929" s="2" t="str">
        <f t="shared" si="13"/>
        <v>Error?</v>
      </c>
    </row>
    <row r="930" spans="1:4" x14ac:dyDescent="0.2">
      <c r="A930" s="5">
        <v>869</v>
      </c>
      <c r="B930" s="1832">
        <f>'Expenditures 15-22'!F75</f>
        <v>59889</v>
      </c>
      <c r="D930" s="2" t="str">
        <f t="shared" si="13"/>
        <v>Error?</v>
      </c>
    </row>
    <row r="931" spans="1:4" x14ac:dyDescent="0.2">
      <c r="A931" s="5">
        <v>870</v>
      </c>
      <c r="B931" s="1832">
        <f>'Expenditures 15-22'!F114</f>
        <v>2835750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248966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248966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248966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21307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1017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22324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180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180</v>
      </c>
      <c r="C1021" s="2" t="s">
        <v>569</v>
      </c>
      <c r="D1021" s="2" t="str">
        <f t="shared" si="14"/>
        <v>Error?</v>
      </c>
    </row>
    <row r="1022" spans="1:4" x14ac:dyDescent="0.2">
      <c r="A1022" s="5">
        <v>961</v>
      </c>
      <c r="B1022" s="1832">
        <f>'Expenditures 15-22'!H49</f>
        <v>33966</v>
      </c>
      <c r="D1022" s="2" t="str">
        <f t="shared" si="14"/>
        <v>Error?</v>
      </c>
    </row>
    <row r="1023" spans="1:4" x14ac:dyDescent="0.2">
      <c r="A1023" s="5">
        <v>962</v>
      </c>
      <c r="B1023" s="1832">
        <f>'Expenditures 15-22'!H50</f>
        <v>5249</v>
      </c>
      <c r="D1023" s="2" t="str">
        <f t="shared" ref="D1023:D1086" si="15">IF(ISBLANK(B1023),"OK",IF(A1023-B1023=0,"OK","Error?"))</f>
        <v>Error?</v>
      </c>
    </row>
    <row r="1024" spans="1:4" x14ac:dyDescent="0.2">
      <c r="A1024" s="5">
        <v>963</v>
      </c>
      <c r="B1024" s="1832">
        <f>'Expenditures 15-22'!H53</f>
        <v>39215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39395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1719687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1781406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18119399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1760889</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24063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24824562</v>
      </c>
      <c r="C1108" s="2" t="s">
        <v>569</v>
      </c>
      <c r="D1108" s="2" t="str">
        <f t="shared" si="16"/>
        <v>Error?</v>
      </c>
    </row>
    <row r="1109" spans="1:4" x14ac:dyDescent="0.2">
      <c r="A1109" s="5">
        <v>1048</v>
      </c>
      <c r="B1109" s="1832">
        <f>'Expenditures 15-22'!K36</f>
        <v>605568</v>
      </c>
      <c r="C1109" s="2" t="s">
        <v>569</v>
      </c>
      <c r="D1109" s="2" t="str">
        <f t="shared" si="16"/>
        <v>Error?</v>
      </c>
    </row>
    <row r="1110" spans="1:4" x14ac:dyDescent="0.2">
      <c r="A1110" s="5">
        <v>1049</v>
      </c>
      <c r="B1110" s="1832">
        <f>'Expenditures 15-22'!K37</f>
        <v>108807</v>
      </c>
      <c r="C1110" s="2" t="s">
        <v>569</v>
      </c>
      <c r="D1110" s="2" t="str">
        <f t="shared" si="16"/>
        <v>Error?</v>
      </c>
    </row>
    <row r="1111" spans="1:4" x14ac:dyDescent="0.2">
      <c r="A1111" s="5">
        <v>1050</v>
      </c>
      <c r="B1111" s="1832">
        <f>'Expenditures 15-22'!K38</f>
        <v>27887</v>
      </c>
      <c r="C1111" s="2" t="s">
        <v>569</v>
      </c>
      <c r="D1111" s="2" t="str">
        <f t="shared" si="16"/>
        <v>Error?</v>
      </c>
    </row>
    <row r="1112" spans="1:4" x14ac:dyDescent="0.2">
      <c r="A1112" s="5">
        <v>1051</v>
      </c>
      <c r="B1112" s="1832">
        <f>'Expenditures 15-22'!K39</f>
        <v>325887</v>
      </c>
      <c r="C1112" s="2" t="s">
        <v>569</v>
      </c>
      <c r="D1112" s="2" t="str">
        <f t="shared" si="16"/>
        <v>Error?</v>
      </c>
    </row>
    <row r="1113" spans="1:4" x14ac:dyDescent="0.2">
      <c r="A1113" s="5">
        <v>1052</v>
      </c>
      <c r="B1113" s="1832">
        <f>'Expenditures 15-22'!K40</f>
        <v>377948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1446097</v>
      </c>
      <c r="C1115" s="2" t="s">
        <v>569</v>
      </c>
      <c r="D1115" s="2" t="str">
        <f t="shared" si="16"/>
        <v>Error?</v>
      </c>
    </row>
    <row r="1116" spans="1:4" x14ac:dyDescent="0.2">
      <c r="A1116" s="5">
        <v>1055</v>
      </c>
      <c r="B1116" s="1832">
        <f>'Expenditures 15-22'!K44</f>
        <v>767418</v>
      </c>
      <c r="C1116" s="2" t="s">
        <v>569</v>
      </c>
      <c r="D1116" s="2" t="str">
        <f t="shared" si="16"/>
        <v>Error?</v>
      </c>
    </row>
    <row r="1117" spans="1:4" x14ac:dyDescent="0.2">
      <c r="A1117" s="5">
        <v>1056</v>
      </c>
      <c r="B1117" s="1832">
        <f>'Expenditures 15-22'!K45</f>
        <v>70631</v>
      </c>
      <c r="C1117" s="2" t="s">
        <v>569</v>
      </c>
      <c r="D1117" s="2" t="str">
        <f t="shared" si="16"/>
        <v>Error?</v>
      </c>
    </row>
    <row r="1118" spans="1:4" x14ac:dyDescent="0.2">
      <c r="A1118" s="5">
        <v>1057</v>
      </c>
      <c r="B1118" s="1832">
        <f>'Expenditures 15-22'!K46</f>
        <v>32918</v>
      </c>
      <c r="C1118" s="2" t="s">
        <v>569</v>
      </c>
      <c r="D1118" s="2" t="str">
        <f t="shared" si="16"/>
        <v>Error?</v>
      </c>
    </row>
    <row r="1119" spans="1:4" x14ac:dyDescent="0.2">
      <c r="A1119" s="5">
        <v>1058</v>
      </c>
      <c r="B1119" s="1832">
        <f>'Expenditures 15-22'!K47</f>
        <v>870967</v>
      </c>
      <c r="C1119" s="2" t="s">
        <v>569</v>
      </c>
      <c r="D1119" s="2" t="str">
        <f t="shared" si="16"/>
        <v>Error?</v>
      </c>
    </row>
    <row r="1120" spans="1:4" x14ac:dyDescent="0.2">
      <c r="A1120" s="5">
        <v>1059</v>
      </c>
      <c r="B1120" s="1832">
        <f>'Expenditures 15-22'!K49</f>
        <v>2399959</v>
      </c>
      <c r="C1120" s="2" t="s">
        <v>569</v>
      </c>
      <c r="D1120" s="2" t="str">
        <f t="shared" si="16"/>
        <v>Error?</v>
      </c>
    </row>
    <row r="1121" spans="1:4" x14ac:dyDescent="0.2">
      <c r="A1121" s="5">
        <v>1060</v>
      </c>
      <c r="B1121" s="1832">
        <f>'Expenditures 15-22'!K50</f>
        <v>649088</v>
      </c>
      <c r="C1121" s="2" t="s">
        <v>569</v>
      </c>
      <c r="D1121" s="2" t="str">
        <f t="shared" si="16"/>
        <v>Error?</v>
      </c>
    </row>
    <row r="1122" spans="1:4" x14ac:dyDescent="0.2">
      <c r="A1122" s="5">
        <v>1061</v>
      </c>
      <c r="B1122" s="1832">
        <f>'Expenditures 15-22'!K53</f>
        <v>4450964</v>
      </c>
      <c r="C1122" s="2" t="s">
        <v>569</v>
      </c>
      <c r="D1122" s="2" t="str">
        <f t="shared" si="16"/>
        <v>Error?</v>
      </c>
    </row>
    <row r="1123" spans="1:4" x14ac:dyDescent="0.2">
      <c r="A1123" s="5">
        <v>1062</v>
      </c>
      <c r="B1123" s="1832">
        <f>'Expenditures 15-22'!K55</f>
        <v>2156593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2156593</v>
      </c>
      <c r="C1125" s="2" t="s">
        <v>569</v>
      </c>
      <c r="D1125" s="2" t="str">
        <f t="shared" si="16"/>
        <v>Error?</v>
      </c>
    </row>
    <row r="1126" spans="1:4" x14ac:dyDescent="0.2">
      <c r="A1126" s="5">
        <v>1065</v>
      </c>
      <c r="B1126" s="1832">
        <f>'Expenditures 15-22'!K59</f>
        <v>313351</v>
      </c>
      <c r="C1126" s="2" t="s">
        <v>569</v>
      </c>
      <c r="D1126" s="2" t="str">
        <f t="shared" si="16"/>
        <v>Error?</v>
      </c>
    </row>
    <row r="1127" spans="1:4" x14ac:dyDescent="0.2">
      <c r="A1127" s="5">
        <v>1066</v>
      </c>
      <c r="B1127" s="1832">
        <f>'Expenditures 15-22'!K60</f>
        <v>546860</v>
      </c>
      <c r="C1127" s="2" t="s">
        <v>569</v>
      </c>
      <c r="D1127" s="2" t="str">
        <f t="shared" si="16"/>
        <v>Error?</v>
      </c>
    </row>
    <row r="1128" spans="1:4" x14ac:dyDescent="0.2">
      <c r="A1128" s="5">
        <v>1067</v>
      </c>
      <c r="B1128" s="1832">
        <f>'Expenditures 15-22'!K61</f>
        <v>869251</v>
      </c>
      <c r="C1128" s="2" t="s">
        <v>569</v>
      </c>
      <c r="D1128" s="2" t="str">
        <f t="shared" si="16"/>
        <v>Error?</v>
      </c>
    </row>
    <row r="1129" spans="1:4" x14ac:dyDescent="0.2">
      <c r="A1129" s="5">
        <v>1068</v>
      </c>
      <c r="B1129" s="1832">
        <f>'Expenditures 15-22'!K62</f>
        <v>33213</v>
      </c>
      <c r="C1129" s="2" t="s">
        <v>569</v>
      </c>
      <c r="D1129" s="2" t="str">
        <f t="shared" si="16"/>
        <v>Error?</v>
      </c>
    </row>
    <row r="1130" spans="1:4" x14ac:dyDescent="0.2">
      <c r="A1130" s="5">
        <v>1069</v>
      </c>
      <c r="B1130" s="1832">
        <f>'Expenditures 15-22'!K63</f>
        <v>1578232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3340907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8319</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7475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15794</v>
      </c>
      <c r="C1141" s="2" t="s">
        <v>569</v>
      </c>
      <c r="D1141" s="2" t="str">
        <f t="shared" si="16"/>
        <v>Error?</v>
      </c>
    </row>
    <row r="1142" spans="1:4" x14ac:dyDescent="0.2">
      <c r="A1142" s="5">
        <v>1081</v>
      </c>
      <c r="B1142" s="1832">
        <f>'Expenditures 15-22'!K73</f>
        <v>2872</v>
      </c>
      <c r="C1142" s="2" t="s">
        <v>569</v>
      </c>
      <c r="D1142" s="2" t="str">
        <f t="shared" si="16"/>
        <v>Error?</v>
      </c>
    </row>
    <row r="1143" spans="1:4" x14ac:dyDescent="0.2">
      <c r="A1143" s="5">
        <v>1082</v>
      </c>
      <c r="B1143" s="1832">
        <f>'Expenditures 15-22'!K74</f>
        <v>12284194</v>
      </c>
      <c r="C1143" s="2" t="s">
        <v>569</v>
      </c>
      <c r="D1143" s="2" t="str">
        <f t="shared" si="16"/>
        <v>Error?</v>
      </c>
    </row>
    <row r="1144" spans="1:4" x14ac:dyDescent="0.2">
      <c r="A1144" s="5">
        <v>1083</v>
      </c>
      <c r="B1144" s="1832">
        <f>'Expenditures 15-22'!K75</f>
        <v>301976</v>
      </c>
      <c r="C1144" s="2" t="s">
        <v>569</v>
      </c>
      <c r="D1144" s="2" t="str">
        <f t="shared" si="16"/>
        <v>Error?</v>
      </c>
    </row>
    <row r="1145" spans="1:4" x14ac:dyDescent="0.2">
      <c r="A1145" s="5">
        <v>1084</v>
      </c>
      <c r="B1145" s="1832">
        <f>'Expenditures 15-22'!K102</f>
        <v>1719687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39130419</v>
      </c>
      <c r="C1152" s="2" t="s">
        <v>569</v>
      </c>
      <c r="D1152" s="2" t="str">
        <f t="shared" si="17"/>
        <v>Error?</v>
      </c>
    </row>
    <row r="1153" spans="1:4" x14ac:dyDescent="0.2">
      <c r="A1153" s="5">
        <v>1092</v>
      </c>
      <c r="B1153" s="1832">
        <f>'Expenditures 15-22'!K115</f>
        <v>1965449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1899511</v>
      </c>
      <c r="D1221" s="2" t="str">
        <f t="shared" si="18"/>
        <v>Error?</v>
      </c>
    </row>
    <row r="1222" spans="1:4" x14ac:dyDescent="0.2">
      <c r="A1222" s="10">
        <v>1161</v>
      </c>
      <c r="B1222" s="1832"/>
      <c r="D1222" s="2" t="str">
        <f t="shared" si="18"/>
        <v>OK</v>
      </c>
    </row>
    <row r="1223" spans="1:4" x14ac:dyDescent="0.2">
      <c r="A1223" s="5">
        <v>1162</v>
      </c>
      <c r="B1223" s="1832">
        <f>'Expenditures 15-22'!C127</f>
        <v>1899511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1899511</v>
      </c>
      <c r="C1225" s="2" t="s">
        <v>569</v>
      </c>
      <c r="D1225" s="2" t="str">
        <f t="shared" si="18"/>
        <v>Error?</v>
      </c>
    </row>
    <row r="1226" spans="1:4" x14ac:dyDescent="0.2">
      <c r="A1226" s="5">
        <v>1165</v>
      </c>
      <c r="B1226" s="1832">
        <f>'Expenditures 15-22'!C151</f>
        <v>1899511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206428</v>
      </c>
      <c r="D1229" s="2" t="str">
        <f t="shared" si="18"/>
        <v>Error?</v>
      </c>
    </row>
    <row r="1230" spans="1:4" x14ac:dyDescent="0.2">
      <c r="A1230" s="10">
        <v>1169</v>
      </c>
      <c r="B1230" s="1832"/>
      <c r="D1230" s="2" t="str">
        <f t="shared" si="18"/>
        <v>OK</v>
      </c>
    </row>
    <row r="1231" spans="1:4" x14ac:dyDescent="0.2">
      <c r="A1231" s="5">
        <v>1170</v>
      </c>
      <c r="B1231" s="1832">
        <f>'Expenditures 15-22'!D127</f>
        <v>206428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206428</v>
      </c>
      <c r="C1233" s="2" t="s">
        <v>569</v>
      </c>
      <c r="D1233" s="2" t="str">
        <f t="shared" si="18"/>
        <v>Error?</v>
      </c>
    </row>
    <row r="1234" spans="1:4" x14ac:dyDescent="0.2">
      <c r="A1234" s="5">
        <v>1173</v>
      </c>
      <c r="B1234" s="1832">
        <f>'Expenditures 15-22'!D151</f>
        <v>206428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247351</v>
      </c>
      <c r="D1237" s="2" t="str">
        <f t="shared" si="18"/>
        <v>Error?</v>
      </c>
    </row>
    <row r="1238" spans="1:4" x14ac:dyDescent="0.2">
      <c r="A1238" s="10">
        <v>1177</v>
      </c>
      <c r="B1238" s="1832"/>
      <c r="D1238" s="2" t="str">
        <f t="shared" si="18"/>
        <v>OK</v>
      </c>
    </row>
    <row r="1239" spans="1:4" x14ac:dyDescent="0.2">
      <c r="A1239" s="5">
        <v>1178</v>
      </c>
      <c r="B1239" s="1832">
        <f>'Expenditures 15-22'!E127</f>
        <v>247351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247351</v>
      </c>
      <c r="C1241" s="2" t="s">
        <v>569</v>
      </c>
      <c r="D1241" s="2" t="str">
        <f t="shared" si="18"/>
        <v>Error?</v>
      </c>
    </row>
    <row r="1242" spans="1:4" x14ac:dyDescent="0.2">
      <c r="A1242" s="5">
        <v>1181</v>
      </c>
      <c r="B1242" s="1832">
        <f>'Expenditures 15-22'!E151</f>
        <v>247351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125287</v>
      </c>
      <c r="D1245" s="2" t="str">
        <f t="shared" si="18"/>
        <v>Error?</v>
      </c>
    </row>
    <row r="1246" spans="1:4" x14ac:dyDescent="0.2">
      <c r="A1246" s="10">
        <v>1185</v>
      </c>
      <c r="B1246" s="1832"/>
      <c r="D1246" s="2" t="str">
        <f t="shared" si="18"/>
        <v>OK</v>
      </c>
    </row>
    <row r="1247" spans="1:4" x14ac:dyDescent="0.2">
      <c r="A1247" s="5">
        <v>1186</v>
      </c>
      <c r="B1247" s="1832">
        <f>'Expenditures 15-22'!F127</f>
        <v>125287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125287</v>
      </c>
      <c r="C1249" s="2" t="s">
        <v>569</v>
      </c>
      <c r="D1249" s="2" t="str">
        <f t="shared" si="18"/>
        <v>Error?</v>
      </c>
    </row>
    <row r="1250" spans="1:4" x14ac:dyDescent="0.2">
      <c r="A1250" s="5">
        <v>1189</v>
      </c>
      <c r="B1250" s="1832">
        <f>'Expenditures 15-22'!F151</f>
        <v>125287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2479713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2479713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2479713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2479713</v>
      </c>
      <c r="C1288" s="2" t="s">
        <v>569</v>
      </c>
      <c r="D1288" s="2" t="str">
        <f t="shared" si="19"/>
        <v>Error?</v>
      </c>
    </row>
    <row r="1289" spans="1:4" x14ac:dyDescent="0.2">
      <c r="A1289" s="5">
        <v>1228</v>
      </c>
      <c r="B1289" s="1832">
        <f>'Expenditures 15-22'!K152</f>
        <v>57020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2484300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3350</v>
      </c>
      <c r="D1316" s="2" t="str">
        <f t="shared" si="19"/>
        <v>Error?</v>
      </c>
    </row>
    <row r="1317" spans="1:4" x14ac:dyDescent="0.2">
      <c r="A1317" s="5">
        <v>1256</v>
      </c>
      <c r="B1317" s="1832">
        <f>'Expenditures 15-22'!H172</f>
        <v>2487650</v>
      </c>
      <c r="C1317" s="2" t="s">
        <v>569</v>
      </c>
      <c r="D1317" s="2" t="str">
        <f t="shared" si="19"/>
        <v>Error?</v>
      </c>
    </row>
    <row r="1318" spans="1:4" x14ac:dyDescent="0.2">
      <c r="A1318" s="5">
        <v>1257</v>
      </c>
      <c r="B1318" s="1832">
        <f>'Expenditures 15-22'!H174</f>
        <v>2487650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2484300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3350</v>
      </c>
      <c r="C1330" s="2" t="s">
        <v>569</v>
      </c>
      <c r="D1330" s="2" t="str">
        <f t="shared" si="19"/>
        <v>Error?</v>
      </c>
    </row>
    <row r="1331" spans="1:4" x14ac:dyDescent="0.2">
      <c r="A1331" s="5">
        <v>1270</v>
      </c>
      <c r="B1331" s="1832">
        <f>'Expenditures 15-22'!K172</f>
        <v>2487650</v>
      </c>
      <c r="C1331" s="2" t="s">
        <v>569</v>
      </c>
      <c r="D1331" s="2" t="str">
        <f t="shared" si="19"/>
        <v>Error?</v>
      </c>
    </row>
    <row r="1332" spans="1:4" x14ac:dyDescent="0.2">
      <c r="A1332" s="5">
        <v>1271</v>
      </c>
      <c r="B1332" s="1832">
        <f>'Expenditures 15-22'!K174</f>
        <v>2487650</v>
      </c>
      <c r="C1332" s="2" t="s">
        <v>569</v>
      </c>
      <c r="D1332" s="2" t="str">
        <f t="shared" si="19"/>
        <v>Error?</v>
      </c>
    </row>
    <row r="1333" spans="1:4" x14ac:dyDescent="0.2">
      <c r="A1333" s="5">
        <v>1272</v>
      </c>
      <c r="B1333" s="1832">
        <f>'Expenditures 15-22'!K175</f>
        <v>-30942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430159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430159</v>
      </c>
      <c r="C1339" s="2" t="s">
        <v>569</v>
      </c>
      <c r="D1339" s="2" t="str">
        <f t="shared" si="19"/>
        <v>Error?</v>
      </c>
    </row>
    <row r="1340" spans="1:4" x14ac:dyDescent="0.2">
      <c r="A1340" s="5">
        <v>1279</v>
      </c>
      <c r="B1340" s="1832">
        <f>'Expenditures 15-22'!C210</f>
        <v>430159</v>
      </c>
      <c r="C1340" s="2" t="s">
        <v>569</v>
      </c>
      <c r="D1340" s="2" t="str">
        <f t="shared" si="19"/>
        <v>Error?</v>
      </c>
    </row>
    <row r="1341" spans="1:4" x14ac:dyDescent="0.2">
      <c r="A1341" s="5">
        <v>1280</v>
      </c>
      <c r="B1341" s="1832">
        <f>'Expenditures 15-22'!D182</f>
        <v>92321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92321</v>
      </c>
      <c r="C1345" s="2" t="s">
        <v>569</v>
      </c>
      <c r="D1345" s="2" t="str">
        <f t="shared" si="20"/>
        <v>Error?</v>
      </c>
    </row>
    <row r="1346" spans="1:4" x14ac:dyDescent="0.2">
      <c r="A1346" s="5">
        <v>1285</v>
      </c>
      <c r="B1346" s="1832">
        <f>'Expenditures 15-22'!D210</f>
        <v>92321</v>
      </c>
      <c r="C1346" s="2" t="s">
        <v>569</v>
      </c>
      <c r="D1346" s="2" t="str">
        <f t="shared" si="20"/>
        <v>Error?</v>
      </c>
    </row>
    <row r="1347" spans="1:4" x14ac:dyDescent="0.2">
      <c r="A1347" s="5">
        <v>1286</v>
      </c>
      <c r="B1347" s="1832">
        <f>'Expenditures 15-22'!E182</f>
        <v>629353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629353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629353</v>
      </c>
      <c r="C1353" s="2" t="s">
        <v>569</v>
      </c>
      <c r="D1353" s="2" t="str">
        <f t="shared" si="20"/>
        <v>Error?</v>
      </c>
    </row>
    <row r="1354" spans="1:4" x14ac:dyDescent="0.2">
      <c r="A1354" s="5">
        <v>1293</v>
      </c>
      <c r="B1354" s="1832">
        <f>'Expenditures 15-22'!F182</f>
        <v>52917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52917</v>
      </c>
      <c r="C1358" s="2" t="s">
        <v>569</v>
      </c>
      <c r="D1358" s="2" t="str">
        <f t="shared" si="20"/>
        <v>Error?</v>
      </c>
    </row>
    <row r="1359" spans="1:4" x14ac:dyDescent="0.2">
      <c r="A1359" s="5">
        <v>1298</v>
      </c>
      <c r="B1359" s="1832">
        <f>'Expenditures 15-22'!F210</f>
        <v>52917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205498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205498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205498</v>
      </c>
      <c r="C1376" s="2" t="s">
        <v>569</v>
      </c>
      <c r="D1376" s="2" t="str">
        <f t="shared" si="20"/>
        <v>Error?</v>
      </c>
    </row>
    <row r="1377" spans="1:4" x14ac:dyDescent="0.2">
      <c r="A1377" s="5">
        <v>1316</v>
      </c>
      <c r="B1377" s="1832">
        <f>'Expenditures 15-22'!K182</f>
        <v>1410248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1410248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1410248</v>
      </c>
      <c r="C1388" s="2" t="s">
        <v>569</v>
      </c>
      <c r="D1388" s="2" t="str">
        <f t="shared" si="20"/>
        <v>Error?</v>
      </c>
    </row>
    <row r="1389" spans="1:4" x14ac:dyDescent="0.2">
      <c r="A1389" s="5">
        <v>1328</v>
      </c>
      <c r="B1389" s="1832">
        <f>'Expenditures 15-22'!K211</f>
        <v>-378818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38345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799867</v>
      </c>
      <c r="C1410" s="2" t="s">
        <v>569</v>
      </c>
      <c r="D1410" s="2" t="str">
        <f t="shared" si="21"/>
        <v>Error?</v>
      </c>
    </row>
    <row r="1411" spans="1:4" x14ac:dyDescent="0.2">
      <c r="A1411" s="5">
        <v>1350</v>
      </c>
      <c r="B1411" s="1832">
        <f>'Expenditures 15-22'!D232</f>
        <v>7444</v>
      </c>
      <c r="D1411" s="2" t="str">
        <f t="shared" si="21"/>
        <v>Error?</v>
      </c>
    </row>
    <row r="1412" spans="1:4" x14ac:dyDescent="0.2">
      <c r="A1412" s="5">
        <v>1351</v>
      </c>
      <c r="B1412" s="1832">
        <f>'Expenditures 15-22'!D233</f>
        <v>1425</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3906</v>
      </c>
      <c r="D1414" s="2" t="str">
        <f t="shared" si="21"/>
        <v>Error?</v>
      </c>
    </row>
    <row r="1415" spans="1:4" x14ac:dyDescent="0.2">
      <c r="A1415" s="5">
        <v>1354</v>
      </c>
      <c r="B1415" s="1832">
        <f>'Expenditures 15-22'!D236</f>
        <v>4252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17027</v>
      </c>
      <c r="C1417" s="2" t="s">
        <v>569</v>
      </c>
      <c r="D1417" s="2" t="str">
        <f t="shared" si="21"/>
        <v>Error?</v>
      </c>
    </row>
    <row r="1418" spans="1:4" x14ac:dyDescent="0.2">
      <c r="A1418" s="5">
        <v>1357</v>
      </c>
      <c r="B1418" s="1832">
        <f>'Expenditures 15-22'!D240</f>
        <v>8610</v>
      </c>
      <c r="D1418" s="2" t="str">
        <f t="shared" si="21"/>
        <v>Error?</v>
      </c>
    </row>
    <row r="1419" spans="1:4" x14ac:dyDescent="0.2">
      <c r="A1419" s="5">
        <v>1358</v>
      </c>
      <c r="B1419" s="1832">
        <f>'Expenditures 15-22'!D241</f>
        <v>6186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14796</v>
      </c>
      <c r="C1421" s="2" t="s">
        <v>569</v>
      </c>
      <c r="D1421" s="2" t="str">
        <f t="shared" si="21"/>
        <v>Error?</v>
      </c>
    </row>
    <row r="1422" spans="1:4" x14ac:dyDescent="0.2">
      <c r="A1422" s="5">
        <v>1361</v>
      </c>
      <c r="B1422" s="1832">
        <f>'Expenditures 15-22'!D245</f>
        <v>10529</v>
      </c>
      <c r="D1422" s="2" t="str">
        <f t="shared" si="21"/>
        <v>Error?</v>
      </c>
    </row>
    <row r="1423" spans="1:4" x14ac:dyDescent="0.2">
      <c r="A1423" s="5">
        <v>1362</v>
      </c>
      <c r="B1423" s="1832">
        <f>'Expenditures 15-22'!D246</f>
        <v>22046</v>
      </c>
      <c r="D1423" s="2" t="str">
        <f t="shared" si="21"/>
        <v>Error?</v>
      </c>
    </row>
    <row r="1424" spans="1:4" x14ac:dyDescent="0.2">
      <c r="A1424" s="5">
        <v>1363</v>
      </c>
      <c r="B1424" s="1832">
        <f>'Expenditures 15-22'!D257</f>
        <v>134056</v>
      </c>
      <c r="C1424" s="2" t="s">
        <v>569</v>
      </c>
      <c r="D1424" s="2" t="str">
        <f t="shared" si="21"/>
        <v>Error?</v>
      </c>
    </row>
    <row r="1425" spans="1:4" x14ac:dyDescent="0.2">
      <c r="A1425" s="5">
        <v>1364</v>
      </c>
      <c r="B1425" s="1832">
        <f>'Expenditures 15-22'!D259</f>
        <v>77564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77564</v>
      </c>
      <c r="C1427" s="2" t="s">
        <v>569</v>
      </c>
      <c r="D1427" s="2" t="str">
        <f t="shared" si="21"/>
        <v>Error?</v>
      </c>
    </row>
    <row r="1428" spans="1:4" x14ac:dyDescent="0.2">
      <c r="A1428" s="5">
        <v>1367</v>
      </c>
      <c r="B1428" s="1832">
        <f>'Expenditures 15-22'!D263</f>
        <v>15329</v>
      </c>
      <c r="D1428" s="2" t="str">
        <f t="shared" si="21"/>
        <v>Error?</v>
      </c>
    </row>
    <row r="1429" spans="1:4" x14ac:dyDescent="0.2">
      <c r="A1429" s="5">
        <v>1368</v>
      </c>
      <c r="B1429" s="1832">
        <f>'Expenditures 15-22'!D264</f>
        <v>52340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306407</v>
      </c>
      <c r="D1431" s="2" t="str">
        <f t="shared" si="21"/>
        <v>Error?</v>
      </c>
    </row>
    <row r="1432" spans="1:4" x14ac:dyDescent="0.2">
      <c r="A1432" s="5">
        <v>1371</v>
      </c>
      <c r="B1432" s="1832">
        <f>'Expenditures 15-22'!D267</f>
        <v>74050</v>
      </c>
      <c r="D1432" s="2" t="str">
        <f t="shared" si="21"/>
        <v>Error?</v>
      </c>
    </row>
    <row r="1433" spans="1:4" x14ac:dyDescent="0.2">
      <c r="A1433" s="5">
        <v>1372</v>
      </c>
      <c r="B1433" s="1832">
        <f>'Expenditures 15-22'!D268</f>
        <v>96751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544877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788320</v>
      </c>
      <c r="C1446" s="2" t="s">
        <v>569</v>
      </c>
      <c r="D1446" s="2" t="str">
        <f t="shared" si="21"/>
        <v>Error?</v>
      </c>
    </row>
    <row r="1447" spans="1:4" x14ac:dyDescent="0.2">
      <c r="A1447" s="5">
        <v>1386</v>
      </c>
      <c r="B1447" s="1832">
        <f>'Expenditures 15-22'!D280</f>
        <v>22266</v>
      </c>
      <c r="D1447" s="2" t="str">
        <f t="shared" si="21"/>
        <v>Error?</v>
      </c>
    </row>
    <row r="1448" spans="1:4" x14ac:dyDescent="0.2">
      <c r="A1448" s="5">
        <v>1387</v>
      </c>
      <c r="B1448" s="1832">
        <f>'Expenditures 15-22'!D295</f>
        <v>1610453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38345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799867</v>
      </c>
      <c r="C1474" s="2" t="s">
        <v>569</v>
      </c>
      <c r="D1474" s="2" t="str">
        <f t="shared" si="22"/>
        <v>Error?</v>
      </c>
    </row>
    <row r="1475" spans="1:4" x14ac:dyDescent="0.2">
      <c r="A1475" s="5">
        <v>1414</v>
      </c>
      <c r="B1475" s="1832">
        <f>'Expenditures 15-22'!K232</f>
        <v>7444</v>
      </c>
      <c r="C1475" s="2" t="s">
        <v>569</v>
      </c>
      <c r="D1475" s="2" t="str">
        <f t="shared" si="22"/>
        <v>Error?</v>
      </c>
    </row>
    <row r="1476" spans="1:4" x14ac:dyDescent="0.2">
      <c r="A1476" s="5">
        <v>1415</v>
      </c>
      <c r="B1476" s="1832">
        <f>'Expenditures 15-22'!K233</f>
        <v>1425</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3906</v>
      </c>
      <c r="C1478" s="2" t="s">
        <v>569</v>
      </c>
      <c r="D1478" s="2" t="str">
        <f t="shared" si="22"/>
        <v>Error?</v>
      </c>
    </row>
    <row r="1479" spans="1:4" x14ac:dyDescent="0.2">
      <c r="A1479" s="5">
        <v>1418</v>
      </c>
      <c r="B1479" s="1832">
        <f>'Expenditures 15-22'!K236</f>
        <v>4252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17027</v>
      </c>
      <c r="C1481" s="2" t="s">
        <v>569</v>
      </c>
      <c r="D1481" s="2" t="str">
        <f t="shared" si="22"/>
        <v>Error?</v>
      </c>
    </row>
    <row r="1482" spans="1:4" x14ac:dyDescent="0.2">
      <c r="A1482" s="5">
        <v>1421</v>
      </c>
      <c r="B1482" s="1832">
        <f>'Expenditures 15-22'!K240</f>
        <v>8610</v>
      </c>
      <c r="C1482" s="2" t="s">
        <v>569</v>
      </c>
      <c r="D1482" s="2" t="str">
        <f t="shared" si="22"/>
        <v>Error?</v>
      </c>
    </row>
    <row r="1483" spans="1:4" x14ac:dyDescent="0.2">
      <c r="A1483" s="5">
        <v>1422</v>
      </c>
      <c r="B1483" s="1832">
        <f>'Expenditures 15-22'!K241</f>
        <v>6186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14796</v>
      </c>
      <c r="C1485" s="2" t="s">
        <v>569</v>
      </c>
      <c r="D1485" s="2" t="str">
        <f t="shared" si="22"/>
        <v>Error?</v>
      </c>
    </row>
    <row r="1486" spans="1:4" x14ac:dyDescent="0.2">
      <c r="A1486" s="5">
        <v>1425</v>
      </c>
      <c r="B1486" s="1832">
        <f>'Expenditures 15-22'!K245</f>
        <v>10529</v>
      </c>
      <c r="C1486" s="2" t="s">
        <v>569</v>
      </c>
      <c r="D1486" s="2" t="str">
        <f t="shared" si="22"/>
        <v>Error?</v>
      </c>
    </row>
    <row r="1487" spans="1:4" x14ac:dyDescent="0.2">
      <c r="A1487" s="5">
        <v>1426</v>
      </c>
      <c r="B1487" s="1832">
        <f>'Expenditures 15-22'!K246</f>
        <v>22046</v>
      </c>
      <c r="C1487" s="2" t="s">
        <v>569</v>
      </c>
      <c r="D1487" s="2" t="str">
        <f t="shared" si="22"/>
        <v>Error?</v>
      </c>
    </row>
    <row r="1488" spans="1:4" x14ac:dyDescent="0.2">
      <c r="A1488" s="5">
        <v>1427</v>
      </c>
      <c r="B1488" s="1832">
        <f>'Expenditures 15-22'!K257</f>
        <v>134056</v>
      </c>
      <c r="C1488" s="2" t="s">
        <v>569</v>
      </c>
      <c r="D1488" s="2" t="str">
        <f t="shared" si="22"/>
        <v>Error?</v>
      </c>
    </row>
    <row r="1489" spans="1:4" x14ac:dyDescent="0.2">
      <c r="A1489" s="5">
        <v>1428</v>
      </c>
      <c r="B1489" s="1832">
        <f>'Expenditures 15-22'!K259</f>
        <v>77564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77564</v>
      </c>
      <c r="C1491" s="2" t="s">
        <v>569</v>
      </c>
      <c r="D1491" s="2" t="str">
        <f t="shared" si="22"/>
        <v>Error?</v>
      </c>
    </row>
    <row r="1492" spans="1:4" x14ac:dyDescent="0.2">
      <c r="A1492" s="5">
        <v>1431</v>
      </c>
      <c r="B1492" s="1832">
        <f>'Expenditures 15-22'!K263</f>
        <v>15329</v>
      </c>
      <c r="C1492" s="2" t="s">
        <v>569</v>
      </c>
      <c r="D1492" s="2" t="str">
        <f t="shared" si="22"/>
        <v>Error?</v>
      </c>
    </row>
    <row r="1493" spans="1:4" x14ac:dyDescent="0.2">
      <c r="A1493" s="5">
        <v>1432</v>
      </c>
      <c r="B1493" s="1832">
        <f>'Expenditures 15-22'!K264</f>
        <v>52340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306407</v>
      </c>
      <c r="C1495" s="2" t="s">
        <v>569</v>
      </c>
      <c r="D1495" s="2" t="str">
        <f t="shared" si="22"/>
        <v>Error?</v>
      </c>
    </row>
    <row r="1496" spans="1:4" x14ac:dyDescent="0.2">
      <c r="A1496" s="5">
        <v>1435</v>
      </c>
      <c r="B1496" s="1832">
        <f>'Expenditures 15-22'!K267</f>
        <v>74050</v>
      </c>
      <c r="C1496" s="2" t="s">
        <v>569</v>
      </c>
      <c r="D1496" s="2" t="str">
        <f t="shared" si="22"/>
        <v>Error?</v>
      </c>
    </row>
    <row r="1497" spans="1:4" x14ac:dyDescent="0.2">
      <c r="A1497" s="5">
        <v>1436</v>
      </c>
      <c r="B1497" s="1832">
        <f>'Expenditures 15-22'!K268</f>
        <v>96751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544877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788320</v>
      </c>
      <c r="C1510" s="2" t="s">
        <v>569</v>
      </c>
      <c r="D1510" s="2" t="str">
        <f t="shared" si="22"/>
        <v>Error?</v>
      </c>
    </row>
    <row r="1511" spans="1:4" x14ac:dyDescent="0.2">
      <c r="A1511" s="5">
        <v>1450</v>
      </c>
      <c r="B1511" s="1832">
        <f>'Expenditures 15-22'!K280</f>
        <v>22266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1610453</v>
      </c>
      <c r="C1517" s="2" t="s">
        <v>569</v>
      </c>
      <c r="D1517" s="2" t="str">
        <f t="shared" si="22"/>
        <v>Error?</v>
      </c>
    </row>
    <row r="1518" spans="1:4" x14ac:dyDescent="0.2">
      <c r="A1518" s="5">
        <v>1457</v>
      </c>
      <c r="B1518" s="1832">
        <f>'Expenditures 15-22'!K296</f>
        <v>-6273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53653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53653</v>
      </c>
      <c r="C1535" s="2" t="s">
        <v>569</v>
      </c>
      <c r="D1535" s="2" t="str">
        <f t="shared" ref="D1535:D1598" si="23">IF(ISBLANK(B1535),"OK",IF(A1535-B1535=0,"OK","Error?"))</f>
        <v>Error?</v>
      </c>
    </row>
    <row r="1536" spans="1:4" x14ac:dyDescent="0.2">
      <c r="A1536" s="5">
        <v>1475</v>
      </c>
      <c r="B1536" s="1832">
        <f>'Expenditures 15-22'!E312</f>
        <v>53653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32908887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32908887</v>
      </c>
      <c r="C1547" s="2" t="s">
        <v>569</v>
      </c>
      <c r="D1547" s="2" t="str">
        <f t="shared" si="23"/>
        <v>Error?</v>
      </c>
    </row>
    <row r="1548" spans="1:4" x14ac:dyDescent="0.2">
      <c r="A1548" s="5">
        <v>1487</v>
      </c>
      <c r="B1548" s="1832">
        <f>'Expenditures 15-22'!G312</f>
        <v>32908887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32962540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32962540</v>
      </c>
      <c r="C1559" s="2" t="s">
        <v>569</v>
      </c>
      <c r="D1559" s="2" t="str">
        <f t="shared" si="23"/>
        <v>Error?</v>
      </c>
    </row>
    <row r="1560" spans="1:4" x14ac:dyDescent="0.2">
      <c r="A1560" s="5">
        <v>1499</v>
      </c>
      <c r="B1560" s="1832">
        <f>'Expenditures 15-22'!K312</f>
        <v>32962540</v>
      </c>
      <c r="C1560" s="2" t="s">
        <v>569</v>
      </c>
      <c r="D1560" s="2" t="str">
        <f t="shared" si="23"/>
        <v>Error?</v>
      </c>
    </row>
    <row r="1561" spans="1:4" x14ac:dyDescent="0.2">
      <c r="A1561" s="5">
        <v>1500</v>
      </c>
      <c r="B1561" s="1832">
        <f>'Expenditures 15-22'!K313</f>
        <v>-32552222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20440555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22406004</v>
      </c>
      <c r="C1630" s="2" t="s">
        <v>569</v>
      </c>
      <c r="D1630" s="2" t="str">
        <f t="shared" si="24"/>
        <v>Error?</v>
      </c>
    </row>
    <row r="1631" spans="1:4" x14ac:dyDescent="0.2">
      <c r="A1631" s="5">
        <v>1570</v>
      </c>
      <c r="B1631" s="1832">
        <f>'Acct Summary 7-8'!D79</f>
        <v>1651477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1708497</v>
      </c>
      <c r="C1644" s="2" t="s">
        <v>569</v>
      </c>
      <c r="D1644" s="2" t="str">
        <f t="shared" si="24"/>
        <v>Error?</v>
      </c>
    </row>
    <row r="1645" spans="1:4" x14ac:dyDescent="0.2">
      <c r="A1645" s="5">
        <v>1584</v>
      </c>
      <c r="B1645" s="1832">
        <f>'Acct Summary 7-8'!E79</f>
        <v>543560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512618</v>
      </c>
      <c r="C1658" s="2" t="s">
        <v>569</v>
      </c>
      <c r="D1658" s="2" t="str">
        <f t="shared" si="24"/>
        <v>Error?</v>
      </c>
    </row>
    <row r="1659" spans="1:4" x14ac:dyDescent="0.2">
      <c r="A1659" s="5">
        <v>1598</v>
      </c>
      <c r="B1659" s="1832">
        <f>'Acct Summary 7-8'!F79</f>
        <v>2498293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2119475</v>
      </c>
      <c r="C1672" s="2" t="s">
        <v>569</v>
      </c>
      <c r="D1672" s="2" t="str">
        <f t="shared" si="25"/>
        <v>Error?</v>
      </c>
    </row>
    <row r="1673" spans="1:4" x14ac:dyDescent="0.2">
      <c r="A1673" s="5">
        <v>1612</v>
      </c>
      <c r="B1673" s="1832">
        <f>'Acct Summary 7-8'!G79</f>
        <v>-254321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-260594</v>
      </c>
      <c r="C1686" s="2" t="s">
        <v>569</v>
      </c>
      <c r="D1686" s="2" t="str">
        <f t="shared" si="25"/>
        <v>Error?</v>
      </c>
    </row>
    <row r="1687" spans="1:4" x14ac:dyDescent="0.2">
      <c r="A1687" s="5">
        <v>1626</v>
      </c>
      <c r="B1687" s="1832">
        <f>'Acct Summary 7-8'!H79</f>
        <v>36696802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4144580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6950442</v>
      </c>
      <c r="C1744" s="2" t="s">
        <v>569</v>
      </c>
      <c r="D1744" s="2" t="str">
        <f t="shared" si="26"/>
        <v>Error?</v>
      </c>
    </row>
    <row r="1745" spans="1:5" x14ac:dyDescent="0.2">
      <c r="A1745" s="5">
        <v>1684</v>
      </c>
      <c r="B1745" s="1832">
        <f>'Tax Sched 23'!B5</f>
        <v>931264</v>
      </c>
      <c r="C1745" s="2" t="s">
        <v>569</v>
      </c>
      <c r="D1745" s="2" t="str">
        <f t="shared" si="26"/>
        <v>Error?</v>
      </c>
    </row>
    <row r="1746" spans="1:5" x14ac:dyDescent="0.2">
      <c r="A1746" s="5">
        <v>1685</v>
      </c>
      <c r="B1746" s="1832">
        <f>'Tax Sched 23'!B6</f>
        <v>566025</v>
      </c>
      <c r="C1746" s="2" t="s">
        <v>569</v>
      </c>
      <c r="D1746" s="2" t="str">
        <f t="shared" si="26"/>
        <v>Error?</v>
      </c>
    </row>
    <row r="1747" spans="1:5" x14ac:dyDescent="0.2">
      <c r="A1747" s="5">
        <v>1686</v>
      </c>
      <c r="B1747" s="1832">
        <f>'Tax Sched 23'!B7</f>
        <v>492877</v>
      </c>
      <c r="C1747" s="2" t="s">
        <v>569</v>
      </c>
      <c r="D1747" s="2" t="str">
        <f t="shared" si="26"/>
        <v>Error?</v>
      </c>
    </row>
    <row r="1748" spans="1:5" x14ac:dyDescent="0.2">
      <c r="A1748" s="5">
        <v>1687</v>
      </c>
      <c r="B1748" s="1832">
        <f>'Tax Sched 23'!B8</f>
        <v>699049</v>
      </c>
      <c r="C1748" s="2" t="s">
        <v>569</v>
      </c>
      <c r="D1748" s="2" t="str">
        <f t="shared" si="26"/>
        <v>Error?</v>
      </c>
    </row>
    <row r="1749" spans="1:5" x14ac:dyDescent="0.2">
      <c r="A1749" s="5">
        <v>1688</v>
      </c>
      <c r="B1749" s="1832">
        <f>'Tax Sched 23'!B10</f>
        <v>85753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-255</v>
      </c>
      <c r="C1752" s="2" t="s">
        <v>569</v>
      </c>
      <c r="D1752" s="2" t="str">
        <f t="shared" si="26"/>
        <v>Error?</v>
      </c>
    </row>
    <row r="1753" spans="1:5" x14ac:dyDescent="0.2">
      <c r="A1753" s="5">
        <v>1692</v>
      </c>
      <c r="B1753" s="1832">
        <f>'Tax Sched 23'!B12</f>
        <v>-5399</v>
      </c>
      <c r="C1753" s="2" t="s">
        <v>569</v>
      </c>
      <c r="D1753" s="2" t="str">
        <f t="shared" si="26"/>
        <v>Error?</v>
      </c>
    </row>
    <row r="1754" spans="1:5" x14ac:dyDescent="0.2">
      <c r="A1754" s="5">
        <v>1693</v>
      </c>
      <c r="B1754" s="1832">
        <f>'Tax Sched 23'!B14</f>
        <v>-21589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10541157</v>
      </c>
      <c r="C1759" s="2" t="s">
        <v>569</v>
      </c>
      <c r="D1759" s="2" t="str">
        <f t="shared" si="26"/>
        <v>Error?</v>
      </c>
    </row>
    <row r="1760" spans="1:5" x14ac:dyDescent="0.2">
      <c r="A1760" s="5">
        <v>1699</v>
      </c>
      <c r="B1760" s="1832">
        <f>'Tax Sched 23'!D4</f>
        <v>3541976</v>
      </c>
      <c r="C1760" s="2" t="s">
        <v>569</v>
      </c>
      <c r="D1760" s="2" t="str">
        <f t="shared" si="26"/>
        <v>Error?</v>
      </c>
    </row>
    <row r="1761" spans="1:7" x14ac:dyDescent="0.2">
      <c r="A1761" s="5">
        <v>1700</v>
      </c>
      <c r="B1761" s="1832">
        <f>'Tax Sched 23'!D5</f>
        <v>466452</v>
      </c>
      <c r="C1761" s="2" t="s">
        <v>569</v>
      </c>
      <c r="D1761" s="2" t="str">
        <f t="shared" si="26"/>
        <v>Error?</v>
      </c>
    </row>
    <row r="1762" spans="1:7" s="8" customFormat="1" x14ac:dyDescent="0.2">
      <c r="A1762" s="5">
        <v>1701</v>
      </c>
      <c r="B1762" s="1832">
        <f>'Tax Sched 23'!D6</f>
        <v>275972</v>
      </c>
      <c r="C1762" s="2" t="s">
        <v>569</v>
      </c>
      <c r="D1762" s="2" t="str">
        <f t="shared" si="26"/>
        <v>Error?</v>
      </c>
      <c r="E1762" s="9"/>
      <c r="G1762"/>
    </row>
    <row r="1763" spans="1:7" x14ac:dyDescent="0.2">
      <c r="A1763" s="5">
        <v>1702</v>
      </c>
      <c r="B1763" s="1832">
        <f>'Tax Sched 23'!D7</f>
        <v>241243</v>
      </c>
      <c r="C1763" s="2" t="s">
        <v>569</v>
      </c>
      <c r="D1763" s="2" t="str">
        <f t="shared" si="26"/>
        <v>Error?</v>
      </c>
    </row>
    <row r="1764" spans="1:7" x14ac:dyDescent="0.2">
      <c r="A1764" s="5">
        <v>1703</v>
      </c>
      <c r="B1764" s="1832">
        <f>'Tax Sched 23'!D8</f>
        <v>339490</v>
      </c>
      <c r="C1764" s="2" t="s">
        <v>569</v>
      </c>
      <c r="D1764" s="2" t="str">
        <f t="shared" si="26"/>
        <v>Error?</v>
      </c>
    </row>
    <row r="1765" spans="1:7" x14ac:dyDescent="0.2">
      <c r="A1765" s="5">
        <v>1704</v>
      </c>
      <c r="B1765" s="1832">
        <f>'Tax Sched 23'!D10</f>
        <v>44434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-255</v>
      </c>
      <c r="C1768" s="2" t="s">
        <v>569</v>
      </c>
      <c r="D1768" s="2" t="str">
        <f t="shared" si="26"/>
        <v>Error?</v>
      </c>
    </row>
    <row r="1769" spans="1:7" x14ac:dyDescent="0.2">
      <c r="A1769" s="5">
        <v>1708</v>
      </c>
      <c r="B1769" s="1832">
        <f>'Tax Sched 23'!D12</f>
        <v>-5399</v>
      </c>
      <c r="C1769" s="2" t="s">
        <v>569</v>
      </c>
      <c r="D1769" s="2" t="str">
        <f t="shared" si="26"/>
        <v>Error?</v>
      </c>
    </row>
    <row r="1770" spans="1:7" x14ac:dyDescent="0.2">
      <c r="A1770" s="5">
        <v>1709</v>
      </c>
      <c r="B1770" s="1832">
        <f>'Tax Sched 23'!D14</f>
        <v>-21589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5293900</v>
      </c>
      <c r="C1775" s="2" t="s">
        <v>569</v>
      </c>
      <c r="D1775" s="2" t="str">
        <f t="shared" si="26"/>
        <v>Error?</v>
      </c>
    </row>
    <row r="1776" spans="1:7" x14ac:dyDescent="0.2">
      <c r="A1776" s="5">
        <v>1715</v>
      </c>
      <c r="B1776" s="1832">
        <f>'Tax Sched 23'!C4</f>
        <v>3408466</v>
      </c>
      <c r="D1776" s="2" t="str">
        <f t="shared" si="26"/>
        <v>Error?</v>
      </c>
    </row>
    <row r="1777" spans="1:4" x14ac:dyDescent="0.2">
      <c r="A1777" s="5">
        <v>1716</v>
      </c>
      <c r="B1777" s="1832">
        <f>'Tax Sched 23'!C5</f>
        <v>464812</v>
      </c>
      <c r="D1777" s="2" t="str">
        <f t="shared" si="26"/>
        <v>Error?</v>
      </c>
    </row>
    <row r="1778" spans="1:4" x14ac:dyDescent="0.2">
      <c r="A1778" s="5">
        <v>1717</v>
      </c>
      <c r="B1778" s="1832">
        <f>'Tax Sched 23'!C6</f>
        <v>290053</v>
      </c>
      <c r="D1778" s="2" t="str">
        <f t="shared" si="26"/>
        <v>Error?</v>
      </c>
    </row>
    <row r="1779" spans="1:4" x14ac:dyDescent="0.2">
      <c r="A1779" s="5">
        <v>1718</v>
      </c>
      <c r="B1779" s="1832">
        <f>'Tax Sched 23'!C7</f>
        <v>251634</v>
      </c>
      <c r="D1779" s="2" t="str">
        <f t="shared" si="26"/>
        <v>Error?</v>
      </c>
    </row>
    <row r="1780" spans="1:4" x14ac:dyDescent="0.2">
      <c r="A1780" s="5">
        <v>1719</v>
      </c>
      <c r="B1780" s="1832">
        <f>'Tax Sched 23'!C8</f>
        <v>359559</v>
      </c>
      <c r="D1780" s="2" t="str">
        <f t="shared" si="26"/>
        <v>Error?</v>
      </c>
    </row>
    <row r="1781" spans="1:4" x14ac:dyDescent="0.2">
      <c r="A1781" s="5">
        <v>1720</v>
      </c>
      <c r="B1781" s="1832">
        <f>'Tax Sched 23'!C10</f>
        <v>41319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5247257</v>
      </c>
      <c r="C1791" s="2" t="s">
        <v>569</v>
      </c>
      <c r="D1791" s="2" t="str">
        <f t="shared" ref="D1791:D1854" si="27">IF(ISBLANK(B1791),"OK",IF(A1791-B1791=0,"OK","Error?"))</f>
        <v>Error?</v>
      </c>
    </row>
    <row r="1792" spans="1:4" x14ac:dyDescent="0.2">
      <c r="A1792" s="5">
        <v>1731</v>
      </c>
      <c r="B1792" s="1832">
        <f>'Tax Sched 23'!F4</f>
        <v>5826509</v>
      </c>
      <c r="C1792" s="2" t="s">
        <v>569</v>
      </c>
      <c r="D1792" s="2" t="str">
        <f t="shared" si="27"/>
        <v>Error?</v>
      </c>
    </row>
    <row r="1793" spans="1:4" x14ac:dyDescent="0.2">
      <c r="A1793" s="5">
        <v>1732</v>
      </c>
      <c r="B1793" s="1832">
        <f>'Tax Sched 23'!F5</f>
        <v>794561</v>
      </c>
      <c r="C1793" s="2" t="s">
        <v>569</v>
      </c>
      <c r="D1793" s="2" t="str">
        <f t="shared" si="27"/>
        <v>Error?</v>
      </c>
    </row>
    <row r="1794" spans="1:4" x14ac:dyDescent="0.2">
      <c r="A1794" s="5">
        <v>1733</v>
      </c>
      <c r="B1794" s="1832">
        <f>'Tax Sched 23'!F6</f>
        <v>495822</v>
      </c>
      <c r="C1794" s="2" t="s">
        <v>569</v>
      </c>
      <c r="D1794" s="2" t="str">
        <f t="shared" si="27"/>
        <v>Error?</v>
      </c>
    </row>
    <row r="1795" spans="1:4" x14ac:dyDescent="0.2">
      <c r="A1795" s="5">
        <v>1734</v>
      </c>
      <c r="B1795" s="1832">
        <f>'Tax Sched 23'!F7</f>
        <v>430149</v>
      </c>
      <c r="C1795" s="2" t="s">
        <v>569</v>
      </c>
      <c r="D1795" s="2" t="str">
        <f t="shared" si="27"/>
        <v>Error?</v>
      </c>
    </row>
    <row r="1796" spans="1:4" x14ac:dyDescent="0.2">
      <c r="A1796" s="5">
        <v>1735</v>
      </c>
      <c r="B1796" s="1832">
        <f>'Tax Sched 23'!F8</f>
        <v>614639</v>
      </c>
      <c r="C1796" s="2" t="s">
        <v>569</v>
      </c>
      <c r="D1796" s="2" t="str">
        <f t="shared" si="27"/>
        <v>Error?</v>
      </c>
    </row>
    <row r="1797" spans="1:4" x14ac:dyDescent="0.2">
      <c r="A1797" s="5">
        <v>1736</v>
      </c>
      <c r="B1797" s="1832">
        <f>'Tax Sched 23'!F10</f>
        <v>70631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8969779</v>
      </c>
      <c r="C1807" s="2" t="s">
        <v>569</v>
      </c>
      <c r="D1807" s="2" t="str">
        <f t="shared" si="27"/>
        <v>Error?</v>
      </c>
    </row>
    <row r="1808" spans="1:4" x14ac:dyDescent="0.2">
      <c r="A1808" s="5">
        <v>1747</v>
      </c>
      <c r="B1808" s="1832">
        <f>'Tax Sched 23'!E4</f>
        <v>9234975</v>
      </c>
      <c r="D1808" s="2" t="str">
        <f t="shared" si="27"/>
        <v>Error?</v>
      </c>
    </row>
    <row r="1809" spans="1:4" x14ac:dyDescent="0.2">
      <c r="A1809" s="5">
        <v>1748</v>
      </c>
      <c r="B1809" s="1832">
        <f>'Tax Sched 23'!E5</f>
        <v>1259373</v>
      </c>
      <c r="D1809" s="2" t="str">
        <f t="shared" si="27"/>
        <v>Error?</v>
      </c>
    </row>
    <row r="1810" spans="1:4" x14ac:dyDescent="0.2">
      <c r="A1810" s="5">
        <v>1749</v>
      </c>
      <c r="B1810" s="1832">
        <f>'Tax Sched 23'!E6</f>
        <v>785875</v>
      </c>
      <c r="D1810" s="2" t="str">
        <f t="shared" si="27"/>
        <v>Error?</v>
      </c>
    </row>
    <row r="1811" spans="1:4" x14ac:dyDescent="0.2">
      <c r="A1811" s="5">
        <v>1750</v>
      </c>
      <c r="B1811" s="1832">
        <f>'Tax Sched 23'!E7</f>
        <v>681783</v>
      </c>
      <c r="D1811" s="2" t="str">
        <f t="shared" si="27"/>
        <v>Error?</v>
      </c>
    </row>
    <row r="1812" spans="1:4" x14ac:dyDescent="0.2">
      <c r="A1812" s="5">
        <v>1751</v>
      </c>
      <c r="B1812" s="1832">
        <f>'Tax Sched 23'!E8</f>
        <v>974198</v>
      </c>
      <c r="D1812" s="2" t="str">
        <f t="shared" si="27"/>
        <v>Error?</v>
      </c>
    </row>
    <row r="1813" spans="1:4" x14ac:dyDescent="0.2">
      <c r="A1813" s="5">
        <v>1752</v>
      </c>
      <c r="B1813" s="1832">
        <f>'Tax Sched 23'!E10</f>
        <v>111950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14217036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52800000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-21589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-21589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-21589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462004</v>
      </c>
      <c r="D2008" s="2" t="str">
        <f t="shared" si="30"/>
        <v>Error?</v>
      </c>
    </row>
    <row r="2009" spans="1:4" x14ac:dyDescent="0.2">
      <c r="A2009" s="5">
        <v>1948</v>
      </c>
      <c r="B2009" s="1832">
        <f>'Cap Outlay Deprec 26'!C8</f>
        <v>19362588</v>
      </c>
      <c r="D2009" s="2" t="str">
        <f t="shared" si="30"/>
        <v>Error?</v>
      </c>
    </row>
    <row r="2010" spans="1:4" x14ac:dyDescent="0.2">
      <c r="A2010" s="5">
        <v>1949</v>
      </c>
      <c r="B2010" s="1832">
        <f>'Cap Outlay Deprec 26'!C10</f>
        <v>1282332</v>
      </c>
      <c r="D2010" s="2" t="str">
        <f t="shared" si="30"/>
        <v>Error?</v>
      </c>
    </row>
    <row r="2011" spans="1:4" x14ac:dyDescent="0.2">
      <c r="A2011" s="5">
        <v>1950</v>
      </c>
      <c r="B2011" s="1832">
        <f>'Cap Outlay Deprec 26'!C12</f>
        <v>4235012</v>
      </c>
      <c r="D2011" s="2" t="str">
        <f t="shared" si="30"/>
        <v>Error?</v>
      </c>
    </row>
    <row r="2012" spans="1:4" x14ac:dyDescent="0.2">
      <c r="A2012" s="5">
        <v>1951</v>
      </c>
      <c r="B2012" s="1832">
        <f>'Cap Outlay Deprec 26'!C13</f>
        <v>613000</v>
      </c>
      <c r="D2012" s="2" t="str">
        <f t="shared" si="30"/>
        <v>Error?</v>
      </c>
    </row>
    <row r="2013" spans="1:4" x14ac:dyDescent="0.2">
      <c r="A2013" s="5">
        <v>1952</v>
      </c>
      <c r="B2013" s="1832">
        <f>'Cap Outlay Deprec 26'!C16</f>
        <v>43455345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155930</v>
      </c>
      <c r="D2015" s="2" t="str">
        <f t="shared" si="30"/>
        <v>Error?</v>
      </c>
    </row>
    <row r="2016" spans="1:4" x14ac:dyDescent="0.2">
      <c r="A2016" s="5">
        <v>1955</v>
      </c>
      <c r="B2016" s="1832">
        <f>'Cap Outlay Deprec 26'!D10</f>
        <v>213130</v>
      </c>
      <c r="D2016" s="2" t="str">
        <f t="shared" si="30"/>
        <v>Error?</v>
      </c>
    </row>
    <row r="2017" spans="1:4" x14ac:dyDescent="0.2">
      <c r="A2017" s="5">
        <v>1956</v>
      </c>
      <c r="B2017" s="1832">
        <f>'Cap Outlay Deprec 26'!D12</f>
        <v>1005338</v>
      </c>
      <c r="D2017" s="2" t="str">
        <f t="shared" si="30"/>
        <v>Error?</v>
      </c>
    </row>
    <row r="2018" spans="1:4" x14ac:dyDescent="0.2">
      <c r="A2018" s="5">
        <v>1957</v>
      </c>
      <c r="B2018" s="1832">
        <f>'Cap Outlay Deprec 26'!D13</f>
        <v>34811</v>
      </c>
      <c r="D2018" s="2" t="str">
        <f t="shared" si="30"/>
        <v>Error?</v>
      </c>
    </row>
    <row r="2019" spans="1:4" x14ac:dyDescent="0.2">
      <c r="A2019" s="5">
        <v>1958</v>
      </c>
      <c r="B2019" s="1832">
        <f>'Cap Outlay Deprec 26'!D16</f>
        <v>33521887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462004</v>
      </c>
      <c r="C2026" s="2" t="s">
        <v>569</v>
      </c>
      <c r="D2026" s="2" t="str">
        <f t="shared" si="30"/>
        <v>Error?</v>
      </c>
    </row>
    <row r="2027" spans="1:4" x14ac:dyDescent="0.2">
      <c r="A2027" s="5">
        <v>1966</v>
      </c>
      <c r="B2027" s="1832">
        <f>'Cap Outlay Deprec 26'!F8</f>
        <v>19518518</v>
      </c>
      <c r="C2027" s="2" t="s">
        <v>569</v>
      </c>
      <c r="D2027" s="2" t="str">
        <f t="shared" si="30"/>
        <v>Error?</v>
      </c>
    </row>
    <row r="2028" spans="1:4" x14ac:dyDescent="0.2">
      <c r="A2028" s="5">
        <v>1967</v>
      </c>
      <c r="B2028" s="1832">
        <f>'Cap Outlay Deprec 26'!F10</f>
        <v>1495462</v>
      </c>
      <c r="C2028" s="2" t="s">
        <v>569</v>
      </c>
      <c r="D2028" s="2" t="str">
        <f t="shared" si="30"/>
        <v>Error?</v>
      </c>
    </row>
    <row r="2029" spans="1:4" x14ac:dyDescent="0.2">
      <c r="A2029" s="5">
        <v>1968</v>
      </c>
      <c r="B2029" s="1832">
        <f>'Cap Outlay Deprec 26'!F12</f>
        <v>5240350</v>
      </c>
      <c r="C2029" s="2" t="s">
        <v>569</v>
      </c>
      <c r="D2029" s="2" t="str">
        <f t="shared" si="30"/>
        <v>Error?</v>
      </c>
    </row>
    <row r="2030" spans="1:4" x14ac:dyDescent="0.2">
      <c r="A2030" s="5">
        <v>1969</v>
      </c>
      <c r="B2030" s="1832">
        <f>'Cap Outlay Deprec 26'!F13</f>
        <v>647811</v>
      </c>
      <c r="C2030" s="2" t="s">
        <v>569</v>
      </c>
      <c r="D2030" s="2" t="str">
        <f t="shared" si="30"/>
        <v>Error?</v>
      </c>
    </row>
    <row r="2031" spans="1:4" x14ac:dyDescent="0.2">
      <c r="A2031" s="5">
        <v>1970</v>
      </c>
      <c r="B2031" s="1832">
        <f>'Cap Outlay Deprec 26'!F16</f>
        <v>76977232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5703599</v>
      </c>
      <c r="D2033" s="2" t="str">
        <f t="shared" si="30"/>
        <v>Error?</v>
      </c>
    </row>
    <row r="2034" spans="1:4" x14ac:dyDescent="0.2">
      <c r="A2034" s="5">
        <v>1973</v>
      </c>
      <c r="B2034" s="1832">
        <f>'Cap Outlay Deprec 26'!H10</f>
        <v>425002</v>
      </c>
      <c r="D2034" s="2" t="str">
        <f t="shared" si="30"/>
        <v>Error?</v>
      </c>
    </row>
    <row r="2035" spans="1:4" x14ac:dyDescent="0.2">
      <c r="A2035" s="5">
        <v>1974</v>
      </c>
      <c r="B2035" s="1832">
        <f>'Cap Outlay Deprec 26'!H12</f>
        <v>3871823</v>
      </c>
      <c r="D2035" s="2" t="str">
        <f t="shared" si="30"/>
        <v>Error?</v>
      </c>
    </row>
    <row r="2036" spans="1:4" x14ac:dyDescent="0.2">
      <c r="A2036" s="5">
        <v>1975</v>
      </c>
      <c r="B2036" s="1832">
        <f>'Cap Outlay Deprec 26'!H13</f>
        <v>478951</v>
      </c>
      <c r="D2036" s="2" t="str">
        <f t="shared" si="30"/>
        <v>Error?</v>
      </c>
    </row>
    <row r="2037" spans="1:4" x14ac:dyDescent="0.2">
      <c r="A2037" s="5">
        <v>1976</v>
      </c>
      <c r="B2037" s="1832">
        <f>'Cap Outlay Deprec 26'!H16</f>
        <v>11072999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390389</v>
      </c>
      <c r="D2039" s="2" t="str">
        <f t="shared" si="30"/>
        <v>Error?</v>
      </c>
    </row>
    <row r="2040" spans="1:4" x14ac:dyDescent="0.2">
      <c r="A2040" s="5">
        <v>1979</v>
      </c>
      <c r="B2040" s="1832">
        <f>'Cap Outlay Deprec 26'!I10</f>
        <v>115099</v>
      </c>
      <c r="D2040" s="2" t="str">
        <f t="shared" si="30"/>
        <v>Error?</v>
      </c>
    </row>
    <row r="2041" spans="1:4" x14ac:dyDescent="0.2">
      <c r="A2041" s="5">
        <v>1980</v>
      </c>
      <c r="B2041" s="1832">
        <f>'Cap Outlay Deprec 26'!I12</f>
        <v>151128</v>
      </c>
      <c r="D2041" s="2" t="str">
        <f t="shared" si="30"/>
        <v>Error?</v>
      </c>
    </row>
    <row r="2042" spans="1:4" x14ac:dyDescent="0.2">
      <c r="A2042" s="5">
        <v>1981</v>
      </c>
      <c r="B2042" s="1832">
        <f>'Cap Outlay Deprec 26'!I13</f>
        <v>48720</v>
      </c>
      <c r="D2042" s="2" t="str">
        <f t="shared" si="30"/>
        <v>Error?</v>
      </c>
    </row>
    <row r="2043" spans="1:4" x14ac:dyDescent="0.2">
      <c r="A2043" s="5">
        <v>1982</v>
      </c>
      <c r="B2043" s="1832">
        <f>'Cap Outlay Deprec 26'!I16</f>
        <v>967751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6093988</v>
      </c>
      <c r="C2051" s="2" t="s">
        <v>569</v>
      </c>
      <c r="D2051" s="2" t="str">
        <f t="shared" si="31"/>
        <v>Error?</v>
      </c>
    </row>
    <row r="2052" spans="1:4" x14ac:dyDescent="0.2">
      <c r="A2052" s="5">
        <v>1991</v>
      </c>
      <c r="B2052" s="1832">
        <f>'Cap Outlay Deprec 26'!K10</f>
        <v>540101</v>
      </c>
      <c r="C2052" s="2" t="s">
        <v>569</v>
      </c>
      <c r="D2052" s="2" t="str">
        <f t="shared" si="31"/>
        <v>Error?</v>
      </c>
    </row>
    <row r="2053" spans="1:4" x14ac:dyDescent="0.2">
      <c r="A2053" s="5">
        <v>1992</v>
      </c>
      <c r="B2053" s="1832">
        <f>'Cap Outlay Deprec 26'!K12</f>
        <v>4022951</v>
      </c>
      <c r="C2053" s="2" t="s">
        <v>569</v>
      </c>
      <c r="D2053" s="2" t="str">
        <f t="shared" si="31"/>
        <v>Error?</v>
      </c>
    </row>
    <row r="2054" spans="1:4" x14ac:dyDescent="0.2">
      <c r="A2054" s="5">
        <v>1993</v>
      </c>
      <c r="B2054" s="1832">
        <f>'Cap Outlay Deprec 26'!K13</f>
        <v>527671</v>
      </c>
      <c r="C2054" s="2" t="s">
        <v>569</v>
      </c>
      <c r="D2054" s="2" t="str">
        <f t="shared" si="31"/>
        <v>Error?</v>
      </c>
    </row>
    <row r="2055" spans="1:4" x14ac:dyDescent="0.2">
      <c r="A2055" s="5">
        <v>1994</v>
      </c>
      <c r="B2055" s="1832">
        <f>'Cap Outlay Deprec 26'!K16</f>
        <v>12040750</v>
      </c>
      <c r="C2055" s="2" t="s">
        <v>569</v>
      </c>
      <c r="D2055" s="2" t="str">
        <f t="shared" si="31"/>
        <v>Error?</v>
      </c>
    </row>
    <row r="2056" spans="1:4" x14ac:dyDescent="0.2">
      <c r="A2056" s="5">
        <v>1995</v>
      </c>
      <c r="B2056" s="1832">
        <f>'Cap Outlay Deprec 26'!L5</f>
        <v>462004</v>
      </c>
      <c r="C2056" s="2" t="s">
        <v>569</v>
      </c>
      <c r="D2056" s="2" t="str">
        <f t="shared" si="31"/>
        <v>Error?</v>
      </c>
    </row>
    <row r="2057" spans="1:4" x14ac:dyDescent="0.2">
      <c r="A2057" s="5">
        <v>1996</v>
      </c>
      <c r="B2057" s="1832">
        <f>'Cap Outlay Deprec 26'!L8</f>
        <v>13424530</v>
      </c>
      <c r="C2057" s="2" t="s">
        <v>569</v>
      </c>
      <c r="D2057" s="2" t="str">
        <f t="shared" si="31"/>
        <v>Error?</v>
      </c>
    </row>
    <row r="2058" spans="1:4" x14ac:dyDescent="0.2">
      <c r="A2058" s="5">
        <v>1997</v>
      </c>
      <c r="B2058" s="1832">
        <f>'Cap Outlay Deprec 26'!L10</f>
        <v>955361</v>
      </c>
      <c r="C2058" s="2" t="s">
        <v>569</v>
      </c>
      <c r="D2058" s="2" t="str">
        <f t="shared" si="31"/>
        <v>Error?</v>
      </c>
    </row>
    <row r="2059" spans="1:4" x14ac:dyDescent="0.2">
      <c r="A2059" s="5">
        <v>1998</v>
      </c>
      <c r="B2059" s="1832">
        <f>'Cap Outlay Deprec 26'!L12</f>
        <v>1217399</v>
      </c>
      <c r="C2059" s="2" t="s">
        <v>569</v>
      </c>
      <c r="D2059" s="2" t="str">
        <f t="shared" si="31"/>
        <v>Error?</v>
      </c>
    </row>
    <row r="2060" spans="1:4" x14ac:dyDescent="0.2">
      <c r="A2060" s="5">
        <v>1999</v>
      </c>
      <c r="B2060" s="1832">
        <f>'Cap Outlay Deprec 26'!L13</f>
        <v>120140</v>
      </c>
      <c r="C2060" s="2" t="s">
        <v>569</v>
      </c>
      <c r="D2060" s="2" t="str">
        <f t="shared" si="31"/>
        <v>Error?</v>
      </c>
    </row>
    <row r="2061" spans="1:4" x14ac:dyDescent="0.2">
      <c r="A2061" s="5">
        <v>2000</v>
      </c>
      <c r="B2061" s="1832">
        <f>'Cap Outlay Deprec 26'!L16</f>
        <v>64936482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246342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246342</v>
      </c>
      <c r="C2088" s="2" t="s">
        <v>569</v>
      </c>
      <c r="D2088" s="2" t="str">
        <f t="shared" si="31"/>
        <v>Error?</v>
      </c>
    </row>
    <row r="2089" spans="1:4" x14ac:dyDescent="0.2">
      <c r="A2089" s="5">
        <v>2028</v>
      </c>
      <c r="B2089" s="1832">
        <f>'Expenditures 15-22'!K92</f>
        <v>1473345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10451033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25236874</v>
      </c>
      <c r="C2553" s="2" t="s">
        <v>569</v>
      </c>
      <c r="D2553" s="2" t="str">
        <f t="shared" si="38"/>
        <v>Error?</v>
      </c>
    </row>
    <row r="2554" spans="1:4" x14ac:dyDescent="0.2">
      <c r="A2554" s="5">
        <v>2493</v>
      </c>
      <c r="B2554" s="1832">
        <f>'Acct Summary 7-8'!C7</f>
        <v>5407961</v>
      </c>
      <c r="C2554" s="2" t="s">
        <v>569</v>
      </c>
      <c r="D2554" s="2" t="str">
        <f t="shared" si="38"/>
        <v>Error?</v>
      </c>
    </row>
    <row r="2555" spans="1:4" x14ac:dyDescent="0.2">
      <c r="A2555" s="5">
        <v>2494</v>
      </c>
      <c r="B2555" s="1832">
        <f>'Acct Summary 7-8'!C8</f>
        <v>41095868</v>
      </c>
      <c r="C2555" s="2" t="s">
        <v>569</v>
      </c>
      <c r="D2555" s="2" t="str">
        <f t="shared" si="38"/>
        <v>Error?</v>
      </c>
    </row>
    <row r="2556" spans="1:4" x14ac:dyDescent="0.2">
      <c r="A2556" s="5">
        <v>2495</v>
      </c>
      <c r="B2556" s="1832">
        <f>'Acct Summary 7-8'!C12</f>
        <v>24824562</v>
      </c>
      <c r="C2556" s="2" t="s">
        <v>569</v>
      </c>
      <c r="D2556" s="2" t="str">
        <f t="shared" si="38"/>
        <v>Error?</v>
      </c>
    </row>
    <row r="2557" spans="1:4" x14ac:dyDescent="0.2">
      <c r="A2557" s="5">
        <v>2496</v>
      </c>
      <c r="B2557" s="1832">
        <f>'Acct Summary 7-8'!C13</f>
        <v>12284194</v>
      </c>
      <c r="C2557" s="2" t="s">
        <v>569</v>
      </c>
      <c r="D2557" s="2" t="str">
        <f t="shared" si="38"/>
        <v>Error?</v>
      </c>
    </row>
    <row r="2558" spans="1:4" x14ac:dyDescent="0.2">
      <c r="A2558" s="5">
        <v>2497</v>
      </c>
      <c r="B2558" s="1832">
        <f>'Acct Summary 7-8'!C14</f>
        <v>301976</v>
      </c>
      <c r="C2558" s="2" t="s">
        <v>569</v>
      </c>
      <c r="D2558" s="2" t="str">
        <f t="shared" si="38"/>
        <v>Error?</v>
      </c>
    </row>
    <row r="2559" spans="1:4" x14ac:dyDescent="0.2">
      <c r="A2559" s="5">
        <v>2498</v>
      </c>
      <c r="B2559" s="1832">
        <f>'Acct Summary 7-8'!C15</f>
        <v>1719687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39130419</v>
      </c>
      <c r="C2561" s="2" t="s">
        <v>569</v>
      </c>
      <c r="D2561" s="2" t="str">
        <f t="shared" si="39"/>
        <v>Error?</v>
      </c>
    </row>
    <row r="2562" spans="1:4" x14ac:dyDescent="0.2">
      <c r="A2562" s="5">
        <v>2501</v>
      </c>
      <c r="B2562" s="1832">
        <f>'Acct Summary 7-8'!C20</f>
        <v>1965449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926915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1609818</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2536733</v>
      </c>
      <c r="C2568" s="2" t="s">
        <v>569</v>
      </c>
      <c r="D2568" s="2" t="str">
        <f t="shared" si="39"/>
        <v>Error?</v>
      </c>
    </row>
    <row r="2569" spans="1:4" x14ac:dyDescent="0.2">
      <c r="A2569" s="5">
        <v>2508</v>
      </c>
      <c r="B2569" s="1832">
        <f>'Acct Summary 7-8'!D13</f>
        <v>2479713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2479713</v>
      </c>
      <c r="C2573" s="2" t="s">
        <v>569</v>
      </c>
      <c r="D2573" s="2" t="str">
        <f t="shared" si="39"/>
        <v>Error?</v>
      </c>
    </row>
    <row r="2574" spans="1:4" x14ac:dyDescent="0.2">
      <c r="A2574" s="5">
        <v>2513</v>
      </c>
      <c r="B2574" s="1832">
        <f>'Acct Summary 7-8'!D20</f>
        <v>57020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492877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538553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1031430</v>
      </c>
      <c r="C2595" s="2" t="s">
        <v>569</v>
      </c>
      <c r="D2595" s="2" t="str">
        <f t="shared" si="39"/>
        <v>Error?</v>
      </c>
    </row>
    <row r="2596" spans="1:4" x14ac:dyDescent="0.2">
      <c r="A2596" s="5">
        <v>2535</v>
      </c>
      <c r="B2596" s="1832">
        <f>'Acct Summary 7-8'!F13</f>
        <v>1410248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1410248</v>
      </c>
      <c r="C2600" s="2" t="s">
        <v>569</v>
      </c>
      <c r="D2600" s="2" t="str">
        <f t="shared" si="39"/>
        <v>Error?</v>
      </c>
    </row>
    <row r="2601" spans="1:4" x14ac:dyDescent="0.2">
      <c r="A2601" s="5">
        <v>2540</v>
      </c>
      <c r="B2601" s="1832">
        <f>'Acct Summary 7-8'!F20</f>
        <v>-378818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1604180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1604180</v>
      </c>
      <c r="C2606" s="2" t="s">
        <v>569</v>
      </c>
      <c r="D2606" s="2" t="str">
        <f t="shared" si="39"/>
        <v>Error?</v>
      </c>
    </row>
    <row r="2607" spans="1:4" x14ac:dyDescent="0.2">
      <c r="A2607" s="5">
        <v>2546</v>
      </c>
      <c r="B2607" s="1832">
        <f>'Acct Summary 7-8'!G12</f>
        <v>799867</v>
      </c>
      <c r="C2607" s="2" t="s">
        <v>569</v>
      </c>
      <c r="D2607" s="2" t="str">
        <f t="shared" si="39"/>
        <v>Error?</v>
      </c>
    </row>
    <row r="2608" spans="1:4" x14ac:dyDescent="0.2">
      <c r="A2608" s="5">
        <v>2547</v>
      </c>
      <c r="B2608" s="1832">
        <f>'Acct Summary 7-8'!G13</f>
        <v>788320</v>
      </c>
      <c r="C2608" s="2" t="s">
        <v>569</v>
      </c>
      <c r="D2608" s="2" t="str">
        <f t="shared" si="39"/>
        <v>Error?</v>
      </c>
    </row>
    <row r="2609" spans="1:4" x14ac:dyDescent="0.2">
      <c r="A2609" s="5">
        <v>2548</v>
      </c>
      <c r="B2609" s="1832">
        <f>'Acct Summary 7-8'!G14</f>
        <v>22266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1610453</v>
      </c>
      <c r="C2612" s="2" t="s">
        <v>569</v>
      </c>
      <c r="D2612" s="2" t="str">
        <f t="shared" si="39"/>
        <v>Error?</v>
      </c>
    </row>
    <row r="2613" spans="1:4" x14ac:dyDescent="0.2">
      <c r="A2613" s="5">
        <v>2552</v>
      </c>
      <c r="B2613" s="1832">
        <f>'Acct Summary 7-8'!G20</f>
        <v>-6273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566077</v>
      </c>
      <c r="C2630" s="2" t="s">
        <v>569</v>
      </c>
      <c r="D2630" s="2" t="str">
        <f t="shared" si="40"/>
        <v>Error?</v>
      </c>
    </row>
    <row r="2631" spans="1:4" x14ac:dyDescent="0.2">
      <c r="A2631" s="5">
        <v>2570</v>
      </c>
      <c r="B2631" s="1832">
        <f>'Acct Summary 7-8'!E6</f>
        <v>1000000</v>
      </c>
      <c r="C2631" s="2" t="s">
        <v>569</v>
      </c>
      <c r="D2631" s="2" t="str">
        <f t="shared" si="40"/>
        <v>Error?</v>
      </c>
    </row>
    <row r="2632" spans="1:4" x14ac:dyDescent="0.2">
      <c r="A2632" s="5">
        <v>2571</v>
      </c>
      <c r="B2632" s="1832">
        <f>'Acct Summary 7-8'!E8</f>
        <v>2456708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2487650</v>
      </c>
      <c r="C2634" s="2" t="s">
        <v>569</v>
      </c>
      <c r="D2634" s="2" t="str">
        <f t="shared" si="40"/>
        <v>Error?</v>
      </c>
    </row>
    <row r="2635" spans="1:4" x14ac:dyDescent="0.2">
      <c r="A2635" s="5">
        <v>2574</v>
      </c>
      <c r="B2635" s="1832">
        <f>'Acct Summary 7-8'!E17</f>
        <v>2487650</v>
      </c>
      <c r="C2635" s="2" t="s">
        <v>569</v>
      </c>
      <c r="D2635" s="2" t="str">
        <f t="shared" si="40"/>
        <v>Error?</v>
      </c>
    </row>
    <row r="2636" spans="1:4" x14ac:dyDescent="0.2">
      <c r="A2636" s="5">
        <v>2575</v>
      </c>
      <c r="B2636" s="1832">
        <f>'Acct Summary 7-8'!E20</f>
        <v>-30942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410318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410318</v>
      </c>
      <c r="C2658" s="2" t="s">
        <v>569</v>
      </c>
      <c r="D2658" s="2" t="str">
        <f t="shared" si="40"/>
        <v>Error?</v>
      </c>
    </row>
    <row r="2659" spans="1:4" x14ac:dyDescent="0.2">
      <c r="A2659" s="5">
        <v>2598</v>
      </c>
      <c r="B2659" s="1832">
        <f>'Acct Summary 7-8'!H13</f>
        <v>32962540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32962540</v>
      </c>
      <c r="C2661" s="2" t="s">
        <v>569</v>
      </c>
      <c r="D2661" s="2" t="str">
        <f t="shared" si="40"/>
        <v>Error?</v>
      </c>
    </row>
    <row r="2662" spans="1:4" x14ac:dyDescent="0.2">
      <c r="A2662" s="5">
        <v>2601</v>
      </c>
      <c r="B2662" s="1832">
        <f>'Acct Summary 7-8'!H20</f>
        <v>-32552222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370992</v>
      </c>
      <c r="D2718" s="2" t="str">
        <f t="shared" si="41"/>
        <v>Error?</v>
      </c>
    </row>
    <row r="2719" spans="1:4" x14ac:dyDescent="0.2">
      <c r="A2719" s="5">
        <v>2658</v>
      </c>
      <c r="B2719" s="1832">
        <f>'Expenditures 15-22'!D51</f>
        <v>99551</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470543</v>
      </c>
      <c r="C2724" s="2" t="s">
        <v>569</v>
      </c>
      <c r="D2724" s="2" t="str">
        <f t="shared" si="41"/>
        <v>Error?</v>
      </c>
    </row>
    <row r="2725" spans="1:4" x14ac:dyDescent="0.2">
      <c r="A2725" s="5">
        <v>2664</v>
      </c>
      <c r="B2725" s="1832">
        <f>'Expenditures 15-22'!D247</f>
        <v>13332</v>
      </c>
      <c r="D2725" s="2" t="str">
        <f t="shared" si="41"/>
        <v>Error?</v>
      </c>
    </row>
    <row r="2726" spans="1:4" x14ac:dyDescent="0.2">
      <c r="A2726" s="5">
        <v>2665</v>
      </c>
      <c r="B2726" s="1832">
        <f>'Expenditures 15-22'!K247</f>
        <v>13332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45473123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7912285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7912285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55321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55321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7912285</v>
      </c>
      <c r="D2912" s="2" t="str">
        <f t="shared" si="44"/>
        <v>Error?</v>
      </c>
    </row>
    <row r="2913" spans="1:4" x14ac:dyDescent="0.2">
      <c r="A2913" s="5">
        <v>2852</v>
      </c>
      <c r="B2913" s="1832">
        <f>'Assets-Liab 5-6'!I41</f>
        <v>7912285</v>
      </c>
      <c r="C2913" s="2" t="s">
        <v>569</v>
      </c>
      <c r="D2913" s="2" t="str">
        <f t="shared" si="44"/>
        <v>Error?</v>
      </c>
    </row>
    <row r="2914" spans="1:4" x14ac:dyDescent="0.2">
      <c r="A2914" s="5">
        <v>2853</v>
      </c>
      <c r="B2914" s="1832">
        <f>'Assets-Liab 5-6'!L33</f>
        <v>55321</v>
      </c>
      <c r="D2914" s="2" t="str">
        <f t="shared" si="44"/>
        <v>Error?</v>
      </c>
    </row>
    <row r="2915" spans="1:4" x14ac:dyDescent="0.2">
      <c r="A2915" s="10">
        <v>2854</v>
      </c>
      <c r="B2915" s="1832"/>
      <c r="D2915" s="2" t="str">
        <f t="shared" si="44"/>
        <v>OK</v>
      </c>
    </row>
    <row r="2916" spans="1:4" x14ac:dyDescent="0.2">
      <c r="A2916" s="5">
        <v>2855</v>
      </c>
      <c r="B2916" s="1832">
        <f>'Assets-Liab 5-6'!L34</f>
        <v>55321</v>
      </c>
      <c r="C2916" s="2" t="s">
        <v>569</v>
      </c>
      <c r="D2916" s="2" t="str">
        <f t="shared" si="44"/>
        <v>Error?</v>
      </c>
    </row>
    <row r="2917" spans="1:4" x14ac:dyDescent="0.2">
      <c r="A2917" s="5">
        <v>2856</v>
      </c>
      <c r="B2917" s="1832">
        <f>'Assets-Liab 5-6'!L41</f>
        <v>55321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246342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246342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882615</v>
      </c>
      <c r="D3055" s="2" t="str">
        <f t="shared" si="46"/>
        <v>Error?</v>
      </c>
    </row>
    <row r="3056" spans="1:4" x14ac:dyDescent="0.2">
      <c r="A3056" s="5">
        <v>2995</v>
      </c>
      <c r="B3056" s="1832">
        <f>'Expenditures 15-22'!D10</f>
        <v>134728</v>
      </c>
      <c r="D3056" s="2" t="str">
        <f t="shared" si="46"/>
        <v>Error?</v>
      </c>
    </row>
    <row r="3057" spans="1:4" x14ac:dyDescent="0.2">
      <c r="A3057" s="5">
        <v>2996</v>
      </c>
      <c r="B3057" s="1832">
        <f>'Expenditures 15-22'!E10</f>
        <v>74588</v>
      </c>
      <c r="D3057" s="2" t="str">
        <f t="shared" si="46"/>
        <v>Error?</v>
      </c>
    </row>
    <row r="3058" spans="1:4" x14ac:dyDescent="0.2">
      <c r="A3058" s="5">
        <v>2997</v>
      </c>
      <c r="B3058" s="1832">
        <f>'Expenditures 15-22'!F10</f>
        <v>650289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1767261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70033</v>
      </c>
      <c r="D3064" s="2" t="str">
        <f t="shared" si="46"/>
        <v>Error?</v>
      </c>
    </row>
    <row r="3065" spans="1:4" x14ac:dyDescent="0.2">
      <c r="A3065" s="5">
        <v>3004</v>
      </c>
      <c r="B3065" s="1832">
        <f>'Expenditures 15-22'!K219</f>
        <v>70033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85753</v>
      </c>
      <c r="C3225" s="2" t="s">
        <v>569</v>
      </c>
      <c r="D3225" s="2" t="str">
        <f t="shared" si="49"/>
        <v>Error?</v>
      </c>
    </row>
    <row r="3226" spans="1:4" x14ac:dyDescent="0.2">
      <c r="A3226" s="5">
        <v>3165</v>
      </c>
      <c r="B3226" s="1832">
        <f>'Acct Summary 7-8'!I8</f>
        <v>85753</v>
      </c>
      <c r="C3226" s="2" t="s">
        <v>569</v>
      </c>
      <c r="D3226" s="2" t="str">
        <f t="shared" si="49"/>
        <v>Error?</v>
      </c>
    </row>
    <row r="3227" spans="1:4" x14ac:dyDescent="0.2">
      <c r="A3227" s="5">
        <v>3166</v>
      </c>
      <c r="B3227" s="1832">
        <f>'Acct Summary 7-8'!I20</f>
        <v>85753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1965449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57020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-378818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-6273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-30942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-32552222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85753</v>
      </c>
      <c r="C3320" s="2" t="s">
        <v>569</v>
      </c>
      <c r="D3320" s="2" t="str">
        <f t="shared" si="50"/>
        <v>Error?</v>
      </c>
    </row>
    <row r="3321" spans="1:4" x14ac:dyDescent="0.2">
      <c r="A3321" s="5">
        <v>3260</v>
      </c>
      <c r="B3321" s="1832">
        <f>'Acct Summary 7-8'!I79</f>
        <v>7826532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7912285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2427196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613861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93334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3134391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551318</v>
      </c>
      <c r="D3387" s="2" t="str">
        <f t="shared" si="51"/>
        <v>Error?</v>
      </c>
    </row>
    <row r="3388" spans="1:4" x14ac:dyDescent="0.2">
      <c r="A3388" s="5">
        <v>3327</v>
      </c>
      <c r="B3388" s="1832">
        <f>'Expenditures 15-22'!D217</f>
        <v>140142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551318</v>
      </c>
      <c r="C3390" s="2" t="s">
        <v>569</v>
      </c>
      <c r="D3390" s="2" t="str">
        <f t="shared" si="51"/>
        <v>Error?</v>
      </c>
    </row>
    <row r="3391" spans="1:4" x14ac:dyDescent="0.2">
      <c r="A3391" s="5">
        <v>3330</v>
      </c>
      <c r="B3391" s="1832">
        <f>'Expenditures 15-22'!K217</f>
        <v>140142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848389</v>
      </c>
      <c r="C3446" s="2" t="s">
        <v>569</v>
      </c>
      <c r="D3446" s="2" t="str">
        <f t="shared" si="52"/>
        <v>Error?</v>
      </c>
    </row>
    <row r="3447" spans="1:4" x14ac:dyDescent="0.2">
      <c r="A3447" s="5">
        <v>3386</v>
      </c>
      <c r="B3447" s="1832">
        <f>'Tax Sched 23'!D16</f>
        <v>416975</v>
      </c>
      <c r="C3447" s="2" t="s">
        <v>569</v>
      </c>
      <c r="D3447" s="2" t="str">
        <f t="shared" si="52"/>
        <v>Error?</v>
      </c>
    </row>
    <row r="3448" spans="1:4" x14ac:dyDescent="0.2">
      <c r="A3448" s="5">
        <v>3387</v>
      </c>
      <c r="B3448" s="1832">
        <f>'Tax Sched 23'!C16</f>
        <v>431414</v>
      </c>
      <c r="D3448" s="2" t="str">
        <f t="shared" si="52"/>
        <v>Error?</v>
      </c>
    </row>
    <row r="3449" spans="1:4" x14ac:dyDescent="0.2">
      <c r="A3449" s="5">
        <v>3388</v>
      </c>
      <c r="B3449" s="1832">
        <f>'Tax Sched 23'!F16</f>
        <v>737468</v>
      </c>
      <c r="C3449" s="2" t="s">
        <v>569</v>
      </c>
      <c r="D3449" s="2" t="str">
        <f t="shared" si="52"/>
        <v>Error?</v>
      </c>
    </row>
    <row r="3450" spans="1:4" x14ac:dyDescent="0.2">
      <c r="A3450" s="5">
        <v>3389</v>
      </c>
      <c r="B3450" s="1832">
        <f>'Tax Sched 23'!E16</f>
        <v>1168882</v>
      </c>
      <c r="D3450" s="2" t="str">
        <f t="shared" si="52"/>
        <v>Error?</v>
      </c>
    </row>
    <row r="3451" spans="1:4" x14ac:dyDescent="0.2">
      <c r="A3451" s="5">
        <v>3390</v>
      </c>
      <c r="B3451" s="1832">
        <f>'Cap Outlay Deprec 26'!C15</f>
        <v>14396379</v>
      </c>
      <c r="D3451" s="2" t="str">
        <f t="shared" si="52"/>
        <v>Error?</v>
      </c>
    </row>
    <row r="3452" spans="1:4" x14ac:dyDescent="0.2">
      <c r="A3452" s="5">
        <v>3391</v>
      </c>
      <c r="B3452" s="1832">
        <f>'Cap Outlay Deprec 26'!D15</f>
        <v>31076744</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45473123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45473123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504102</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504102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504102</v>
      </c>
      <c r="D3567" s="2" t="str">
        <f t="shared" si="54"/>
        <v>Error?</v>
      </c>
    </row>
    <row r="3568" spans="1:4" x14ac:dyDescent="0.2">
      <c r="A3568" s="5">
        <v>3507</v>
      </c>
      <c r="B3568" s="1832">
        <f>'Assets-Liab 5-6'!K41</f>
        <v>504102</v>
      </c>
      <c r="C3568" s="2" t="s">
        <v>569</v>
      </c>
      <c r="D3568" s="2" t="str">
        <f t="shared" si="54"/>
        <v>Error?</v>
      </c>
    </row>
    <row r="3569" spans="1:4" x14ac:dyDescent="0.2">
      <c r="A3569" s="5">
        <v>3508</v>
      </c>
      <c r="B3569" s="1832">
        <f>'Acct Summary 7-8'!K4</f>
        <v>7333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7333</v>
      </c>
      <c r="C3571" s="2" t="s">
        <v>569</v>
      </c>
      <c r="D3571" s="2" t="str">
        <f t="shared" si="54"/>
        <v>Error?</v>
      </c>
    </row>
    <row r="3572" spans="1:4" x14ac:dyDescent="0.2">
      <c r="A3572" s="5">
        <v>3511</v>
      </c>
      <c r="B3572" s="1832">
        <f>'Acct Summary 7-8'!K13</f>
        <v>-132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-132</v>
      </c>
      <c r="C3575" s="2" t="s">
        <v>569</v>
      </c>
      <c r="D3575" s="2" t="str">
        <f t="shared" si="54"/>
        <v>Error?</v>
      </c>
    </row>
    <row r="3576" spans="1:4" x14ac:dyDescent="0.2">
      <c r="A3576" s="5">
        <v>3515</v>
      </c>
      <c r="B3576" s="1832">
        <f>'Acct Summary 7-8'!K20</f>
        <v>7465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7465</v>
      </c>
      <c r="C3588" s="2" t="s">
        <v>569</v>
      </c>
      <c r="D3588" s="2" t="str">
        <f t="shared" si="55"/>
        <v>Error?</v>
      </c>
    </row>
    <row r="3589" spans="1:4" x14ac:dyDescent="0.2">
      <c r="A3589" s="5">
        <v>3528</v>
      </c>
      <c r="B3589" s="1832">
        <f>'Acct Summary 7-8'!K79</f>
        <v>496637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504102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-132</v>
      </c>
      <c r="D3632" s="2" t="str">
        <f t="shared" si="55"/>
        <v>Error?</v>
      </c>
    </row>
    <row r="3633" spans="1:4" x14ac:dyDescent="0.2">
      <c r="A3633" s="5">
        <v>3572</v>
      </c>
      <c r="B3633" s="1832">
        <f>'Expenditures 15-22'!E350</f>
        <v>-132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-132</v>
      </c>
      <c r="C3635" s="2" t="s">
        <v>569</v>
      </c>
      <c r="D3635" s="2" t="str">
        <f t="shared" si="55"/>
        <v>Error?</v>
      </c>
    </row>
    <row r="3636" spans="1:4" x14ac:dyDescent="0.2">
      <c r="A3636" s="5">
        <v>3575</v>
      </c>
      <c r="B3636" s="1832">
        <f>'Expenditures 15-22'!E367</f>
        <v>-132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-132</v>
      </c>
      <c r="C3669" s="2" t="s">
        <v>569</v>
      </c>
      <c r="D3669" s="2" t="str">
        <f t="shared" si="56"/>
        <v>Error?</v>
      </c>
    </row>
    <row r="3670" spans="1:4" x14ac:dyDescent="0.2">
      <c r="A3670" s="5">
        <v>3609</v>
      </c>
      <c r="B3670" s="1832">
        <f>'Expenditures 15-22'!K350</f>
        <v>-132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7465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-5399</v>
      </c>
      <c r="C3725" s="2" t="s">
        <v>569</v>
      </c>
      <c r="D3725" s="2" t="str">
        <f t="shared" si="57"/>
        <v>Error?</v>
      </c>
    </row>
    <row r="3726" spans="1:4" x14ac:dyDescent="0.2">
      <c r="A3726" s="5">
        <v>3665</v>
      </c>
      <c r="B3726" s="1832">
        <f>'Tax Sched 23'!D13</f>
        <v>-5399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741207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15041098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56136966</v>
      </c>
      <c r="C4122" s="2" t="s">
        <v>569</v>
      </c>
      <c r="D4122" s="2" t="str">
        <f t="shared" si="63"/>
        <v>Error?</v>
      </c>
    </row>
    <row r="4123" spans="1:4" x14ac:dyDescent="0.2">
      <c r="A4123" s="5">
        <v>4062</v>
      </c>
      <c r="B4123" s="1832">
        <f>'Acct Summary 7-8'!D10</f>
        <v>2536733</v>
      </c>
      <c r="C4123" s="2" t="s">
        <v>569</v>
      </c>
      <c r="D4123" s="2" t="str">
        <f t="shared" si="63"/>
        <v>Error?</v>
      </c>
    </row>
    <row r="4124" spans="1:4" x14ac:dyDescent="0.2">
      <c r="A4124" s="5">
        <v>4063</v>
      </c>
      <c r="B4124" s="1832">
        <f>'Acct Summary 7-8'!E10</f>
        <v>2456708</v>
      </c>
      <c r="C4124" s="2" t="s">
        <v>569</v>
      </c>
      <c r="D4124" s="2" t="str">
        <f t="shared" si="63"/>
        <v>Error?</v>
      </c>
    </row>
    <row r="4125" spans="1:4" x14ac:dyDescent="0.2">
      <c r="A4125" s="5">
        <v>4064</v>
      </c>
      <c r="B4125" s="1832">
        <f>'Acct Summary 7-8'!F10</f>
        <v>1031430</v>
      </c>
      <c r="C4125" s="2" t="s">
        <v>569</v>
      </c>
      <c r="D4125" s="2" t="str">
        <f t="shared" si="63"/>
        <v>Error?</v>
      </c>
    </row>
    <row r="4126" spans="1:4" x14ac:dyDescent="0.2">
      <c r="A4126" s="5">
        <v>4065</v>
      </c>
      <c r="B4126" s="1832">
        <f>'Acct Summary 7-8'!G10</f>
        <v>1604180</v>
      </c>
      <c r="C4126" s="2" t="s">
        <v>569</v>
      </c>
      <c r="D4126" s="2" t="str">
        <f t="shared" si="63"/>
        <v>Error?</v>
      </c>
    </row>
    <row r="4127" spans="1:4" x14ac:dyDescent="0.2">
      <c r="A4127" s="5">
        <v>4066</v>
      </c>
      <c r="B4127" s="1832">
        <f>'Acct Summary 7-8'!H10</f>
        <v>410318</v>
      </c>
      <c r="C4127" s="2" t="s">
        <v>569</v>
      </c>
      <c r="D4127" s="2" t="str">
        <f t="shared" si="63"/>
        <v>Error?</v>
      </c>
    </row>
    <row r="4128" spans="1:4" x14ac:dyDescent="0.2">
      <c r="A4128" s="5">
        <v>4067</v>
      </c>
      <c r="B4128" s="1832">
        <f>'Acct Summary 7-8'!I10</f>
        <v>85753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7333</v>
      </c>
      <c r="C4130" s="2" t="s">
        <v>569</v>
      </c>
      <c r="D4130" s="2" t="str">
        <f t="shared" si="63"/>
        <v>Error?</v>
      </c>
    </row>
    <row r="4131" spans="1:4" x14ac:dyDescent="0.2">
      <c r="A4131" s="5">
        <v>4070</v>
      </c>
      <c r="B4131" s="1832">
        <f>'Acct Summary 7-8'!C18</f>
        <v>15041098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54171517</v>
      </c>
      <c r="C4136" s="2" t="s">
        <v>569</v>
      </c>
      <c r="D4136" s="2" t="str">
        <f t="shared" si="63"/>
        <v>Error?</v>
      </c>
    </row>
    <row r="4137" spans="1:4" x14ac:dyDescent="0.2">
      <c r="A4137" s="5">
        <v>4076</v>
      </c>
      <c r="B4137" s="1832">
        <f>'Acct Summary 7-8'!D19</f>
        <v>2479713</v>
      </c>
      <c r="C4137" s="2" t="s">
        <v>569</v>
      </c>
      <c r="D4137" s="2" t="str">
        <f t="shared" si="63"/>
        <v>Error?</v>
      </c>
    </row>
    <row r="4138" spans="1:4" x14ac:dyDescent="0.2">
      <c r="A4138" s="5">
        <v>4077</v>
      </c>
      <c r="B4138" s="1832">
        <f>'Acct Summary 7-8'!E19</f>
        <v>2487650</v>
      </c>
      <c r="C4138" s="2" t="s">
        <v>569</v>
      </c>
      <c r="D4138" s="2" t="str">
        <f t="shared" si="63"/>
        <v>Error?</v>
      </c>
    </row>
    <row r="4139" spans="1:4" x14ac:dyDescent="0.2">
      <c r="A4139" s="5">
        <v>4078</v>
      </c>
      <c r="B4139" s="1832">
        <f>'Acct Summary 7-8'!F19</f>
        <v>1410248</v>
      </c>
      <c r="C4139" s="2" t="s">
        <v>569</v>
      </c>
      <c r="D4139" s="2" t="str">
        <f t="shared" si="63"/>
        <v>Error?</v>
      </c>
    </row>
    <row r="4140" spans="1:4" x14ac:dyDescent="0.2">
      <c r="A4140" s="5">
        <v>4079</v>
      </c>
      <c r="B4140" s="1832">
        <f>'Acct Summary 7-8'!G19</f>
        <v>1610453</v>
      </c>
      <c r="C4140" s="2" t="s">
        <v>569</v>
      </c>
      <c r="D4140" s="2" t="str">
        <f t="shared" si="63"/>
        <v>Error?</v>
      </c>
    </row>
    <row r="4141" spans="1:4" x14ac:dyDescent="0.2">
      <c r="A4141" s="5">
        <v>4080</v>
      </c>
      <c r="B4141" s="1832">
        <f>'Acct Summary 7-8'!H19</f>
        <v>32962540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52800000</v>
      </c>
      <c r="C4171" s="2" t="s">
        <v>569</v>
      </c>
      <c r="D4171" s="2" t="str">
        <f t="shared" si="64"/>
        <v>Error?</v>
      </c>
    </row>
    <row r="4172" spans="1:4" x14ac:dyDescent="0.2">
      <c r="A4172" s="5">
        <v>4111</v>
      </c>
      <c r="B4172" s="1832">
        <f>'Short-Term Long-Term Debt 24'!J49</f>
        <v>52287382</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3571.9</v>
      </c>
      <c r="C4265" s="2" t="s">
        <v>569</v>
      </c>
      <c r="D4265" s="2" t="str">
        <f t="shared" si="65"/>
        <v>Error?</v>
      </c>
      <c r="E4265" s="125"/>
    </row>
    <row r="4266" spans="1:5" x14ac:dyDescent="0.2">
      <c r="A4266" s="12">
        <v>4205</v>
      </c>
      <c r="B4266" s="1832">
        <f>('FP Info 3'!F10)*100000</f>
        <v>487.1</v>
      </c>
      <c r="C4266" s="2" t="s">
        <v>569</v>
      </c>
      <c r="D4266" s="2" t="str">
        <f t="shared" si="65"/>
        <v>Error?</v>
      </c>
      <c r="E4266" s="125"/>
    </row>
    <row r="4267" spans="1:5" x14ac:dyDescent="0.2">
      <c r="A4267" s="12">
        <v>4206</v>
      </c>
      <c r="B4267" s="1832">
        <f>('FP Info 3'!H10)*100000</f>
        <v>263.7</v>
      </c>
      <c r="C4267" s="2" t="s">
        <v>569</v>
      </c>
      <c r="D4267" s="2" t="str">
        <f t="shared" si="65"/>
        <v>Error?</v>
      </c>
      <c r="E4267" s="125"/>
    </row>
    <row r="4268" spans="1:5" x14ac:dyDescent="0.2">
      <c r="A4268" s="12">
        <v>4207</v>
      </c>
      <c r="B4268" s="1832">
        <f>('FP Info 3'!J10)*100000</f>
        <v>4323</v>
      </c>
      <c r="C4268" s="2" t="s">
        <v>569</v>
      </c>
      <c r="D4268" s="2" t="str">
        <f t="shared" si="65"/>
        <v>Error?</v>
      </c>
    </row>
    <row r="4269" spans="1:5" x14ac:dyDescent="0.2">
      <c r="A4269" s="12">
        <v>4208</v>
      </c>
      <c r="B4269" s="1832">
        <f>'FP Info 3'!J16</f>
        <v>34146261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132100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217189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127129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112242</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141771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890631</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43.300000000000004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890631</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112203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258545182</v>
      </c>
      <c r="D4995" s="2" t="str">
        <f t="shared" si="77"/>
        <v>Error?</v>
      </c>
    </row>
    <row r="4996" spans="1:4" x14ac:dyDescent="0.2">
      <c r="A4996" s="12">
        <v>4935</v>
      </c>
      <c r="B4996" s="1832">
        <f>'FP Info 3'!H31</f>
        <v>17839617.558000002</v>
      </c>
      <c r="D4996" s="2" t="str">
        <f t="shared" si="77"/>
        <v>Error?</v>
      </c>
    </row>
    <row r="4997" spans="1:4" x14ac:dyDescent="0.2">
      <c r="A4997" s="12">
        <v>4936</v>
      </c>
      <c r="B4997" s="1832">
        <f>'FP Info 3'!H37</f>
        <v>52800000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6950442</v>
      </c>
      <c r="D5061" s="2" t="str">
        <f t="shared" si="78"/>
        <v>Error?</v>
      </c>
    </row>
    <row r="5062" spans="1:4" x14ac:dyDescent="0.2">
      <c r="A5062" s="10">
        <v>5001</v>
      </c>
      <c r="B5062" s="1832"/>
      <c r="D5062" s="2" t="str">
        <f t="shared" si="78"/>
        <v>OK</v>
      </c>
    </row>
    <row r="5063" spans="1:4" x14ac:dyDescent="0.2">
      <c r="A5063" s="5">
        <v>5002</v>
      </c>
      <c r="B5063" s="1832">
        <f>'Revenues 9-14'!C7</f>
        <v>-21589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6928853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1384906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1384906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1260727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1260727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13656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9562</v>
      </c>
      <c r="D5094" s="2" t="str">
        <f t="shared" si="78"/>
        <v>Error?</v>
      </c>
    </row>
    <row r="5095" spans="1:4" x14ac:dyDescent="0.2">
      <c r="A5095" s="5">
        <v>5034</v>
      </c>
      <c r="B5095" s="1832">
        <f>'Revenues 9-14'!C74</f>
        <v>14105</v>
      </c>
      <c r="D5095" s="2" t="str">
        <f t="shared" si="78"/>
        <v>Error?</v>
      </c>
    </row>
    <row r="5096" spans="1:4" x14ac:dyDescent="0.2">
      <c r="A5096" s="5">
        <v>5035</v>
      </c>
      <c r="B5096" s="1832">
        <f>'Revenues 9-14'!C75</f>
        <v>37323</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18226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18226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820998</v>
      </c>
      <c r="D5119" s="2" t="str">
        <f t="shared" ref="D5119:D5182" si="79">IF(ISBLANK(B5119),"OK",IF(A5119-B5119=0,"OK","Error?"))</f>
        <v>Error?</v>
      </c>
    </row>
    <row r="5120" spans="1:4" x14ac:dyDescent="0.2">
      <c r="A5120" s="5">
        <v>5059</v>
      </c>
      <c r="B5120" s="1832">
        <f>'Revenues 9-14'!C108</f>
        <v>820998</v>
      </c>
      <c r="C5120" s="2" t="s">
        <v>569</v>
      </c>
      <c r="D5120" s="2" t="str">
        <f t="shared" si="79"/>
        <v>Error?</v>
      </c>
    </row>
    <row r="5121" spans="1:4" x14ac:dyDescent="0.2">
      <c r="A5121" s="5">
        <v>5060</v>
      </c>
      <c r="B5121" s="1832">
        <f>'Revenues 9-14'!C109</f>
        <v>10451033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24153037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24153037</v>
      </c>
      <c r="C5132" s="2" t="s">
        <v>569</v>
      </c>
      <c r="D5132" s="2" t="str">
        <f t="shared" si="79"/>
        <v>Error?</v>
      </c>
    </row>
    <row r="5133" spans="1:4" x14ac:dyDescent="0.2">
      <c r="A5133" s="5">
        <v>5072</v>
      </c>
      <c r="B5133" s="1832">
        <f>'Revenues 9-14'!C125</f>
        <v>20282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109328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129610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22652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819372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1083837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25236874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1154729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269962</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1424691</v>
      </c>
      <c r="C5246" s="2" t="s">
        <v>569</v>
      </c>
      <c r="D5246" s="2" t="str">
        <f t="shared" si="80"/>
        <v>Error?</v>
      </c>
    </row>
    <row r="5247" spans="1:4" x14ac:dyDescent="0.2">
      <c r="A5247" s="5">
        <v>5186</v>
      </c>
      <c r="B5247" s="1832">
        <f>'Revenues 9-14'!C200</f>
        <v>2570935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127129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2570935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15669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635706</v>
      </c>
      <c r="D5278" s="2" t="str">
        <f t="shared" si="81"/>
        <v>Error?</v>
      </c>
    </row>
    <row r="5279" spans="1:4" x14ac:dyDescent="0.2">
      <c r="A5279" s="5">
        <v>5218</v>
      </c>
      <c r="B5279" s="1832">
        <f>'Revenues 9-14'!C214</f>
        <v>30529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681904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5407961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5407961</v>
      </c>
      <c r="C5326" s="2" t="s">
        <v>569</v>
      </c>
      <c r="D5326" s="2" t="str">
        <f t="shared" si="82"/>
        <v>Error?</v>
      </c>
    </row>
    <row r="5327" spans="1:5" x14ac:dyDescent="0.2">
      <c r="A5327" s="5">
        <v>5266</v>
      </c>
      <c r="B5327" s="1832">
        <f>'Revenues 9-14'!C268</f>
        <v>41095868</v>
      </c>
      <c r="C5327" s="2" t="s">
        <v>569</v>
      </c>
      <c r="D5327" s="2" t="str">
        <f t="shared" si="82"/>
        <v>Error?</v>
      </c>
    </row>
    <row r="5328" spans="1:5" x14ac:dyDescent="0.2">
      <c r="A5328" s="5">
        <v>5267</v>
      </c>
      <c r="B5328" s="1832">
        <f>'Revenues 9-14'!D5</f>
        <v>931264</v>
      </c>
      <c r="D5328" s="2" t="str">
        <f t="shared" si="82"/>
        <v>Error?</v>
      </c>
    </row>
    <row r="5329" spans="1:4" x14ac:dyDescent="0.2">
      <c r="A5329" s="10">
        <v>5268</v>
      </c>
      <c r="B5329" s="1832"/>
      <c r="D5329" s="2" t="str">
        <f t="shared" si="82"/>
        <v>OK</v>
      </c>
    </row>
    <row r="5330" spans="1:4" x14ac:dyDescent="0.2">
      <c r="A5330" s="5">
        <v>5269</v>
      </c>
      <c r="B5330" s="1832">
        <f>'Revenues 9-14'!D6</f>
        <v>-5399</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925865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1050</v>
      </c>
      <c r="C5355" s="2" t="s">
        <v>569</v>
      </c>
      <c r="D5355" s="2" t="str">
        <f t="shared" si="82"/>
        <v>Error?</v>
      </c>
    </row>
    <row r="5356" spans="1:4" x14ac:dyDescent="0.2">
      <c r="A5356" s="5">
        <v>5295</v>
      </c>
      <c r="B5356" s="1832">
        <f>'Revenues 9-14'!D109</f>
        <v>926915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1609818</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1609818</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1609818</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2536733</v>
      </c>
      <c r="C5508" s="2" t="s">
        <v>569</v>
      </c>
      <c r="D5508" s="2" t="str">
        <f t="shared" si="85"/>
        <v>Error?</v>
      </c>
    </row>
    <row r="5509" spans="1:4" x14ac:dyDescent="0.2">
      <c r="A5509" s="5">
        <v>5448</v>
      </c>
      <c r="B5509" s="1832">
        <f>'Revenues 9-14'!E5</f>
        <v>566025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566025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566077</v>
      </c>
      <c r="C5527" s="2" t="s">
        <v>569</v>
      </c>
      <c r="D5527" s="2" t="str">
        <f t="shared" si="85"/>
        <v>Error?</v>
      </c>
    </row>
    <row r="5528" spans="1:4" x14ac:dyDescent="0.2">
      <c r="A5528" s="5">
        <v>5467</v>
      </c>
      <c r="B5528" s="1832">
        <f>'Revenues 9-14'!E117</f>
        <v>1000000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1000000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1000000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2456708</v>
      </c>
      <c r="C5552" s="2" t="s">
        <v>569</v>
      </c>
      <c r="D5552" s="2" t="str">
        <f t="shared" si="85"/>
        <v>Error?</v>
      </c>
    </row>
    <row r="5553" spans="1:4" x14ac:dyDescent="0.2">
      <c r="A5553" s="5">
        <v>5492</v>
      </c>
      <c r="B5553" s="1832">
        <f>'Revenues 9-14'!F5</f>
        <v>492877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492877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492877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101989</v>
      </c>
      <c r="D5615" s="2" t="str">
        <f t="shared" si="86"/>
        <v>Error?</v>
      </c>
    </row>
    <row r="5616" spans="1:4" x14ac:dyDescent="0.2">
      <c r="A5616" s="10">
        <v>5555</v>
      </c>
      <c r="B5616" s="1832"/>
      <c r="D5616" s="2" t="str">
        <f t="shared" si="86"/>
        <v>OK</v>
      </c>
    </row>
    <row r="5617" spans="1:5" x14ac:dyDescent="0.2">
      <c r="A5617" s="5">
        <v>5556</v>
      </c>
      <c r="B5617" s="1832">
        <f>'Revenues 9-14'!F153</f>
        <v>436564</v>
      </c>
      <c r="D5617" s="2" t="str">
        <f t="shared" si="86"/>
        <v>Error?</v>
      </c>
    </row>
    <row r="5618" spans="1:5" x14ac:dyDescent="0.2">
      <c r="A5618" s="5">
        <v>5557</v>
      </c>
      <c r="B5618" s="1832">
        <f>'Revenues 9-14'!F155</f>
        <v>538553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538553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538553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1031430</v>
      </c>
      <c r="C5720" s="2" t="s">
        <v>569</v>
      </c>
      <c r="D5720" s="2" t="str">
        <f t="shared" si="88"/>
        <v>Error?</v>
      </c>
    </row>
    <row r="5721" spans="1:4" x14ac:dyDescent="0.2">
      <c r="A5721" s="5">
        <v>5660</v>
      </c>
      <c r="B5721" s="1832">
        <f>'Revenues 9-14'!G5</f>
        <v>699049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848389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1547438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50000</v>
      </c>
      <c r="C5730" s="2" t="s">
        <v>569</v>
      </c>
      <c r="D5730" s="2" t="str">
        <f t="shared" si="88"/>
        <v>Error?</v>
      </c>
    </row>
    <row r="5731" spans="1:4" x14ac:dyDescent="0.2">
      <c r="A5731" s="5">
        <v>5670</v>
      </c>
      <c r="B5731" s="1832">
        <f>'Revenues 9-14'!G65</f>
        <v>6742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6742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1604180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410318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410318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410318</v>
      </c>
      <c r="C5915" s="2" t="s">
        <v>569</v>
      </c>
      <c r="D5915" s="2" t="str">
        <f t="shared" si="91"/>
        <v>Error?</v>
      </c>
    </row>
    <row r="5916" spans="1:4" x14ac:dyDescent="0.2">
      <c r="A5916" s="5">
        <v>5855</v>
      </c>
      <c r="B5916" s="1832">
        <f>'Revenues 9-14'!I5</f>
        <v>85753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85753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85753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-5399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-5399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12732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12732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7333</v>
      </c>
      <c r="C6023" s="2" t="s">
        <v>569</v>
      </c>
      <c r="D6023" s="2" t="str">
        <f t="shared" si="93"/>
        <v>Error?</v>
      </c>
    </row>
    <row r="6024" spans="1:5" x14ac:dyDescent="0.2">
      <c r="A6024" s="5">
        <v>5963</v>
      </c>
      <c r="B6024" s="1832">
        <f>'Revenues 9-14'!G109</f>
        <v>1604180</v>
      </c>
      <c r="C6024" s="2" t="s">
        <v>569</v>
      </c>
      <c r="D6024" s="2" t="str">
        <f t="shared" si="93"/>
        <v>Error?</v>
      </c>
    </row>
    <row r="6025" spans="1:5" x14ac:dyDescent="0.2">
      <c r="A6025" s="5">
        <v>5964</v>
      </c>
      <c r="B6025" s="1832">
        <f>'Revenues 9-14'!H109</f>
        <v>410318</v>
      </c>
      <c r="C6025" s="2" t="s">
        <v>569</v>
      </c>
      <c r="D6025" s="2" t="str">
        <f t="shared" si="93"/>
        <v>Error?</v>
      </c>
    </row>
    <row r="6026" spans="1:5" x14ac:dyDescent="0.2">
      <c r="A6026" s="5">
        <v>5965</v>
      </c>
      <c r="B6026" s="1832">
        <f>'Revenues 9-14'!I109</f>
        <v>85753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7333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150715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3040.87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634569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634569</v>
      </c>
      <c r="D6215" s="2" t="str">
        <f t="shared" si="96"/>
        <v>Error?</v>
      </c>
      <c r="E6215" s="2" t="s">
        <v>189</v>
      </c>
    </row>
    <row r="6216" spans="1:5" x14ac:dyDescent="0.2">
      <c r="A6216">
        <v>6155</v>
      </c>
      <c r="B6216" s="1832">
        <f>'Assets-Liab 5-6'!J41</f>
        <v>634569</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634569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15708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15708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15708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15708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15708</v>
      </c>
      <c r="D6263" s="2" t="str">
        <f t="shared" si="96"/>
        <v>Error?</v>
      </c>
      <c r="E6263" s="2" t="s">
        <v>189</v>
      </c>
    </row>
    <row r="6264" spans="1:5" x14ac:dyDescent="0.2">
      <c r="A6264">
        <v>6203</v>
      </c>
      <c r="B6264" s="1832">
        <f>'Acct Summary 7-8'!J79</f>
        <v>618861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634569</v>
      </c>
      <c r="D6266" s="2" t="str">
        <f t="shared" si="96"/>
        <v>Error?</v>
      </c>
      <c r="E6266" s="2" t="s">
        <v>189</v>
      </c>
    </row>
    <row r="6267" spans="1:5" x14ac:dyDescent="0.2">
      <c r="A6267">
        <v>6206</v>
      </c>
      <c r="B6267" s="1832">
        <f>'Acct Summary 7-8'!C82</f>
        <v>1965449</v>
      </c>
      <c r="D6267" s="2" t="str">
        <f t="shared" si="96"/>
        <v>Error?</v>
      </c>
      <c r="E6267" s="2" t="s">
        <v>189</v>
      </c>
    </row>
    <row r="6268" spans="1:5" x14ac:dyDescent="0.2">
      <c r="A6268">
        <v>6207</v>
      </c>
      <c r="B6268" s="1832">
        <f>'Acct Summary 7-8'!D82</f>
        <v>57020</v>
      </c>
      <c r="D6268" s="2" t="str">
        <f t="shared" si="96"/>
        <v>Error?</v>
      </c>
      <c r="E6268" s="2" t="s">
        <v>189</v>
      </c>
    </row>
    <row r="6269" spans="1:5" x14ac:dyDescent="0.2">
      <c r="A6269">
        <v>6208</v>
      </c>
      <c r="B6269" s="1832">
        <f>'Acct Summary 7-8'!E82</f>
        <v>-30942</v>
      </c>
      <c r="D6269" s="2" t="str">
        <f t="shared" si="96"/>
        <v>Error?</v>
      </c>
      <c r="E6269" s="2" t="s">
        <v>189</v>
      </c>
    </row>
    <row r="6270" spans="1:5" x14ac:dyDescent="0.2">
      <c r="A6270">
        <v>6209</v>
      </c>
      <c r="B6270" s="1832">
        <f>'Acct Summary 7-8'!F82</f>
        <v>-378818</v>
      </c>
      <c r="D6270" s="2" t="str">
        <f t="shared" si="96"/>
        <v>Error?</v>
      </c>
      <c r="E6270" s="2" t="s">
        <v>189</v>
      </c>
    </row>
    <row r="6271" spans="1:5" x14ac:dyDescent="0.2">
      <c r="A6271">
        <v>6210</v>
      </c>
      <c r="B6271" s="1832">
        <f>'Acct Summary 7-8'!G82</f>
        <v>-6273</v>
      </c>
      <c r="D6271" s="2" t="str">
        <f t="shared" ref="D6271:D6334" si="97">IF(ISBLANK(B6271),"OK",IF(A6271-B6271=0,"OK","Error?"))</f>
        <v>Error?</v>
      </c>
      <c r="E6271" s="2" t="s">
        <v>189</v>
      </c>
    </row>
    <row r="6272" spans="1:5" x14ac:dyDescent="0.2">
      <c r="A6272">
        <v>6211</v>
      </c>
      <c r="B6272" s="1832">
        <f>'Acct Summary 7-8'!H82</f>
        <v>-32552222</v>
      </c>
      <c r="D6272" s="2" t="str">
        <f t="shared" si="97"/>
        <v>Error?</v>
      </c>
      <c r="E6272" s="2" t="s">
        <v>189</v>
      </c>
    </row>
    <row r="6273" spans="1:5" x14ac:dyDescent="0.2">
      <c r="A6273">
        <v>6212</v>
      </c>
      <c r="B6273" s="1832">
        <f>'Acct Summary 7-8'!I82</f>
        <v>85753</v>
      </c>
      <c r="D6273" s="2" t="str">
        <f t="shared" si="97"/>
        <v>Error?</v>
      </c>
      <c r="E6273" s="2" t="s">
        <v>189</v>
      </c>
    </row>
    <row r="6274" spans="1:5" x14ac:dyDescent="0.2">
      <c r="A6274">
        <v>6213</v>
      </c>
      <c r="B6274" s="1832">
        <f>'Acct Summary 7-8'!J82</f>
        <v>15708</v>
      </c>
      <c r="D6274" s="2" t="str">
        <f t="shared" si="97"/>
        <v>Error?</v>
      </c>
      <c r="E6274" s="2" t="s">
        <v>189</v>
      </c>
    </row>
    <row r="6275" spans="1:5" x14ac:dyDescent="0.2">
      <c r="A6275">
        <v>6214</v>
      </c>
      <c r="B6275" s="1832">
        <f>'Acct Summary 7-8'!K82</f>
        <v>7465</v>
      </c>
      <c r="D6275" s="2" t="str">
        <f t="shared" si="97"/>
        <v>Error?</v>
      </c>
      <c r="E6275" s="2" t="s">
        <v>189</v>
      </c>
    </row>
    <row r="6276" spans="1:5" x14ac:dyDescent="0.2">
      <c r="A6276">
        <v>6215</v>
      </c>
      <c r="B6276" s="1832">
        <f>'Acct Summary 7-8'!C83</f>
        <v>8.7719746903553178E-2</v>
      </c>
      <c r="D6276" s="2" t="str">
        <f t="shared" si="97"/>
        <v>Error?</v>
      </c>
      <c r="E6276" s="2" t="s">
        <v>189</v>
      </c>
    </row>
    <row r="6277" spans="1:5" x14ac:dyDescent="0.2">
      <c r="A6277">
        <v>6216</v>
      </c>
      <c r="B6277" s="1832">
        <f>'Acct Summary 7-8'!D83</f>
        <v>3.3374363548780012E-2</v>
      </c>
      <c r="D6277" s="2" t="str">
        <f t="shared" si="97"/>
        <v>Error?</v>
      </c>
      <c r="E6277" s="2" t="s">
        <v>189</v>
      </c>
    </row>
    <row r="6278" spans="1:5" x14ac:dyDescent="0.2">
      <c r="A6278">
        <v>6217</v>
      </c>
      <c r="B6278" s="1832">
        <f>'Acct Summary 7-8'!E83</f>
        <v>-6.0360736454826008E-2</v>
      </c>
      <c r="D6278" s="2" t="str">
        <f t="shared" si="97"/>
        <v>Error?</v>
      </c>
      <c r="E6278" s="2" t="s">
        <v>189</v>
      </c>
    </row>
    <row r="6279" spans="1:5" x14ac:dyDescent="0.2">
      <c r="A6279">
        <v>6218</v>
      </c>
      <c r="B6279" s="1832">
        <f>'Acct Summary 7-8'!F83</f>
        <v>-0.17873199731065476</v>
      </c>
      <c r="D6279" s="2" t="str">
        <f t="shared" si="97"/>
        <v>Error?</v>
      </c>
      <c r="E6279" s="2" t="s">
        <v>189</v>
      </c>
    </row>
    <row r="6280" spans="1:5" x14ac:dyDescent="0.2">
      <c r="A6280">
        <v>6219</v>
      </c>
      <c r="B6280" s="1832">
        <f>'Acct Summary 7-8'!G83</f>
        <v>2.4071927979922792E-2</v>
      </c>
      <c r="D6280" s="2" t="str">
        <f t="shared" si="97"/>
        <v>Error?</v>
      </c>
      <c r="E6280" s="2" t="s">
        <v>189</v>
      </c>
    </row>
    <row r="6281" spans="1:5" x14ac:dyDescent="0.2">
      <c r="A6281">
        <v>6220</v>
      </c>
      <c r="B6281" s="1832">
        <f>'Acct Summary 7-8'!H83</f>
        <v>-7.8541666465600857</v>
      </c>
      <c r="D6281" s="2" t="str">
        <f t="shared" si="97"/>
        <v>Error?</v>
      </c>
      <c r="E6281" s="2" t="s">
        <v>189</v>
      </c>
    </row>
    <row r="6282" spans="1:5" x14ac:dyDescent="0.2">
      <c r="A6282">
        <v>6221</v>
      </c>
      <c r="B6282" s="1832">
        <f>'Acct Summary 7-8'!I83</f>
        <v>1.0837956418405049E-2</v>
      </c>
      <c r="D6282" s="2" t="str">
        <f t="shared" si="97"/>
        <v>Error?</v>
      </c>
      <c r="E6282" s="2" t="s">
        <v>189</v>
      </c>
    </row>
    <row r="6283" spans="1:5" x14ac:dyDescent="0.2">
      <c r="A6283">
        <v>6222</v>
      </c>
      <c r="B6283" s="1832">
        <f>'Acct Summary 7-8'!J83</f>
        <v>2.4753809278423623E-2</v>
      </c>
      <c r="D6283" s="2" t="str">
        <f t="shared" si="97"/>
        <v>Error?</v>
      </c>
      <c r="E6283" s="2" t="s">
        <v>189</v>
      </c>
    </row>
    <row r="6284" spans="1:5" x14ac:dyDescent="0.2">
      <c r="A6284">
        <v>6223</v>
      </c>
      <c r="B6284" s="1832">
        <f>'Acct Summary 7-8'!K83</f>
        <v>1.4808510975953279E-2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-255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-255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15963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15963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15708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890631</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890631</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294505</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18559</v>
      </c>
      <c r="D6853" s="2" t="str">
        <f t="shared" si="106"/>
        <v>Error?</v>
      </c>
    </row>
    <row r="6854" spans="1:4" x14ac:dyDescent="0.2">
      <c r="A6854">
        <v>6793</v>
      </c>
      <c r="B6854" s="1832">
        <f>'Expenditures 15-22'!I10</f>
        <v>25041</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319546</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4000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4000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797417</v>
      </c>
      <c r="D6932" s="2" t="str">
        <f t="shared" si="107"/>
        <v>Error?</v>
      </c>
    </row>
    <row r="6933" spans="1:4" x14ac:dyDescent="0.2">
      <c r="A6933">
        <v>6872</v>
      </c>
      <c r="B6933" s="1832">
        <f>'Expenditures 15-22'!D52</f>
        <v>133957</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931374</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4000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2302</v>
      </c>
      <c r="D6981" s="2" t="str">
        <f t="shared" si="108"/>
        <v>Error?</v>
      </c>
    </row>
    <row r="6982" spans="1:4" x14ac:dyDescent="0.2">
      <c r="A6982">
        <v>6921</v>
      </c>
      <c r="B6982" s="1832">
        <f>'Expenditures 15-22'!K85</f>
        <v>2302</v>
      </c>
      <c r="D6982" s="2" t="str">
        <f t="shared" si="108"/>
        <v>Error?</v>
      </c>
    </row>
    <row r="6983" spans="1:4" x14ac:dyDescent="0.2">
      <c r="A6983">
        <v>6922</v>
      </c>
      <c r="B6983" s="1832">
        <f>'Expenditures 15-22'!H86</f>
        <v>1471043</v>
      </c>
      <c r="D6983" s="2" t="str">
        <f t="shared" si="108"/>
        <v>Error?</v>
      </c>
    </row>
    <row r="6984" spans="1:4" x14ac:dyDescent="0.2">
      <c r="A6984">
        <v>6923</v>
      </c>
      <c r="B6984" s="1832">
        <f>'Expenditures 15-22'!K86</f>
        <v>1471043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1473345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323546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1136</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1136</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1136</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1136</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15708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29</v>
      </c>
      <c r="D7075" s="2" t="str">
        <f t="shared" si="109"/>
        <v>Error?</v>
      </c>
    </row>
    <row r="7076" spans="1:4" x14ac:dyDescent="0.2">
      <c r="A7076">
        <v>7015</v>
      </c>
      <c r="B7076" s="1832">
        <f>'Expenditures 15-22'!K218</f>
        <v>29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88149</v>
      </c>
      <c r="D7093" s="2" t="str">
        <f t="shared" si="109"/>
        <v>Error?</v>
      </c>
    </row>
    <row r="7094" spans="1:4" x14ac:dyDescent="0.2">
      <c r="A7094">
        <v>7033</v>
      </c>
      <c r="B7094" s="1832">
        <f>'Expenditures 15-22'!K254</f>
        <v>88149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15708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2016</v>
      </c>
      <c r="D7251" s="2" t="str">
        <f t="shared" si="112"/>
        <v>Error?</v>
      </c>
    </row>
    <row r="7252" spans="1:4" x14ac:dyDescent="0.2">
      <c r="A7252">
        <f t="shared" si="113"/>
        <v>7191</v>
      </c>
      <c r="B7252" s="1832">
        <f>'Expenditures 15-22'!D9</f>
        <v>410</v>
      </c>
      <c r="D7252" s="2" t="str">
        <f t="shared" si="112"/>
        <v>Error?</v>
      </c>
    </row>
    <row r="7253" spans="1:4" x14ac:dyDescent="0.2">
      <c r="A7253">
        <f t="shared" si="113"/>
        <v>7192</v>
      </c>
      <c r="B7253" s="1832">
        <f>'Expenditures 15-22'!E9</f>
        <v>5925</v>
      </c>
      <c r="D7253" s="2" t="str">
        <f t="shared" si="112"/>
        <v>Error?</v>
      </c>
    </row>
    <row r="7254" spans="1:4" x14ac:dyDescent="0.2">
      <c r="A7254">
        <f t="shared" si="113"/>
        <v>7193</v>
      </c>
      <c r="B7254" s="1832">
        <f>'Expenditures 15-22'!F9</f>
        <v>10208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2829726</v>
      </c>
      <c r="D7606" s="2" t="str">
        <f t="shared" si="122"/>
        <v>Error?</v>
      </c>
      <c r="E7606" s="2" t="s">
        <v>19</v>
      </c>
    </row>
    <row r="7607" spans="1:5" x14ac:dyDescent="0.2">
      <c r="A7607">
        <f t="shared" si="123"/>
        <v>7546</v>
      </c>
      <c r="B7607" s="1832">
        <f>'Cap Outlay Deprec 26'!D9</f>
        <v>221279</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3051005</v>
      </c>
      <c r="D7609" s="2" t="str">
        <f t="shared" si="122"/>
        <v>Error?</v>
      </c>
      <c r="E7609" s="2" t="s">
        <v>19</v>
      </c>
    </row>
    <row r="7610" spans="1:5" x14ac:dyDescent="0.2">
      <c r="A7610">
        <f t="shared" si="123"/>
        <v>7549</v>
      </c>
      <c r="B7610" s="1832">
        <f>'Cap Outlay Deprec 26'!H9</f>
        <v>366693</v>
      </c>
      <c r="D7610" s="2" t="str">
        <f t="shared" si="122"/>
        <v>Error?</v>
      </c>
      <c r="E7610" s="2" t="s">
        <v>19</v>
      </c>
    </row>
    <row r="7611" spans="1:5" x14ac:dyDescent="0.2">
      <c r="A7611">
        <f t="shared" si="123"/>
        <v>7550</v>
      </c>
      <c r="B7611" s="1832">
        <f>'Cap Outlay Deprec 26'!I9</f>
        <v>98203</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464896</v>
      </c>
      <c r="D7613" s="2" t="str">
        <f t="shared" si="122"/>
        <v>Error?</v>
      </c>
      <c r="E7613" s="2" t="s">
        <v>19</v>
      </c>
    </row>
    <row r="7614" spans="1:5" x14ac:dyDescent="0.2">
      <c r="A7614">
        <f t="shared" si="123"/>
        <v>7553</v>
      </c>
      <c r="B7614" s="1832">
        <f>'Cap Outlay Deprec 26'!L9</f>
        <v>2586109</v>
      </c>
      <c r="D7614" s="2" t="str">
        <f t="shared" si="122"/>
        <v>Error?</v>
      </c>
      <c r="E7614" s="2" t="s">
        <v>19</v>
      </c>
    </row>
    <row r="7615" spans="1:5" x14ac:dyDescent="0.2">
      <c r="A7615">
        <f t="shared" si="123"/>
        <v>7554</v>
      </c>
      <c r="B7615" s="1832">
        <f>'Cap Outlay Deprec 26'!C14</f>
        <v>274304</v>
      </c>
      <c r="D7615" s="2" t="str">
        <f t="shared" ref="D7615:D7678" si="124">IF(ISBLANK(B7615),"OK",IF(A7615-B7615=0,"OK","Error?"))</f>
        <v>Error?</v>
      </c>
      <c r="E7615" s="2" t="s">
        <v>19</v>
      </c>
    </row>
    <row r="7616" spans="1:5" x14ac:dyDescent="0.2">
      <c r="A7616">
        <f t="shared" si="123"/>
        <v>7555</v>
      </c>
      <c r="B7616" s="1832">
        <f>'Cap Outlay Deprec 26'!D14</f>
        <v>814655</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1088959</v>
      </c>
      <c r="D7618" s="2" t="str">
        <f t="shared" si="124"/>
        <v>Error?</v>
      </c>
      <c r="E7618" s="2" t="s">
        <v>19</v>
      </c>
    </row>
    <row r="7619" spans="1:5" x14ac:dyDescent="0.2">
      <c r="A7619">
        <f t="shared" si="123"/>
        <v>7558</v>
      </c>
      <c r="B7619" s="1832">
        <f>'Cap Outlay Deprec 26'!H14</f>
        <v>226931</v>
      </c>
      <c r="D7619" s="2" t="str">
        <f t="shared" si="124"/>
        <v>Error?</v>
      </c>
      <c r="E7619" s="2" t="s">
        <v>19</v>
      </c>
    </row>
    <row r="7620" spans="1:5" x14ac:dyDescent="0.2">
      <c r="A7620">
        <f t="shared" si="123"/>
        <v>7559</v>
      </c>
      <c r="B7620" s="1832">
        <f>'Cap Outlay Deprec 26'!I14</f>
        <v>164212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391143</v>
      </c>
      <c r="D7622" s="2" t="str">
        <f t="shared" si="124"/>
        <v>Error?</v>
      </c>
      <c r="E7622" s="2" t="s">
        <v>19</v>
      </c>
    </row>
    <row r="7623" spans="1:5" x14ac:dyDescent="0.2">
      <c r="A7623">
        <f t="shared" si="123"/>
        <v>7562</v>
      </c>
      <c r="B7623" s="1832">
        <f>'Cap Outlay Deprec 26'!L14</f>
        <v>697816</v>
      </c>
      <c r="D7623" s="2" t="str">
        <f t="shared" si="124"/>
        <v>Error?</v>
      </c>
      <c r="E7623" s="2" t="s">
        <v>19</v>
      </c>
    </row>
    <row r="7624" spans="1:5" x14ac:dyDescent="0.2">
      <c r="A7624">
        <f t="shared" si="123"/>
        <v>7563</v>
      </c>
      <c r="B7624" s="1832">
        <f>'Cap Outlay Deprec 26'!F17</f>
        <v>324682</v>
      </c>
      <c r="D7624" s="2" t="str">
        <f t="shared" si="124"/>
        <v>Error?</v>
      </c>
      <c r="E7624" s="2" t="s">
        <v>19</v>
      </c>
    </row>
    <row r="7625" spans="1:5" x14ac:dyDescent="0.2">
      <c r="A7625">
        <f t="shared" si="123"/>
        <v>7564</v>
      </c>
      <c r="B7625" s="1832">
        <f>'Cap Outlay Deprec 26'!I17</f>
        <v>32468.2</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1000219.2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-21589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890631</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52800000</v>
      </c>
      <c r="D7817" s="2" t="str">
        <f t="shared" si="128"/>
        <v>Error?</v>
      </c>
      <c r="E7817" s="4" t="s">
        <v>1965</v>
      </c>
    </row>
    <row r="7818" spans="1:5" x14ac:dyDescent="0.2">
      <c r="A7818">
        <v>7757</v>
      </c>
      <c r="B7818" s="1832">
        <f>'PCTC-OEPP 27-28'!F172</f>
        <v>0</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-4108807</v>
      </c>
      <c r="D7820" s="2" t="str">
        <f t="shared" si="128"/>
        <v>Error?</v>
      </c>
    </row>
    <row r="7821" spans="1:5" x14ac:dyDescent="0.2">
      <c r="A7821">
        <v>7760</v>
      </c>
      <c r="B7821" s="1832">
        <f>'ICR Computation 30'!G40</f>
        <v>-4108807</v>
      </c>
      <c r="D7821" s="2" t="str">
        <f t="shared" si="128"/>
        <v>Error?</v>
      </c>
    </row>
    <row r="7822" spans="1:5" x14ac:dyDescent="0.2">
      <c r="A7822" s="1">
        <v>7761</v>
      </c>
      <c r="B7822" s="1832">
        <f>'PCTC-OEPP 27-28'!F14</f>
        <v>47118483</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18559</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301976</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2636165</v>
      </c>
      <c r="D7834" s="2" t="str">
        <f t="shared" si="129"/>
        <v>Error?</v>
      </c>
      <c r="E7834" s="4" t="s">
        <v>1997</v>
      </c>
    </row>
    <row r="7835" spans="1:5" x14ac:dyDescent="0.2">
      <c r="A7835">
        <v>7774</v>
      </c>
      <c r="B7835" s="1832">
        <f>'PCTC-OEPP 27-28'!F78</f>
        <v>44482318</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14628.155100349572</v>
      </c>
      <c r="D7837" s="2" t="str">
        <f t="shared" si="129"/>
        <v>Error?</v>
      </c>
      <c r="E7837" s="4" t="s">
        <v>1997</v>
      </c>
    </row>
    <row r="7838" spans="1:5" x14ac:dyDescent="0.2">
      <c r="A7838">
        <v>7777</v>
      </c>
      <c r="B7838" s="1832">
        <f>'PCTC-OEPP 27-28'!F96</f>
        <v>0</v>
      </c>
      <c r="D7838" s="2" t="str">
        <f t="shared" si="129"/>
        <v>Error?</v>
      </c>
      <c r="E7838" s="4" t="s">
        <v>1997</v>
      </c>
    </row>
    <row r="7839" spans="1:5" x14ac:dyDescent="0.2">
      <c r="A7839">
        <v>7778</v>
      </c>
      <c r="B7839" s="1832">
        <f>'PCTC-OEPP 27-28'!F102</f>
        <v>1050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129610</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538553</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112203</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1424691</v>
      </c>
      <c r="D7858" s="2" t="str">
        <f t="shared" si="129"/>
        <v>Error?</v>
      </c>
      <c r="E7858" s="4" t="s">
        <v>1997</v>
      </c>
    </row>
    <row r="7859" spans="1:5" x14ac:dyDescent="0.2">
      <c r="A7859">
        <v>7798</v>
      </c>
      <c r="B7859" s="1832">
        <f>'PCTC-OEPP 27-28'!F127</f>
        <v>2570935</v>
      </c>
      <c r="D7859" s="2" t="str">
        <f t="shared" si="129"/>
        <v>Error?</v>
      </c>
      <c r="E7859" s="4" t="s">
        <v>1997</v>
      </c>
    </row>
    <row r="7860" spans="1:5" x14ac:dyDescent="0.2">
      <c r="A7860">
        <v>7799</v>
      </c>
      <c r="B7860" s="1832">
        <f>'PCTC-OEPP 27-28'!F128</f>
        <v>127129</v>
      </c>
      <c r="D7860" s="2" t="str">
        <f t="shared" si="129"/>
        <v>Error?</v>
      </c>
      <c r="E7860" s="4" t="s">
        <v>1997</v>
      </c>
    </row>
    <row r="7861" spans="1:5" x14ac:dyDescent="0.2">
      <c r="A7861">
        <v>7800</v>
      </c>
      <c r="B7861" s="1832">
        <f>'PCTC-OEPP 27-28'!F129</f>
        <v>635706</v>
      </c>
      <c r="D7861" s="2" t="str">
        <f t="shared" si="129"/>
        <v>Error?</v>
      </c>
      <c r="E7861" s="4" t="s">
        <v>1997</v>
      </c>
    </row>
    <row r="7862" spans="1:5" x14ac:dyDescent="0.2">
      <c r="A7862">
        <v>7801</v>
      </c>
      <c r="B7862" s="1832">
        <f>'PCTC-OEPP 27-28'!F130</f>
        <v>30529</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890631</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112242</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141771</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132100</v>
      </c>
      <c r="D7874" s="2" t="str">
        <f t="shared" si="129"/>
        <v>Error?</v>
      </c>
      <c r="E7874" s="4" t="s">
        <v>1997</v>
      </c>
    </row>
    <row r="7875" spans="1:5" x14ac:dyDescent="0.2">
      <c r="A7875">
        <v>7814</v>
      </c>
      <c r="B7875" s="1832">
        <f>'PCTC-OEPP 27-28'!F170</f>
        <v>217189</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7142540</v>
      </c>
      <c r="D7877" s="2" t="str">
        <f t="shared" si="129"/>
        <v>Error?</v>
      </c>
      <c r="E7877" s="4" t="s">
        <v>1997</v>
      </c>
    </row>
    <row r="7878" spans="1:5" x14ac:dyDescent="0.2">
      <c r="A7878">
        <v>7817</v>
      </c>
      <c r="B7878" s="1832">
        <f>'PCTC-OEPP 27-28'!F176</f>
        <v>37339778</v>
      </c>
      <c r="D7878" s="2" t="str">
        <f t="shared" si="129"/>
        <v>Error?</v>
      </c>
      <c r="E7878" s="4" t="s">
        <v>1997</v>
      </c>
    </row>
    <row r="7879" spans="1:5" x14ac:dyDescent="0.2">
      <c r="A7879">
        <v>7818</v>
      </c>
      <c r="B7879" s="1832">
        <f>'PCTC-OEPP 27-28'!F178</f>
        <v>38339997.200000003</v>
      </c>
      <c r="D7879" s="2" t="str">
        <f t="shared" si="129"/>
        <v>Error?</v>
      </c>
      <c r="E7879" s="4" t="s">
        <v>1997</v>
      </c>
    </row>
    <row r="7880" spans="1:5" x14ac:dyDescent="0.2">
      <c r="A7880">
        <v>7819</v>
      </c>
      <c r="B7880" s="1832">
        <f>'PCTC-OEPP 27-28'!F180</f>
        <v>12608.232907029898</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2" t="s">
        <v>1181</v>
      </c>
      <c r="B2" s="2522"/>
      <c r="C2" s="2522"/>
      <c r="D2" s="2522"/>
      <c r="E2" s="2522"/>
      <c r="F2" s="2522"/>
      <c r="G2" s="2522"/>
      <c r="H2" s="2522"/>
      <c r="I2" s="2522"/>
      <c r="J2" s="2522"/>
      <c r="K2" s="2522"/>
      <c r="L2" s="2522"/>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5" t="str">
        <f>COVER!A17</f>
        <v xml:space="preserve"> Chicago Heights SD 170</v>
      </c>
      <c r="B7" s="2546"/>
      <c r="C7" s="2546"/>
      <c r="D7" s="2547"/>
      <c r="E7" s="2548">
        <f>COVER!A13</f>
        <v>7016170002</v>
      </c>
      <c r="F7" s="2549"/>
      <c r="G7" s="2555">
        <f>COVER!T23</f>
        <v>65025792</v>
      </c>
      <c r="H7" s="2556"/>
      <c r="I7" s="2556"/>
      <c r="J7" s="2556"/>
      <c r="K7" s="2556"/>
      <c r="L7" s="255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8"/>
      <c r="B9" s="2559"/>
      <c r="C9" s="2559"/>
      <c r="D9" s="2559"/>
      <c r="E9" s="2559"/>
      <c r="F9" s="2560"/>
      <c r="G9" s="2528" t="str">
        <f>COVER!T13</f>
        <v>GW &amp; Associates, PC</v>
      </c>
      <c r="H9" s="2561"/>
      <c r="I9" s="2561"/>
      <c r="J9" s="2561"/>
      <c r="K9" s="2561"/>
      <c r="L9" s="2562"/>
    </row>
    <row r="10" spans="1:29" ht="13.5" customHeight="1" x14ac:dyDescent="0.2">
      <c r="A10" s="2534" t="str">
        <f>COVER!A38</f>
        <v>Thomas Amadio</v>
      </c>
      <c r="B10" s="2535"/>
      <c r="C10" s="2535"/>
      <c r="D10" s="2535"/>
      <c r="E10" s="2535"/>
      <c r="F10" s="2536"/>
      <c r="G10" s="2528" t="str">
        <f>COVER!T17</f>
        <v>4415 West Harrison St, Suite 434</v>
      </c>
      <c r="H10" s="2529"/>
      <c r="I10" s="2529"/>
      <c r="J10" s="2529"/>
      <c r="K10" s="2529"/>
      <c r="L10" s="2530"/>
    </row>
    <row r="11" spans="1:29" ht="13.5" customHeight="1" x14ac:dyDescent="0.2">
      <c r="A11" s="963" t="s">
        <v>1502</v>
      </c>
      <c r="B11" s="964"/>
      <c r="C11" s="965"/>
      <c r="D11" s="970"/>
      <c r="E11" s="965"/>
      <c r="F11" s="969"/>
      <c r="G11" s="2528" t="str">
        <f>COVER!T19</f>
        <v>Hillside</v>
      </c>
      <c r="H11" s="2529"/>
      <c r="I11" s="2529"/>
      <c r="J11" s="2529"/>
      <c r="K11" s="2529"/>
      <c r="L11" s="2530"/>
    </row>
    <row r="12" spans="1:29" ht="13.5" customHeight="1" x14ac:dyDescent="0.2">
      <c r="A12" s="2537" t="s">
        <v>1501</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1503</v>
      </c>
      <c r="H13" s="2524"/>
      <c r="I13" s="2540" t="str">
        <f>COVER!T25</f>
        <v>john.wysocki@cpagwa.com</v>
      </c>
      <c r="J13" s="2541"/>
      <c r="K13" s="2541"/>
      <c r="L13" s="2542"/>
    </row>
    <row r="14" spans="1:29" ht="13.5" customHeight="1" x14ac:dyDescent="0.2">
      <c r="A14" s="2528" t="str">
        <f>COVER!A19</f>
        <v>30 W 16th Street</v>
      </c>
      <c r="B14" s="2529"/>
      <c r="C14" s="2529"/>
      <c r="D14" s="2529"/>
      <c r="E14" s="2529"/>
      <c r="F14" s="2530"/>
      <c r="G14" s="974" t="s">
        <v>1175</v>
      </c>
      <c r="H14" s="972"/>
      <c r="I14" s="972"/>
      <c r="J14" s="972"/>
      <c r="K14" s="972"/>
      <c r="L14" s="973"/>
    </row>
    <row r="15" spans="1:29" ht="13.5" customHeight="1" x14ac:dyDescent="0.2">
      <c r="A15" s="2528" t="str">
        <f>COVER!A21</f>
        <v>Chicago Heights, IL</v>
      </c>
      <c r="B15" s="2529"/>
      <c r="C15" s="2529"/>
      <c r="D15" s="2529"/>
      <c r="E15" s="2529"/>
      <c r="F15" s="2530"/>
      <c r="G15" s="2525" t="str">
        <f>COVER!T15</f>
        <v>John Wysocki</v>
      </c>
      <c r="H15" s="2526"/>
      <c r="I15" s="2526"/>
      <c r="J15" s="2526"/>
      <c r="K15" s="2526"/>
      <c r="L15" s="2527"/>
    </row>
    <row r="16" spans="1:29" ht="12.2" customHeight="1" x14ac:dyDescent="0.2">
      <c r="A16" s="2551">
        <f>COVER!A25</f>
        <v>60411</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74" t="s">
        <v>1174</v>
      </c>
      <c r="H17" s="972"/>
      <c r="I17" s="972"/>
      <c r="J17" s="972"/>
      <c r="K17" s="976" t="s">
        <v>1173</v>
      </c>
      <c r="L17" s="969"/>
      <c r="M17" s="962"/>
    </row>
    <row r="18" spans="1:13" ht="12.2" customHeight="1" x14ac:dyDescent="0.2">
      <c r="A18" s="2534"/>
      <c r="B18" s="2535"/>
      <c r="C18" s="2535"/>
      <c r="D18" s="2535"/>
      <c r="E18" s="2535"/>
      <c r="F18" s="2536"/>
      <c r="G18" s="2545" t="str">
        <f>COVER!T21</f>
        <v>708-755-8182</v>
      </c>
      <c r="H18" s="2546"/>
      <c r="I18" s="2546"/>
      <c r="J18" s="2546"/>
      <c r="K18" s="2545" t="str">
        <f>COVER!X21</f>
        <v>708-755-8326</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D19" sqref="D1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Chicago Heights SD 170</v>
      </c>
      <c r="B1" s="2568"/>
      <c r="C1" s="2568"/>
      <c r="D1" s="2568"/>
    </row>
    <row r="2" spans="1:11" s="991" customFormat="1" ht="12.75" x14ac:dyDescent="0.2">
      <c r="A2" s="2569">
        <f>'Single Audit Cover'!E7</f>
        <v>7016170002</v>
      </c>
      <c r="B2" s="2570"/>
      <c r="C2" s="2570"/>
      <c r="D2" s="2570"/>
    </row>
    <row r="3" spans="1:11" s="991" customFormat="1" ht="12.75" x14ac:dyDescent="0.2">
      <c r="A3" s="2567" t="s">
        <v>1496</v>
      </c>
      <c r="B3" s="2568"/>
      <c r="C3" s="2568"/>
      <c r="D3" s="256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39" sqref="J3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Chicago Heights SD 170</v>
      </c>
      <c r="B1" s="2572"/>
      <c r="C1" s="2572"/>
      <c r="D1" s="2572"/>
      <c r="E1" s="2572"/>
    </row>
    <row r="2" spans="1:5" x14ac:dyDescent="0.2">
      <c r="A2" s="2573">
        <f>'Single Audit Cover'!E7</f>
        <v>7016170002</v>
      </c>
      <c r="B2" s="2573"/>
      <c r="C2" s="2573"/>
      <c r="D2" s="2573"/>
      <c r="E2" s="2573"/>
    </row>
    <row r="3" spans="1:5" ht="4.5" customHeight="1" x14ac:dyDescent="0.2"/>
    <row r="4" spans="1:5" x14ac:dyDescent="0.2">
      <c r="A4" s="2572" t="s">
        <v>1234</v>
      </c>
      <c r="B4" s="2572"/>
      <c r="C4" s="2572"/>
      <c r="D4" s="2572"/>
      <c r="E4" s="2572"/>
    </row>
    <row r="5" spans="1:5" x14ac:dyDescent="0.2">
      <c r="A5" s="2574" t="str">
        <f>'Single Audit Cover'!A4</f>
        <v>Year Ending June 30, 2020</v>
      </c>
      <c r="B5" s="2574"/>
      <c r="C5" s="2574"/>
      <c r="D5" s="2574"/>
      <c r="E5" s="2574"/>
    </row>
    <row r="6" spans="1:5" x14ac:dyDescent="0.2">
      <c r="A6" s="2572" t="s">
        <v>1233</v>
      </c>
      <c r="B6" s="2572"/>
      <c r="C6" s="2572"/>
      <c r="D6" s="2572"/>
      <c r="E6" s="2572"/>
    </row>
    <row r="8" spans="1:5" x14ac:dyDescent="0.2">
      <c r="A8" s="1036" t="s">
        <v>1232</v>
      </c>
    </row>
    <row r="10" spans="1:5" x14ac:dyDescent="0.2">
      <c r="A10" s="1037" t="s">
        <v>1231</v>
      </c>
      <c r="B10" s="1038" t="s">
        <v>1230</v>
      </c>
      <c r="C10" s="1038"/>
      <c r="D10" s="1039">
        <f>SUM('Acct Summary 7-8'!C7:K7)</f>
        <v>6298592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150715</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-217189</v>
      </c>
    </row>
    <row r="19" spans="1:4" ht="13.5" thickBot="1" x14ac:dyDescent="0.25">
      <c r="A19" s="1041" t="s">
        <v>1224</v>
      </c>
      <c r="D19" s="1042">
        <f>SUM(D10:D17)</f>
        <v>6232118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t="s">
        <v>2223</v>
      </c>
      <c r="B24" s="2575"/>
      <c r="D24" s="1044">
        <v>-150715</v>
      </c>
    </row>
    <row r="25" spans="1:4" x14ac:dyDescent="0.2">
      <c r="A25" s="2571" t="s">
        <v>2224</v>
      </c>
      <c r="B25" s="2571"/>
      <c r="D25" s="1044">
        <v>-890631</v>
      </c>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1222</v>
      </c>
      <c r="D32" s="1039">
        <f>SUM(D19:D30)</f>
        <v>5190772</v>
      </c>
    </row>
    <row r="33" spans="1:4" x14ac:dyDescent="0.2">
      <c r="D33" s="1045"/>
    </row>
    <row r="34" spans="1:4" x14ac:dyDescent="0.2">
      <c r="A34" s="295" t="s">
        <v>1221</v>
      </c>
    </row>
    <row r="35" spans="1:4" x14ac:dyDescent="0.2">
      <c r="A35" s="295" t="s">
        <v>1220</v>
      </c>
      <c r="B35" s="1034" t="s">
        <v>1219</v>
      </c>
      <c r="D35" s="1046">
        <v>5190772</v>
      </c>
    </row>
    <row r="37" spans="1:4" x14ac:dyDescent="0.2">
      <c r="A37" s="1036" t="s">
        <v>1218</v>
      </c>
    </row>
    <row r="39" spans="1:4" ht="13.35" customHeight="1" x14ac:dyDescent="0.2">
      <c r="A39" s="1043" t="s">
        <v>1217</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1216</v>
      </c>
      <c r="C47" s="1048"/>
      <c r="D47" s="1049">
        <f>SUM(D35:D45)</f>
        <v>5190772</v>
      </c>
    </row>
    <row r="49" spans="2:4" x14ac:dyDescent="0.2">
      <c r="B49" s="1048" t="s">
        <v>1215</v>
      </c>
      <c r="C49" s="1048"/>
      <c r="D49" s="1049">
        <f>D32-D47</f>
        <v>0</v>
      </c>
    </row>
  </sheetData>
  <sheetProtection sheet="1" objects="1" scenarios="1"/>
  <mergeCells count="18">
    <mergeCell ref="A27:B27"/>
    <mergeCell ref="A1:E1"/>
    <mergeCell ref="A2:E2"/>
    <mergeCell ref="A26:B26"/>
    <mergeCell ref="A4:E4"/>
    <mergeCell ref="A5:E5"/>
    <mergeCell ref="A6:E6"/>
    <mergeCell ref="A24:B24"/>
    <mergeCell ref="A25:B25"/>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217"/>
  <sheetViews>
    <sheetView showGridLines="0" showWhiteSpace="0" view="pageLayout" topLeftCell="A73" zoomScaleNormal="100" workbookViewId="0">
      <selection activeCell="O45" sqref="O45"/>
    </sheetView>
  </sheetViews>
  <sheetFormatPr defaultColWidth="33.5703125" defaultRowHeight="12.75" x14ac:dyDescent="0.2"/>
  <cols>
    <col min="1" max="1" width="0.140625" style="295" customWidth="1"/>
    <col min="2" max="2" width="41.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4" t="str">
        <f>'Single Audit Cover'!A7</f>
        <v xml:space="preserve"> Chicago Heights SD 170</v>
      </c>
      <c r="C1" s="2576"/>
      <c r="D1" s="2576"/>
      <c r="E1" s="2576"/>
      <c r="F1" s="2576"/>
      <c r="G1" s="2576"/>
      <c r="H1" s="2576"/>
      <c r="I1" s="2576"/>
      <c r="J1" s="2576"/>
      <c r="K1" s="2576"/>
      <c r="L1" s="2576"/>
      <c r="M1" s="2576"/>
    </row>
    <row r="2" spans="2:14" ht="15" x14ac:dyDescent="0.2">
      <c r="B2" s="2577">
        <f>'Single Audit Cover'!E7</f>
        <v>7016170002</v>
      </c>
      <c r="C2" s="2577"/>
      <c r="D2" s="2577"/>
      <c r="E2" s="2577"/>
      <c r="F2" s="2577"/>
      <c r="G2" s="2577"/>
      <c r="H2" s="2577"/>
      <c r="I2" s="2577"/>
      <c r="J2" s="2577"/>
      <c r="K2" s="2577"/>
      <c r="L2" s="2577"/>
      <c r="M2" s="2577"/>
      <c r="N2" s="1078"/>
    </row>
    <row r="3" spans="2:14" ht="15" x14ac:dyDescent="0.2">
      <c r="B3" s="2578" t="s">
        <v>1208</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ht="6" customHeight="1"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8.5" customHeight="1" x14ac:dyDescent="0.2">
      <c r="B11" s="1113" t="s">
        <v>2154</v>
      </c>
      <c r="C11" s="1821"/>
      <c r="D11" s="1822"/>
      <c r="E11" s="1823"/>
      <c r="F11" s="1823"/>
      <c r="G11" s="1823"/>
      <c r="H11" s="1823"/>
      <c r="I11" s="1823"/>
      <c r="J11" s="1823"/>
      <c r="K11" s="1823"/>
      <c r="L11" s="1823">
        <f>+G11+I11+K11</f>
        <v>0</v>
      </c>
      <c r="M11" s="1823"/>
    </row>
    <row r="12" spans="2:14" ht="20.100000000000001" customHeight="1" x14ac:dyDescent="0.2">
      <c r="B12" s="2038" t="s">
        <v>2159</v>
      </c>
      <c r="C12" s="1824">
        <v>84.01</v>
      </c>
      <c r="D12" s="2039" t="s">
        <v>2162</v>
      </c>
      <c r="E12" s="1826">
        <v>0</v>
      </c>
      <c r="F12" s="1826">
        <f>1343185+1</f>
        <v>1343186</v>
      </c>
      <c r="G12" s="1034">
        <v>0</v>
      </c>
      <c r="H12" s="1826">
        <v>0</v>
      </c>
      <c r="I12" s="1826">
        <v>2299105</v>
      </c>
      <c r="J12" s="1826">
        <v>0</v>
      </c>
      <c r="K12" s="1826">
        <v>0</v>
      </c>
      <c r="L12" s="1823">
        <f>+G12+I12+K12</f>
        <v>2299105</v>
      </c>
      <c r="M12" s="1826">
        <v>2843302</v>
      </c>
    </row>
    <row r="13" spans="2:14" ht="20.100000000000001" customHeight="1" x14ac:dyDescent="0.2">
      <c r="B13" s="1113"/>
      <c r="C13" s="1824">
        <v>84.01</v>
      </c>
      <c r="D13" s="2039" t="s">
        <v>2157</v>
      </c>
      <c r="E13" s="1826">
        <v>1247503</v>
      </c>
      <c r="F13" s="1826">
        <v>1095052</v>
      </c>
      <c r="G13" s="2040">
        <v>2146864</v>
      </c>
      <c r="H13" s="2041">
        <v>0</v>
      </c>
      <c r="I13" s="1826">
        <v>195691</v>
      </c>
      <c r="J13" s="1826">
        <v>0</v>
      </c>
      <c r="K13" s="1826">
        <v>0</v>
      </c>
      <c r="L13" s="1823">
        <f>+G13+I13+K13</f>
        <v>2342555</v>
      </c>
      <c r="M13" s="1826">
        <v>2671393</v>
      </c>
    </row>
    <row r="14" spans="2:14" ht="20.100000000000001" customHeight="1" x14ac:dyDescent="0.2">
      <c r="B14" s="1113" t="s">
        <v>2156</v>
      </c>
      <c r="C14" s="1824"/>
      <c r="D14" s="1825"/>
      <c r="E14" s="1826">
        <f>+E12+E13</f>
        <v>1247503</v>
      </c>
      <c r="F14" s="1826">
        <f>+F12+F13</f>
        <v>2438238</v>
      </c>
      <c r="G14" s="1826">
        <f>+F12+G13</f>
        <v>3490050</v>
      </c>
      <c r="H14" s="1826">
        <v>0</v>
      </c>
      <c r="I14" s="1826">
        <f>+I12+I13</f>
        <v>2494796</v>
      </c>
      <c r="J14" s="1826">
        <v>0</v>
      </c>
      <c r="K14" s="1826">
        <v>0</v>
      </c>
      <c r="L14" s="1823">
        <f t="shared" ref="L14:L38" si="0">+G14+I14+K14</f>
        <v>5984846</v>
      </c>
      <c r="M14" s="1826">
        <f>SUM(M12:M13)</f>
        <v>5514695</v>
      </c>
    </row>
    <row r="15" spans="2:14" ht="20.100000000000001" customHeight="1" x14ac:dyDescent="0.2">
      <c r="B15" s="1113" t="s">
        <v>1159</v>
      </c>
      <c r="C15" s="1824"/>
      <c r="D15" s="1825"/>
      <c r="E15" s="1826"/>
      <c r="F15" s="1826"/>
      <c r="G15" s="1826"/>
      <c r="H15" s="1826"/>
      <c r="I15" s="1826"/>
      <c r="J15" s="1826"/>
      <c r="K15" s="1826"/>
      <c r="L15" s="1823"/>
      <c r="M15" s="1826"/>
    </row>
    <row r="16" spans="2:14" ht="20.100000000000001" customHeight="1" x14ac:dyDescent="0.2">
      <c r="B16" s="2038" t="s">
        <v>2160</v>
      </c>
      <c r="C16" s="1824">
        <v>84.01</v>
      </c>
      <c r="D16" s="1825" t="s">
        <v>2163</v>
      </c>
      <c r="E16" s="1826">
        <v>0</v>
      </c>
      <c r="F16" s="1826">
        <v>9985</v>
      </c>
      <c r="G16" s="1826">
        <v>0</v>
      </c>
      <c r="H16" s="1826">
        <v>0</v>
      </c>
      <c r="I16" s="1826">
        <v>45261</v>
      </c>
      <c r="J16" s="1826">
        <v>0</v>
      </c>
      <c r="K16" s="1826">
        <v>0</v>
      </c>
      <c r="L16" s="1823">
        <f>+G16+I16+K16</f>
        <v>45261</v>
      </c>
      <c r="M16" s="1826">
        <v>60000</v>
      </c>
    </row>
    <row r="17" spans="2:13" ht="20.100000000000001" customHeight="1" x14ac:dyDescent="0.2">
      <c r="B17" s="1113"/>
      <c r="C17" s="1824">
        <v>84.01</v>
      </c>
      <c r="D17" s="1825" t="s">
        <v>2161</v>
      </c>
      <c r="E17" s="1826">
        <v>5460</v>
      </c>
      <c r="F17" s="1826">
        <v>122712</v>
      </c>
      <c r="G17" s="1826">
        <v>113234</v>
      </c>
      <c r="H17" s="1826">
        <v>0</v>
      </c>
      <c r="I17" s="1826">
        <v>64119</v>
      </c>
      <c r="J17" s="1826">
        <v>0</v>
      </c>
      <c r="K17" s="1826">
        <v>0</v>
      </c>
      <c r="L17" s="1823">
        <f t="shared" si="0"/>
        <v>177353</v>
      </c>
      <c r="M17" s="1826">
        <v>180986</v>
      </c>
    </row>
    <row r="18" spans="2:13" ht="20.100000000000001" customHeight="1" x14ac:dyDescent="0.2">
      <c r="B18" s="1113" t="s">
        <v>2165</v>
      </c>
      <c r="C18" s="1824"/>
      <c r="D18" s="1825"/>
      <c r="E18" s="1826">
        <f>+E16+E17</f>
        <v>5460</v>
      </c>
      <c r="F18" s="1826">
        <f>+F16+F17</f>
        <v>132697</v>
      </c>
      <c r="G18" s="1826">
        <f>+G16+G17</f>
        <v>113234</v>
      </c>
      <c r="H18" s="1826">
        <v>0</v>
      </c>
      <c r="I18" s="1826">
        <f>+I16+I17</f>
        <v>109380</v>
      </c>
      <c r="J18" s="1826">
        <v>0</v>
      </c>
      <c r="K18" s="1826">
        <v>0</v>
      </c>
      <c r="L18" s="1823">
        <f>+G18+I18+K18</f>
        <v>222614</v>
      </c>
      <c r="M18" s="1826">
        <f>SUM(M16:M17)</f>
        <v>240986</v>
      </c>
    </row>
    <row r="19" spans="2:13" ht="20.100000000000001" customHeight="1" x14ac:dyDescent="0.2">
      <c r="B19" s="1113"/>
      <c r="C19" s="1824"/>
      <c r="D19" s="1825"/>
      <c r="E19" s="1826"/>
      <c r="F19" s="1826"/>
      <c r="G19" s="1826"/>
      <c r="H19" s="1826"/>
      <c r="I19" s="1826"/>
      <c r="J19" s="1826"/>
      <c r="K19" s="1826"/>
      <c r="L19" s="1823"/>
      <c r="M19" s="1826"/>
    </row>
    <row r="20" spans="2:13" ht="20.100000000000001" customHeight="1" x14ac:dyDescent="0.2">
      <c r="B20" s="2038" t="s">
        <v>2155</v>
      </c>
      <c r="C20" s="1824">
        <v>84.364999999999995</v>
      </c>
      <c r="D20" s="1825" t="s">
        <v>2164</v>
      </c>
      <c r="E20" s="1826">
        <v>0</v>
      </c>
      <c r="F20" s="1826">
        <v>68794</v>
      </c>
      <c r="G20" s="1826">
        <v>0</v>
      </c>
      <c r="H20" s="1826">
        <v>0</v>
      </c>
      <c r="I20" s="1826">
        <v>91919</v>
      </c>
      <c r="J20" s="1826">
        <v>0</v>
      </c>
      <c r="K20" s="1826">
        <v>0</v>
      </c>
      <c r="L20" s="1823">
        <f>+G20+I20+K20</f>
        <v>91919</v>
      </c>
      <c r="M20" s="1826">
        <v>112951</v>
      </c>
    </row>
    <row r="21" spans="2:13" ht="20.100000000000001" customHeight="1" x14ac:dyDescent="0.2">
      <c r="B21" s="1113"/>
      <c r="C21" s="2042">
        <v>84.364999999999995</v>
      </c>
      <c r="D21" s="2039" t="s">
        <v>2158</v>
      </c>
      <c r="E21" s="1826">
        <v>69576</v>
      </c>
      <c r="F21" s="1826">
        <v>43448</v>
      </c>
      <c r="G21" s="1826">
        <v>100662</v>
      </c>
      <c r="H21" s="1826">
        <v>0</v>
      </c>
      <c r="I21" s="1826">
        <v>12362</v>
      </c>
      <c r="J21" s="1826">
        <v>0</v>
      </c>
      <c r="K21" s="1826">
        <v>0</v>
      </c>
      <c r="L21" s="1823">
        <f>+G21+I21+K21</f>
        <v>113024</v>
      </c>
      <c r="M21" s="1826">
        <v>139175</v>
      </c>
    </row>
    <row r="22" spans="2:13" ht="20.100000000000001" customHeight="1" x14ac:dyDescent="0.2">
      <c r="B22" s="1113" t="s">
        <v>2166</v>
      </c>
      <c r="C22" s="1824"/>
      <c r="D22" s="1825"/>
      <c r="E22" s="1826">
        <f>SUM(E20:E21)</f>
        <v>69576</v>
      </c>
      <c r="F22" s="1826">
        <f>SUM(F20:F21)</f>
        <v>112242</v>
      </c>
      <c r="G22" s="1826">
        <f>SUM(G20:G21)</f>
        <v>100662</v>
      </c>
      <c r="H22" s="1826">
        <v>0</v>
      </c>
      <c r="I22" s="1826">
        <f>SUM(I20:I21)</f>
        <v>104281</v>
      </c>
      <c r="J22" s="1826">
        <v>0</v>
      </c>
      <c r="K22" s="1826">
        <v>0</v>
      </c>
      <c r="L22" s="1823">
        <f t="shared" si="0"/>
        <v>204943</v>
      </c>
      <c r="M22" s="1826">
        <f>SUM(M20:M21)</f>
        <v>252126</v>
      </c>
    </row>
    <row r="23" spans="2:13" ht="20.100000000000001" customHeight="1" x14ac:dyDescent="0.2">
      <c r="B23" s="1113"/>
      <c r="C23" s="1824"/>
      <c r="D23" s="1825"/>
      <c r="E23" s="1826"/>
      <c r="F23" s="1826"/>
      <c r="G23" s="1826"/>
      <c r="H23" s="1826"/>
      <c r="I23" s="1826"/>
      <c r="J23" s="1826"/>
      <c r="K23" s="1826"/>
      <c r="L23" s="1823"/>
      <c r="M23" s="1826"/>
    </row>
    <row r="24" spans="2:13" ht="20.100000000000001" customHeight="1" x14ac:dyDescent="0.2">
      <c r="B24" s="1113" t="s">
        <v>753</v>
      </c>
      <c r="C24" s="1824">
        <v>84.367000000000004</v>
      </c>
      <c r="D24" s="1825" t="s">
        <v>2168</v>
      </c>
      <c r="E24" s="1826">
        <v>0</v>
      </c>
      <c r="F24" s="1826">
        <v>133175</v>
      </c>
      <c r="G24" s="1826">
        <v>0</v>
      </c>
      <c r="H24" s="1826">
        <v>0</v>
      </c>
      <c r="I24" s="1826">
        <v>217890</v>
      </c>
      <c r="J24" s="1826">
        <v>0</v>
      </c>
      <c r="K24" s="1826">
        <v>0</v>
      </c>
      <c r="L24" s="1823">
        <f t="shared" si="0"/>
        <v>217890</v>
      </c>
      <c r="M24" s="1826">
        <v>423814</v>
      </c>
    </row>
    <row r="25" spans="2:13" ht="20.100000000000001" customHeight="1" x14ac:dyDescent="0.2">
      <c r="B25" s="1113"/>
      <c r="C25" s="1824">
        <v>84.367000000000004</v>
      </c>
      <c r="D25" s="1825" t="s">
        <v>2167</v>
      </c>
      <c r="E25" s="1826">
        <v>135694</v>
      </c>
      <c r="F25" s="1826">
        <v>8596</v>
      </c>
      <c r="G25" s="1826">
        <v>143109</v>
      </c>
      <c r="H25" s="1826">
        <v>0</v>
      </c>
      <c r="I25" s="1826">
        <v>1181</v>
      </c>
      <c r="J25" s="1826">
        <v>0</v>
      </c>
      <c r="K25" s="1826">
        <v>0</v>
      </c>
      <c r="L25" s="1823">
        <f t="shared" si="0"/>
        <v>144290</v>
      </c>
      <c r="M25" s="1826">
        <v>317596</v>
      </c>
    </row>
    <row r="26" spans="2:13" ht="20.100000000000001" customHeight="1" x14ac:dyDescent="0.2">
      <c r="B26" s="1113" t="s">
        <v>2170</v>
      </c>
      <c r="C26" s="1824"/>
      <c r="D26" s="1825"/>
      <c r="E26" s="1826">
        <f>SUM(E24:E25)</f>
        <v>135694</v>
      </c>
      <c r="F26" s="1826">
        <f t="shared" ref="F26:G26" si="1">SUM(F24:F25)</f>
        <v>141771</v>
      </c>
      <c r="G26" s="1826">
        <f t="shared" si="1"/>
        <v>143109</v>
      </c>
      <c r="H26" s="1826">
        <v>0</v>
      </c>
      <c r="I26" s="1826">
        <f>SUM(I24:I25)</f>
        <v>219071</v>
      </c>
      <c r="J26" s="1826">
        <v>0</v>
      </c>
      <c r="K26" s="1826">
        <v>0</v>
      </c>
      <c r="L26" s="1823">
        <f>SUM(L24:L25)</f>
        <v>362180</v>
      </c>
      <c r="M26" s="1826">
        <f>SUM(M24:M25)</f>
        <v>741410</v>
      </c>
    </row>
    <row r="27" spans="2:13" ht="20.100000000000001" customHeight="1" x14ac:dyDescent="0.2">
      <c r="B27" s="1113"/>
      <c r="C27" s="1824"/>
      <c r="D27" s="1825"/>
      <c r="E27" s="1826"/>
      <c r="F27" s="1826"/>
      <c r="G27" s="1826"/>
      <c r="H27" s="1826"/>
      <c r="I27" s="1826"/>
      <c r="J27" s="1826"/>
      <c r="K27" s="1826"/>
      <c r="L27" s="1823"/>
      <c r="M27" s="1826"/>
    </row>
    <row r="28" spans="2:13" ht="20.100000000000001" customHeight="1" x14ac:dyDescent="0.2">
      <c r="B28" s="1113" t="s">
        <v>2203</v>
      </c>
      <c r="C28" s="1824">
        <v>84.424000000000007</v>
      </c>
      <c r="D28" s="1825" t="s">
        <v>2201</v>
      </c>
      <c r="E28" s="1826">
        <v>0</v>
      </c>
      <c r="F28" s="1826">
        <v>110400</v>
      </c>
      <c r="G28" s="1826">
        <v>0</v>
      </c>
      <c r="H28" s="1826">
        <v>0</v>
      </c>
      <c r="I28" s="1826">
        <v>207728</v>
      </c>
      <c r="J28" s="1826">
        <v>0</v>
      </c>
      <c r="K28" s="1826">
        <v>0</v>
      </c>
      <c r="L28" s="1823">
        <f t="shared" si="0"/>
        <v>207728</v>
      </c>
      <c r="M28" s="1826">
        <v>332733</v>
      </c>
    </row>
    <row r="29" spans="2:13" ht="20.100000000000001" customHeight="1" x14ac:dyDescent="0.2">
      <c r="B29" s="1113"/>
      <c r="C29" s="1824"/>
      <c r="D29" s="1825" t="s">
        <v>2186</v>
      </c>
      <c r="E29" s="1826">
        <v>19182</v>
      </c>
      <c r="F29" s="1826">
        <v>16729</v>
      </c>
      <c r="G29" s="1826">
        <v>34608</v>
      </c>
      <c r="H29" s="1826">
        <v>0</v>
      </c>
      <c r="I29" s="1826">
        <v>1303</v>
      </c>
      <c r="J29" s="1826">
        <v>0</v>
      </c>
      <c r="K29" s="1826">
        <v>0</v>
      </c>
      <c r="L29" s="1823">
        <f>+G29+I29+K29</f>
        <v>35911</v>
      </c>
      <c r="M29" s="1826">
        <v>185275</v>
      </c>
    </row>
    <row r="30" spans="2:13" ht="20.100000000000001" customHeight="1" x14ac:dyDescent="0.2">
      <c r="B30" s="1113" t="s">
        <v>2202</v>
      </c>
      <c r="C30" s="1824"/>
      <c r="D30" s="1825"/>
      <c r="E30" s="1826">
        <f>SUM(E28:E29)</f>
        <v>19182</v>
      </c>
      <c r="F30" s="1826">
        <f>SUM(F28:F29)</f>
        <v>127129</v>
      </c>
      <c r="G30" s="1826">
        <f>SUM(G28:G29)</f>
        <v>34608</v>
      </c>
      <c r="H30" s="1826">
        <v>0</v>
      </c>
      <c r="I30" s="1826">
        <f>SUM(I28:I29)</f>
        <v>209031</v>
      </c>
      <c r="J30" s="1826">
        <v>0</v>
      </c>
      <c r="K30" s="1826">
        <v>0</v>
      </c>
      <c r="L30" s="1823">
        <f>SUM(L28:L29)</f>
        <v>243639</v>
      </c>
      <c r="M30" s="1826">
        <f>SUM(M28:M29)</f>
        <v>518008</v>
      </c>
    </row>
    <row r="31" spans="2:13" ht="20.100000000000001" customHeight="1" x14ac:dyDescent="0.2">
      <c r="B31" s="1113"/>
      <c r="C31" s="1824"/>
      <c r="D31" s="1825"/>
      <c r="E31" s="1826"/>
      <c r="F31" s="1826"/>
      <c r="G31" s="1826"/>
      <c r="H31" s="1826"/>
      <c r="I31" s="1826"/>
      <c r="J31" s="1826"/>
      <c r="K31" s="1826"/>
      <c r="L31" s="1823"/>
      <c r="M31" s="1826"/>
    </row>
    <row r="32" spans="2:13" ht="20.100000000000001" customHeight="1" x14ac:dyDescent="0.2">
      <c r="B32" s="1113" t="s">
        <v>2171</v>
      </c>
      <c r="C32" s="1824"/>
      <c r="D32" s="1825"/>
      <c r="E32" s="1826">
        <f>+E14+E18+E22+E26+E30</f>
        <v>1477415</v>
      </c>
      <c r="F32" s="1826">
        <f t="shared" ref="F32:K32" si="2">+F14+F18+F22+F26+F30</f>
        <v>2952077</v>
      </c>
      <c r="G32" s="1826">
        <f t="shared" si="2"/>
        <v>3881663</v>
      </c>
      <c r="H32" s="1826">
        <f t="shared" si="2"/>
        <v>0</v>
      </c>
      <c r="I32" s="1826">
        <f t="shared" si="2"/>
        <v>3136559</v>
      </c>
      <c r="J32" s="1826">
        <f t="shared" si="2"/>
        <v>0</v>
      </c>
      <c r="K32" s="1826">
        <f t="shared" si="2"/>
        <v>0</v>
      </c>
      <c r="L32" s="1823">
        <f t="shared" si="0"/>
        <v>7018222</v>
      </c>
      <c r="M32" s="1826">
        <f>+M14+M18+M22+M26+M30</f>
        <v>7267225</v>
      </c>
    </row>
    <row r="33" spans="2:13" ht="20.100000000000001" customHeight="1" x14ac:dyDescent="0.2">
      <c r="B33" s="1113"/>
      <c r="C33" s="1824"/>
      <c r="D33" s="1825"/>
      <c r="E33" s="1826"/>
      <c r="F33" s="1826"/>
      <c r="G33" s="1826"/>
      <c r="H33" s="1826"/>
      <c r="I33" s="1826"/>
      <c r="J33" s="1826"/>
      <c r="K33" s="1826"/>
      <c r="L33" s="1823"/>
      <c r="M33" s="1826"/>
    </row>
    <row r="34" spans="2:13" ht="20.100000000000001" customHeight="1" x14ac:dyDescent="0.2">
      <c r="B34" s="1113" t="s">
        <v>2172</v>
      </c>
      <c r="C34" s="1824"/>
      <c r="D34" s="1825"/>
      <c r="E34" s="1826"/>
      <c r="F34" s="1826"/>
      <c r="G34" s="1826"/>
      <c r="H34" s="1826"/>
      <c r="I34" s="1826"/>
      <c r="J34" s="1826"/>
      <c r="K34" s="1826"/>
      <c r="L34" s="1823"/>
      <c r="M34" s="1826"/>
    </row>
    <row r="35" spans="2:13" ht="20.100000000000001" customHeight="1" x14ac:dyDescent="0.2">
      <c r="B35" s="1113" t="s">
        <v>2204</v>
      </c>
      <c r="C35" s="1824">
        <v>10.555</v>
      </c>
      <c r="D35" s="1825" t="s">
        <v>2205</v>
      </c>
      <c r="E35" s="1826">
        <v>0</v>
      </c>
      <c r="F35" s="1826">
        <f>807236+1</f>
        <v>807237</v>
      </c>
      <c r="G35" s="1826">
        <v>0</v>
      </c>
      <c r="H35" s="1826">
        <v>0</v>
      </c>
      <c r="I35" s="1826">
        <v>807236</v>
      </c>
      <c r="J35" s="1826">
        <v>0</v>
      </c>
      <c r="K35" s="1826">
        <v>0</v>
      </c>
      <c r="L35" s="1823">
        <f t="shared" si="0"/>
        <v>807236</v>
      </c>
      <c r="M35" s="1826" t="s">
        <v>2169</v>
      </c>
    </row>
    <row r="36" spans="2:13" ht="20.100000000000001" customHeight="1" x14ac:dyDescent="0.2">
      <c r="B36" s="1113"/>
      <c r="C36" s="1824">
        <v>10.555</v>
      </c>
      <c r="D36" s="1825" t="s">
        <v>2187</v>
      </c>
      <c r="E36" s="1826">
        <v>1176825</v>
      </c>
      <c r="F36" s="1826">
        <v>196777</v>
      </c>
      <c r="G36" s="1826">
        <v>1176825</v>
      </c>
      <c r="H36" s="1826">
        <v>0</v>
      </c>
      <c r="I36" s="1826">
        <v>196777</v>
      </c>
      <c r="J36" s="1826">
        <v>0</v>
      </c>
      <c r="K36" s="1826">
        <v>0</v>
      </c>
      <c r="L36" s="1823">
        <f>+G36+I36+K36</f>
        <v>1373602</v>
      </c>
      <c r="M36" s="1826" t="s">
        <v>2169</v>
      </c>
    </row>
    <row r="37" spans="2:13" ht="20.100000000000001" customHeight="1" x14ac:dyDescent="0.2">
      <c r="B37" s="1113" t="s">
        <v>2206</v>
      </c>
      <c r="C37" s="1824"/>
      <c r="D37" s="1825"/>
      <c r="E37" s="1826">
        <f t="shared" ref="E37:L37" si="3">SUM(E35:E36)</f>
        <v>1176825</v>
      </c>
      <c r="F37" s="1826">
        <f>SUM(F35:F36)</f>
        <v>1004014</v>
      </c>
      <c r="G37" s="1826">
        <f t="shared" si="3"/>
        <v>1176825</v>
      </c>
      <c r="H37" s="1826">
        <f t="shared" si="3"/>
        <v>0</v>
      </c>
      <c r="I37" s="1826">
        <f t="shared" si="3"/>
        <v>1004013</v>
      </c>
      <c r="J37" s="1826">
        <f t="shared" si="3"/>
        <v>0</v>
      </c>
      <c r="K37" s="1826">
        <f t="shared" si="3"/>
        <v>0</v>
      </c>
      <c r="L37" s="1823">
        <f t="shared" si="3"/>
        <v>2180838</v>
      </c>
      <c r="M37" s="1826" t="s">
        <v>2169</v>
      </c>
    </row>
    <row r="38" spans="2:13" ht="20.100000000000001" customHeight="1" x14ac:dyDescent="0.2">
      <c r="B38" s="2038" t="s">
        <v>2195</v>
      </c>
      <c r="C38" s="1824">
        <v>10.553000000000001</v>
      </c>
      <c r="D38" s="1825" t="s">
        <v>2207</v>
      </c>
      <c r="E38" s="1826">
        <v>0</v>
      </c>
      <c r="F38" s="1826">
        <v>218385</v>
      </c>
      <c r="G38" s="1826">
        <v>0</v>
      </c>
      <c r="H38" s="1826">
        <v>0</v>
      </c>
      <c r="I38" s="1826">
        <v>218385</v>
      </c>
      <c r="J38" s="1826">
        <v>0</v>
      </c>
      <c r="K38" s="1826">
        <v>0</v>
      </c>
      <c r="L38" s="1826">
        <f t="shared" si="0"/>
        <v>218385</v>
      </c>
      <c r="M38" s="1826" t="s">
        <v>2169</v>
      </c>
    </row>
    <row r="39" spans="2:13" ht="20.100000000000001" customHeight="1" x14ac:dyDescent="0.2">
      <c r="B39" s="1113"/>
      <c r="C39" s="1824">
        <v>10.553000000000001</v>
      </c>
      <c r="D39" s="1825" t="s">
        <v>2188</v>
      </c>
      <c r="E39" s="1826">
        <v>328820</v>
      </c>
      <c r="F39" s="1826">
        <v>51577</v>
      </c>
      <c r="G39" s="1826">
        <v>328820</v>
      </c>
      <c r="H39" s="1826">
        <v>0</v>
      </c>
      <c r="I39" s="1826">
        <v>51576</v>
      </c>
      <c r="J39" s="1826">
        <v>0</v>
      </c>
      <c r="K39" s="1826">
        <v>0</v>
      </c>
      <c r="L39" s="1823">
        <f>+G39+I39+K39</f>
        <v>380396</v>
      </c>
      <c r="M39" s="1826" t="s">
        <v>2169</v>
      </c>
    </row>
    <row r="40" spans="2:13" ht="20.100000000000001" customHeight="1" x14ac:dyDescent="0.2">
      <c r="B40" s="2038" t="s">
        <v>2196</v>
      </c>
      <c r="C40" s="1824"/>
      <c r="D40" s="1825"/>
      <c r="E40" s="1826">
        <f>SUM(E38:E39)</f>
        <v>328820</v>
      </c>
      <c r="F40" s="1826">
        <f>SUM(F38:F39)</f>
        <v>269962</v>
      </c>
      <c r="G40" s="1826">
        <f>SUM(G38:G39)</f>
        <v>328820</v>
      </c>
      <c r="H40" s="1826">
        <v>0</v>
      </c>
      <c r="I40" s="1826">
        <f>SUM(I38:I39)</f>
        <v>269961</v>
      </c>
      <c r="J40" s="1826">
        <v>0</v>
      </c>
      <c r="K40" s="1826">
        <v>0</v>
      </c>
      <c r="L40" s="1823">
        <f t="shared" ref="L40" si="4">SUM(L38:L39)</f>
        <v>598781</v>
      </c>
      <c r="M40" s="1826" t="s">
        <v>2169</v>
      </c>
    </row>
    <row r="41" spans="2:13" ht="20.100000000000001" customHeight="1" x14ac:dyDescent="0.2">
      <c r="B41" s="1113"/>
      <c r="C41" s="1824"/>
      <c r="D41" s="1825"/>
      <c r="E41" s="1826"/>
      <c r="F41" s="1826"/>
      <c r="G41" s="1826"/>
      <c r="H41" s="1826"/>
      <c r="I41" s="1826"/>
      <c r="J41" s="1826"/>
      <c r="K41" s="1826"/>
      <c r="L41" s="1823"/>
      <c r="M41" s="1826"/>
    </row>
    <row r="42" spans="2:13" ht="20.100000000000001" customHeight="1" x14ac:dyDescent="0.2">
      <c r="B42" s="2038" t="s">
        <v>2173</v>
      </c>
      <c r="C42" s="1824">
        <v>10.555</v>
      </c>
      <c r="D42" s="1825" t="s">
        <v>2208</v>
      </c>
      <c r="E42" s="1826">
        <v>0</v>
      </c>
      <c r="F42" s="1826">
        <v>128599</v>
      </c>
      <c r="G42" s="1826">
        <v>0</v>
      </c>
      <c r="H42" s="1826">
        <v>0</v>
      </c>
      <c r="I42" s="1826">
        <v>128599</v>
      </c>
      <c r="J42" s="1826">
        <v>0</v>
      </c>
      <c r="K42" s="1826">
        <v>0</v>
      </c>
      <c r="L42" s="1823">
        <f>+G42+I42+K42</f>
        <v>128599</v>
      </c>
      <c r="M42" s="1826" t="s">
        <v>2169</v>
      </c>
    </row>
    <row r="43" spans="2:13" ht="20.100000000000001" customHeight="1" x14ac:dyDescent="0.2">
      <c r="B43" s="1113"/>
      <c r="C43" s="1824">
        <v>10.555</v>
      </c>
      <c r="D43" s="1825" t="s">
        <v>2189</v>
      </c>
      <c r="E43" s="1826">
        <v>129862</v>
      </c>
      <c r="F43" s="1826">
        <v>0</v>
      </c>
      <c r="G43" s="1826">
        <v>129862</v>
      </c>
      <c r="H43" s="1826">
        <v>0</v>
      </c>
      <c r="I43" s="1826">
        <v>0</v>
      </c>
      <c r="J43" s="1826">
        <v>0</v>
      </c>
      <c r="K43" s="1826">
        <v>0</v>
      </c>
      <c r="L43" s="1823">
        <f>+G43+I43+K43</f>
        <v>129862</v>
      </c>
      <c r="M43" s="1826" t="s">
        <v>2169</v>
      </c>
    </row>
    <row r="44" spans="2:13" ht="20.100000000000001" customHeight="1" x14ac:dyDescent="0.2">
      <c r="B44" s="2038" t="s">
        <v>2174</v>
      </c>
      <c r="C44" s="1824"/>
      <c r="D44" s="1825"/>
      <c r="E44" s="1826">
        <f>SUM(E42:E43)</f>
        <v>129862</v>
      </c>
      <c r="F44" s="1826">
        <f>SUM(F42:F43)</f>
        <v>128599</v>
      </c>
      <c r="G44" s="1826">
        <f>SUM(G42:G43)</f>
        <v>129862</v>
      </c>
      <c r="H44" s="1826">
        <v>0</v>
      </c>
      <c r="I44" s="1826">
        <f>SUM(I42:I43)</f>
        <v>128599</v>
      </c>
      <c r="J44" s="1826">
        <v>0</v>
      </c>
      <c r="K44" s="1826">
        <v>0</v>
      </c>
      <c r="L44" s="1823">
        <f>SUM(L42:L43)</f>
        <v>258461</v>
      </c>
      <c r="M44" s="1826" t="s">
        <v>2169</v>
      </c>
    </row>
    <row r="45" spans="2:13" ht="20.100000000000001" customHeight="1" x14ac:dyDescent="0.2">
      <c r="B45" s="1113"/>
      <c r="C45" s="1824"/>
      <c r="D45" s="1825"/>
      <c r="E45" s="1826"/>
      <c r="F45" s="1826"/>
      <c r="G45" s="1826"/>
      <c r="H45" s="1826"/>
      <c r="I45" s="1826"/>
      <c r="J45" s="1826"/>
      <c r="K45" s="1826"/>
      <c r="L45" s="1823"/>
      <c r="M45" s="1826"/>
    </row>
    <row r="46" spans="2:13" ht="20.100000000000001" customHeight="1" x14ac:dyDescent="0.2">
      <c r="B46" s="2038" t="s">
        <v>2175</v>
      </c>
      <c r="C46" s="1824"/>
      <c r="D46" s="1825"/>
      <c r="E46" s="1826">
        <f>+E37+E40+E44</f>
        <v>1635507</v>
      </c>
      <c r="F46" s="1826">
        <f>+F37+F40+F44</f>
        <v>1402575</v>
      </c>
      <c r="G46" s="1826">
        <f t="shared" ref="G46:L46" si="5">+G37+G40+G44</f>
        <v>1635507</v>
      </c>
      <c r="H46" s="1826">
        <f t="shared" si="5"/>
        <v>0</v>
      </c>
      <c r="I46" s="1826">
        <f t="shared" si="5"/>
        <v>1402573</v>
      </c>
      <c r="J46" s="1826">
        <f t="shared" si="5"/>
        <v>0</v>
      </c>
      <c r="K46" s="1826">
        <f t="shared" si="5"/>
        <v>0</v>
      </c>
      <c r="L46" s="1826">
        <f t="shared" si="5"/>
        <v>3038080</v>
      </c>
      <c r="M46" s="1826"/>
    </row>
    <row r="47" spans="2:13" ht="20.100000000000001" customHeight="1" x14ac:dyDescent="0.2">
      <c r="B47" s="1113"/>
      <c r="C47" s="1824"/>
      <c r="D47" s="1825"/>
      <c r="E47" s="1826"/>
      <c r="F47" s="1826"/>
      <c r="G47" s="1826"/>
      <c r="H47" s="1826"/>
      <c r="I47" s="1826"/>
      <c r="J47" s="1826"/>
      <c r="K47" s="1826"/>
      <c r="L47" s="1823"/>
      <c r="M47" s="1826"/>
    </row>
    <row r="48" spans="2:13" ht="20.100000000000001" customHeight="1" x14ac:dyDescent="0.2">
      <c r="B48" s="2038" t="s">
        <v>2176</v>
      </c>
      <c r="C48" s="1824"/>
      <c r="D48" s="1825"/>
      <c r="E48" s="1826"/>
      <c r="F48" s="1826"/>
      <c r="G48" s="1826"/>
      <c r="H48" s="1826"/>
      <c r="I48" s="1826"/>
      <c r="J48" s="1826"/>
      <c r="K48" s="1826"/>
      <c r="L48" s="1823"/>
      <c r="M48" s="1826"/>
    </row>
    <row r="49" spans="2:13" ht="20.100000000000001" customHeight="1" x14ac:dyDescent="0.2">
      <c r="B49" s="2038"/>
      <c r="C49" s="1824"/>
      <c r="D49" s="1825"/>
      <c r="E49" s="1826"/>
      <c r="F49" s="1826"/>
      <c r="G49" s="1826"/>
      <c r="H49" s="1826"/>
      <c r="I49" s="1826"/>
      <c r="J49" s="1826"/>
      <c r="K49" s="1826"/>
      <c r="L49" s="1823"/>
      <c r="M49" s="1826"/>
    </row>
    <row r="50" spans="2:13" ht="20.100000000000001" customHeight="1" x14ac:dyDescent="0.2">
      <c r="B50" s="2038" t="s">
        <v>2254</v>
      </c>
      <c r="C50" s="1824">
        <v>84.027000000000001</v>
      </c>
      <c r="D50" s="1825" t="s">
        <v>2215</v>
      </c>
      <c r="E50" s="1826">
        <v>0</v>
      </c>
      <c r="F50" s="1826">
        <v>30529</v>
      </c>
      <c r="G50" s="1826">
        <v>0</v>
      </c>
      <c r="H50" s="1826">
        <v>0</v>
      </c>
      <c r="I50" s="1826">
        <v>30529</v>
      </c>
      <c r="J50" s="1826">
        <v>0</v>
      </c>
      <c r="K50" s="1826">
        <v>0</v>
      </c>
      <c r="L50" s="1823">
        <v>30529</v>
      </c>
      <c r="M50" s="1826" t="s">
        <v>2169</v>
      </c>
    </row>
    <row r="51" spans="2:13" ht="20.100000000000001" customHeight="1" x14ac:dyDescent="0.2">
      <c r="B51" s="2038"/>
      <c r="C51" s="1824"/>
      <c r="D51" s="1825"/>
      <c r="E51" s="1826"/>
      <c r="F51" s="1826"/>
      <c r="G51" s="1826"/>
      <c r="H51" s="1826"/>
      <c r="I51" s="1826"/>
      <c r="J51" s="1826"/>
      <c r="K51" s="1826"/>
      <c r="L51" s="1823"/>
      <c r="M51" s="1826"/>
    </row>
    <row r="52" spans="2:13" ht="20.100000000000001" customHeight="1" x14ac:dyDescent="0.2">
      <c r="B52" s="2038" t="s">
        <v>2216</v>
      </c>
      <c r="C52" s="1824"/>
      <c r="D52" s="1825"/>
      <c r="E52" s="1826">
        <f>+E32+E46</f>
        <v>3112922</v>
      </c>
      <c r="F52" s="1826">
        <f>+F32+F46+F50</f>
        <v>4385181</v>
      </c>
      <c r="G52" s="1826">
        <f t="shared" ref="G52:K52" si="6">+G32+G46</f>
        <v>5517170</v>
      </c>
      <c r="H52" s="1826">
        <f t="shared" si="6"/>
        <v>0</v>
      </c>
      <c r="I52" s="1826">
        <f>+I32+I46+I50</f>
        <v>4569661</v>
      </c>
      <c r="J52" s="1826">
        <f t="shared" si="6"/>
        <v>0</v>
      </c>
      <c r="K52" s="1826">
        <f t="shared" si="6"/>
        <v>0</v>
      </c>
      <c r="L52" s="1826">
        <f>+L32+L46+L50</f>
        <v>10086831</v>
      </c>
      <c r="M52" s="1826"/>
    </row>
    <row r="53" spans="2:13" ht="20.100000000000001" customHeight="1" x14ac:dyDescent="0.2">
      <c r="B53" s="2038"/>
      <c r="C53" s="1824"/>
      <c r="D53" s="1825"/>
      <c r="E53" s="1826"/>
      <c r="F53" s="1826"/>
      <c r="G53" s="1826"/>
      <c r="H53" s="1826"/>
      <c r="I53" s="1826"/>
      <c r="J53" s="1826"/>
      <c r="K53" s="1826"/>
      <c r="L53" s="1823"/>
      <c r="M53" s="1826"/>
    </row>
    <row r="54" spans="2:13" ht="20.100000000000001" customHeight="1" x14ac:dyDescent="0.2">
      <c r="B54" s="2038" t="s">
        <v>2217</v>
      </c>
      <c r="C54" s="1824"/>
      <c r="D54" s="1825"/>
      <c r="E54" s="1826"/>
      <c r="F54" s="1826"/>
      <c r="G54" s="1826"/>
      <c r="H54" s="1826"/>
      <c r="I54" s="1826"/>
      <c r="J54" s="1826"/>
      <c r="K54" s="1826"/>
      <c r="L54" s="1823"/>
      <c r="M54" s="1826"/>
    </row>
    <row r="55" spans="2:13" ht="20.100000000000001" customHeight="1" x14ac:dyDescent="0.2">
      <c r="B55" s="2038" t="s">
        <v>2220</v>
      </c>
      <c r="C55" s="1824">
        <v>10.555</v>
      </c>
      <c r="D55" s="1825" t="s">
        <v>2169</v>
      </c>
      <c r="E55" s="1826">
        <v>0</v>
      </c>
      <c r="F55" s="1826">
        <v>22116</v>
      </c>
      <c r="G55" s="1826">
        <v>0</v>
      </c>
      <c r="H55" s="1826">
        <v>0</v>
      </c>
      <c r="I55" s="1826">
        <v>22116</v>
      </c>
      <c r="J55" s="1826">
        <v>0</v>
      </c>
      <c r="K55" s="1826">
        <v>0</v>
      </c>
      <c r="L55" s="1823">
        <v>22116</v>
      </c>
      <c r="M55" s="1826" t="s">
        <v>2169</v>
      </c>
    </row>
    <row r="56" spans="2:13" ht="20.100000000000001" customHeight="1" x14ac:dyDescent="0.2">
      <c r="B56" s="2038" t="s">
        <v>2221</v>
      </c>
      <c r="C56" s="1824">
        <v>10.555</v>
      </c>
      <c r="D56" s="1825" t="s">
        <v>2169</v>
      </c>
      <c r="E56" s="1826">
        <v>30741</v>
      </c>
      <c r="F56" s="1826">
        <v>0</v>
      </c>
      <c r="G56" s="1826">
        <v>30741</v>
      </c>
      <c r="H56" s="1826">
        <v>0</v>
      </c>
      <c r="I56" s="1826">
        <v>0</v>
      </c>
      <c r="J56" s="1826">
        <v>0</v>
      </c>
      <c r="K56" s="1826">
        <v>0</v>
      </c>
      <c r="L56" s="1823">
        <v>30741</v>
      </c>
      <c r="M56" s="1826" t="s">
        <v>2169</v>
      </c>
    </row>
    <row r="57" spans="2:13" ht="20.100000000000001" customHeight="1" x14ac:dyDescent="0.2">
      <c r="B57" s="2038" t="s">
        <v>2218</v>
      </c>
      <c r="C57" s="1824"/>
      <c r="D57" s="1825"/>
      <c r="E57" s="1826">
        <f t="shared" ref="E57:L57" si="7">SUM(E55:E56)</f>
        <v>30741</v>
      </c>
      <c r="F57" s="1826">
        <f t="shared" si="7"/>
        <v>22116</v>
      </c>
      <c r="G57" s="1826">
        <f t="shared" si="7"/>
        <v>30741</v>
      </c>
      <c r="H57" s="1826">
        <f t="shared" si="7"/>
        <v>0</v>
      </c>
      <c r="I57" s="1826">
        <f t="shared" si="7"/>
        <v>22116</v>
      </c>
      <c r="J57" s="1826">
        <f t="shared" si="7"/>
        <v>0</v>
      </c>
      <c r="K57" s="1826">
        <f t="shared" si="7"/>
        <v>0</v>
      </c>
      <c r="L57" s="1823">
        <f t="shared" si="7"/>
        <v>52857</v>
      </c>
      <c r="M57" s="1826" t="s">
        <v>2169</v>
      </c>
    </row>
    <row r="58" spans="2:13" ht="20.100000000000001" customHeight="1" x14ac:dyDescent="0.2">
      <c r="B58" s="2038"/>
      <c r="C58" s="1824"/>
      <c r="D58" s="1825"/>
      <c r="E58" s="1826"/>
      <c r="F58" s="1826"/>
      <c r="G58" s="1826"/>
      <c r="H58" s="1826"/>
      <c r="I58" s="1826"/>
      <c r="J58" s="1826"/>
      <c r="K58" s="1826"/>
      <c r="L58" s="1823"/>
      <c r="M58" s="1826"/>
    </row>
    <row r="59" spans="2:13" ht="20.100000000000001" customHeight="1" x14ac:dyDescent="0.2">
      <c r="B59" s="2038" t="s">
        <v>2219</v>
      </c>
      <c r="C59" s="1824"/>
      <c r="D59" s="1825"/>
      <c r="E59" s="1826"/>
      <c r="F59" s="1826"/>
      <c r="G59" s="1826"/>
      <c r="H59" s="1826"/>
      <c r="I59" s="1826"/>
      <c r="J59" s="1826"/>
      <c r="K59" s="1826"/>
      <c r="L59" s="1823"/>
      <c r="M59" s="1826"/>
    </row>
    <row r="60" spans="2:13" ht="20.100000000000001" customHeight="1" x14ac:dyDescent="0.2">
      <c r="B60" s="2038" t="s">
        <v>2197</v>
      </c>
      <c r="C60" s="1824">
        <v>84.027000000000001</v>
      </c>
      <c r="D60" s="1825" t="s">
        <v>2209</v>
      </c>
      <c r="E60" s="1826">
        <v>0</v>
      </c>
      <c r="F60" s="2044">
        <f>96326+196489+1000</f>
        <v>293815</v>
      </c>
      <c r="G60" s="1826">
        <v>0</v>
      </c>
      <c r="H60" s="1826">
        <v>0</v>
      </c>
      <c r="I60" s="1826">
        <v>653205</v>
      </c>
      <c r="J60" s="1826">
        <v>0</v>
      </c>
      <c r="K60" s="1826">
        <v>0</v>
      </c>
      <c r="L60" s="1823">
        <f>+G60+I60+K60</f>
        <v>653205</v>
      </c>
      <c r="M60" s="1826">
        <v>795516</v>
      </c>
    </row>
    <row r="61" spans="2:13" ht="20.100000000000001" customHeight="1" x14ac:dyDescent="0.2">
      <c r="B61" s="1113"/>
      <c r="C61" s="1824">
        <v>84.027000000000001</v>
      </c>
      <c r="D61" s="1825" t="s">
        <v>2190</v>
      </c>
      <c r="E61" s="1826">
        <v>483465</v>
      </c>
      <c r="F61" s="2044">
        <v>341891</v>
      </c>
      <c r="G61" s="1826">
        <v>803954</v>
      </c>
      <c r="H61" s="1826">
        <v>0</v>
      </c>
      <c r="I61" s="1826">
        <v>0</v>
      </c>
      <c r="J61" s="1826">
        <v>0</v>
      </c>
      <c r="K61" s="1826">
        <v>0</v>
      </c>
      <c r="L61" s="1823">
        <f>+G61+I61+K61</f>
        <v>803954</v>
      </c>
      <c r="M61" s="1826">
        <v>848239</v>
      </c>
    </row>
    <row r="62" spans="2:13" ht="20.100000000000001" customHeight="1" x14ac:dyDescent="0.2">
      <c r="B62" s="2038" t="s">
        <v>2192</v>
      </c>
      <c r="C62" s="1824"/>
      <c r="D62" s="1825"/>
      <c r="E62" s="1826">
        <f>SUM(E60:E61)</f>
        <v>483465</v>
      </c>
      <c r="F62" s="2044">
        <v>635706</v>
      </c>
      <c r="G62" s="1826">
        <f>SUM(G60:G61)</f>
        <v>803954</v>
      </c>
      <c r="H62" s="1826">
        <v>0</v>
      </c>
      <c r="I62" s="1826">
        <f>SUM(I60:I61)</f>
        <v>653205</v>
      </c>
      <c r="J62" s="1826">
        <v>0</v>
      </c>
      <c r="K62" s="1826">
        <v>0</v>
      </c>
      <c r="L62" s="1823">
        <f>SUM(L60:L61)</f>
        <v>1457159</v>
      </c>
      <c r="M62" s="1826">
        <f>SUM(M60:M61)</f>
        <v>1643755</v>
      </c>
    </row>
    <row r="63" spans="2:13" ht="20.100000000000001" customHeight="1" x14ac:dyDescent="0.2">
      <c r="B63" s="1113"/>
      <c r="C63" s="1824"/>
      <c r="D63" s="1825"/>
      <c r="E63" s="1826"/>
      <c r="F63" s="1826"/>
      <c r="G63" s="1826"/>
      <c r="H63" s="1826"/>
      <c r="I63" s="1826"/>
      <c r="J63" s="1826"/>
      <c r="K63" s="1826"/>
      <c r="L63" s="1823"/>
      <c r="M63" s="1826"/>
    </row>
    <row r="64" spans="2:13" ht="20.100000000000001" customHeight="1" x14ac:dyDescent="0.2">
      <c r="B64" s="2038" t="s">
        <v>2198</v>
      </c>
      <c r="C64" s="1824">
        <v>84.173000000000002</v>
      </c>
      <c r="D64" s="1825" t="s">
        <v>2210</v>
      </c>
      <c r="E64" s="1826">
        <v>0</v>
      </c>
      <c r="F64" s="2044">
        <f>2666+5665</f>
        <v>8331</v>
      </c>
      <c r="G64" s="1826">
        <v>0</v>
      </c>
      <c r="H64" s="1826">
        <v>0</v>
      </c>
      <c r="I64" s="1826">
        <v>18323</v>
      </c>
      <c r="J64" s="1826">
        <v>0</v>
      </c>
      <c r="K64" s="1826">
        <v>0</v>
      </c>
      <c r="L64" s="1823">
        <f>+G64+I64+K64</f>
        <v>18323</v>
      </c>
      <c r="M64" s="1826"/>
    </row>
    <row r="65" spans="2:13" ht="20.100000000000001" customHeight="1" x14ac:dyDescent="0.2">
      <c r="B65" s="1113"/>
      <c r="C65" s="1824">
        <v>84.173000000000002</v>
      </c>
      <c r="D65" s="1825" t="s">
        <v>2191</v>
      </c>
      <c r="E65" s="1826">
        <v>15811</v>
      </c>
      <c r="F65" s="2044">
        <v>7338</v>
      </c>
      <c r="G65" s="1826">
        <v>23150</v>
      </c>
      <c r="H65" s="1826">
        <v>0</v>
      </c>
      <c r="I65" s="1826">
        <v>0</v>
      </c>
      <c r="J65" s="1826">
        <v>0</v>
      </c>
      <c r="K65" s="1826">
        <v>0</v>
      </c>
      <c r="L65" s="1823">
        <f>+G65+I65+K65</f>
        <v>23150</v>
      </c>
      <c r="M65" s="1826">
        <v>19817</v>
      </c>
    </row>
    <row r="66" spans="2:13" ht="20.100000000000001" customHeight="1" x14ac:dyDescent="0.2">
      <c r="B66" s="2038" t="s">
        <v>2193</v>
      </c>
      <c r="C66" s="1824"/>
      <c r="D66" s="1825"/>
      <c r="E66" s="1826">
        <f>SUM(E64:E65)</f>
        <v>15811</v>
      </c>
      <c r="F66" s="2044">
        <v>15669</v>
      </c>
      <c r="G66" s="1826">
        <f>SUM(G64:G65)</f>
        <v>23150</v>
      </c>
      <c r="H66" s="1826">
        <v>0</v>
      </c>
      <c r="I66" s="1826">
        <f>SUM(I64:I65)</f>
        <v>18323</v>
      </c>
      <c r="J66" s="1826">
        <v>0</v>
      </c>
      <c r="K66" s="1826">
        <v>0</v>
      </c>
      <c r="L66" s="1823">
        <f>+G66+I66+K66</f>
        <v>41473</v>
      </c>
      <c r="M66" s="1826"/>
    </row>
    <row r="67" spans="2:13" ht="20.100000000000001" customHeight="1" x14ac:dyDescent="0.2">
      <c r="B67" s="1113"/>
      <c r="C67" s="1824"/>
      <c r="D67" s="1825"/>
      <c r="E67" s="1826"/>
      <c r="F67" s="1826"/>
      <c r="G67" s="1826"/>
      <c r="H67" s="1826"/>
      <c r="I67" s="1826"/>
      <c r="J67" s="1826"/>
      <c r="K67" s="1826"/>
      <c r="L67" s="1823"/>
      <c r="M67" s="1826"/>
    </row>
    <row r="68" spans="2:13" ht="20.100000000000001" customHeight="1" x14ac:dyDescent="0.2">
      <c r="B68" s="2038" t="s">
        <v>2177</v>
      </c>
      <c r="C68" s="1824"/>
      <c r="D68" s="1825"/>
      <c r="E68" s="1826">
        <f>+E62+E66</f>
        <v>499276</v>
      </c>
      <c r="F68" s="1826">
        <f>+F62+F66</f>
        <v>651375</v>
      </c>
      <c r="G68" s="1826">
        <f>+G62+G66</f>
        <v>827104</v>
      </c>
      <c r="H68" s="1826">
        <v>0</v>
      </c>
      <c r="I68" s="1826">
        <f>+I62+I66</f>
        <v>671528</v>
      </c>
      <c r="J68" s="1826">
        <v>0</v>
      </c>
      <c r="K68" s="1826">
        <v>0</v>
      </c>
      <c r="L68" s="1826">
        <f>+L62+L66</f>
        <v>1498632</v>
      </c>
      <c r="M68" s="1826"/>
    </row>
    <row r="69" spans="2:13" ht="20.100000000000001" customHeight="1" x14ac:dyDescent="0.2">
      <c r="B69" s="1113"/>
      <c r="C69" s="1824"/>
      <c r="D69" s="1825"/>
      <c r="E69" s="1826"/>
      <c r="F69" s="1826"/>
      <c r="G69" s="1826"/>
      <c r="H69" s="1826"/>
      <c r="I69" s="1826"/>
      <c r="J69" s="1826"/>
      <c r="K69" s="1826"/>
      <c r="L69" s="1823"/>
      <c r="M69" s="1826"/>
    </row>
    <row r="70" spans="2:13" ht="20.100000000000001" customHeight="1" x14ac:dyDescent="0.2">
      <c r="B70" s="2038" t="s">
        <v>2178</v>
      </c>
      <c r="C70" s="1824"/>
      <c r="D70" s="1825"/>
      <c r="E70" s="1826"/>
      <c r="F70" s="1826"/>
      <c r="G70" s="1826"/>
      <c r="H70" s="1826"/>
      <c r="I70" s="1826"/>
      <c r="J70" s="1826"/>
      <c r="K70" s="1826"/>
      <c r="L70" s="1823"/>
      <c r="M70" s="1826"/>
    </row>
    <row r="71" spans="2:13" ht="20.100000000000001" customHeight="1" x14ac:dyDescent="0.2">
      <c r="B71" s="2038" t="s">
        <v>2211</v>
      </c>
      <c r="C71" s="1824">
        <v>93.778000000000006</v>
      </c>
      <c r="D71" s="1825" t="s">
        <v>2169</v>
      </c>
      <c r="E71" s="1826">
        <v>0</v>
      </c>
      <c r="F71" s="1826">
        <v>92741</v>
      </c>
      <c r="G71" s="1826">
        <v>0</v>
      </c>
      <c r="H71" s="1826">
        <v>0</v>
      </c>
      <c r="I71" s="1826">
        <v>92741</v>
      </c>
      <c r="J71" s="1826">
        <v>0</v>
      </c>
      <c r="K71" s="1826">
        <v>0</v>
      </c>
      <c r="L71" s="1823">
        <f>+G71+I71+K71</f>
        <v>92741</v>
      </c>
      <c r="M71" s="1826" t="s">
        <v>2169</v>
      </c>
    </row>
    <row r="72" spans="2:13" ht="20.100000000000001" customHeight="1" x14ac:dyDescent="0.2">
      <c r="B72" s="2038" t="s">
        <v>2212</v>
      </c>
      <c r="C72" s="1824">
        <v>93.778000000000006</v>
      </c>
      <c r="D72" s="1825" t="s">
        <v>2169</v>
      </c>
      <c r="E72" s="1826">
        <v>76093</v>
      </c>
      <c r="F72" s="1826">
        <v>39359</v>
      </c>
      <c r="G72" s="1826">
        <v>76093</v>
      </c>
      <c r="H72" s="1826">
        <v>0</v>
      </c>
      <c r="I72" s="1826">
        <v>39359</v>
      </c>
      <c r="J72" s="1826">
        <v>0</v>
      </c>
      <c r="K72" s="1826">
        <v>0</v>
      </c>
      <c r="L72" s="1823">
        <f>+G72+I72+K72</f>
        <v>115452</v>
      </c>
      <c r="M72" s="1826" t="s">
        <v>2169</v>
      </c>
    </row>
    <row r="73" spans="2:13" ht="20.100000000000001" customHeight="1" x14ac:dyDescent="0.2">
      <c r="B73" s="2038" t="s">
        <v>2179</v>
      </c>
      <c r="C73" s="1824"/>
      <c r="D73" s="1825"/>
      <c r="E73" s="1826">
        <f>SUM(E71:E72)</f>
        <v>76093</v>
      </c>
      <c r="F73" s="1826">
        <f>SUM(F71:F72)</f>
        <v>132100</v>
      </c>
      <c r="G73" s="1826">
        <f>SUM(G71:G72)</f>
        <v>76093</v>
      </c>
      <c r="H73" s="1826">
        <v>0</v>
      </c>
      <c r="I73" s="1826">
        <f>SUM(I71:I72)</f>
        <v>132100</v>
      </c>
      <c r="J73" s="1826">
        <v>0</v>
      </c>
      <c r="K73" s="1826">
        <v>0</v>
      </c>
      <c r="L73" s="1823">
        <f>SUM(L71:L72)</f>
        <v>208193</v>
      </c>
      <c r="M73" s="1826" t="s">
        <v>2169</v>
      </c>
    </row>
    <row r="74" spans="2:13" ht="20.100000000000001" customHeight="1" x14ac:dyDescent="0.2">
      <c r="B74" s="2038"/>
      <c r="C74" s="1824"/>
      <c r="D74" s="1825"/>
      <c r="E74" s="1826"/>
      <c r="F74" s="1826"/>
      <c r="G74" s="1826"/>
      <c r="H74" s="1826"/>
      <c r="I74" s="1826"/>
      <c r="J74" s="1826"/>
      <c r="K74" s="1826"/>
      <c r="L74" s="1823"/>
      <c r="M74" s="1826"/>
    </row>
    <row r="75" spans="2:13" ht="20.100000000000001" customHeight="1" x14ac:dyDescent="0.2">
      <c r="B75" s="2038" t="s">
        <v>2213</v>
      </c>
      <c r="C75" s="1824">
        <v>84.424999999999997</v>
      </c>
      <c r="D75" s="1825"/>
      <c r="E75" s="1826">
        <v>0</v>
      </c>
      <c r="F75" s="1826">
        <v>22598</v>
      </c>
      <c r="G75" s="1826">
        <v>0</v>
      </c>
      <c r="H75" s="1826">
        <v>0</v>
      </c>
      <c r="I75" s="1826">
        <v>22598</v>
      </c>
      <c r="J75" s="1826">
        <v>0</v>
      </c>
      <c r="K75" s="1826">
        <v>0</v>
      </c>
      <c r="L75" s="1823">
        <v>22598</v>
      </c>
      <c r="M75" s="1826"/>
    </row>
    <row r="76" spans="2:13" ht="20.100000000000001" customHeight="1" x14ac:dyDescent="0.2">
      <c r="B76" s="2038"/>
      <c r="C76" s="1824"/>
      <c r="D76" s="1825"/>
      <c r="E76" s="1826"/>
      <c r="F76" s="1826"/>
      <c r="G76" s="1826"/>
      <c r="H76" s="1826"/>
      <c r="I76" s="1826"/>
      <c r="J76" s="1826"/>
      <c r="K76" s="1826"/>
      <c r="L76" s="1823"/>
      <c r="M76" s="1826"/>
    </row>
    <row r="77" spans="2:13" ht="20.100000000000001" customHeight="1" x14ac:dyDescent="0.2">
      <c r="B77" s="2038" t="s">
        <v>2180</v>
      </c>
      <c r="C77" s="1824"/>
      <c r="D77" s="1825"/>
      <c r="E77" s="1826">
        <f>+E52+E57+E68+E73</f>
        <v>3719032</v>
      </c>
      <c r="F77" s="1826">
        <f>+F52+F57+F68+F73</f>
        <v>5190772</v>
      </c>
      <c r="G77" s="1826">
        <f t="shared" ref="G77:K77" si="8">+G52+G57+G68+G73</f>
        <v>6451108</v>
      </c>
      <c r="H77" s="1826">
        <f t="shared" si="8"/>
        <v>0</v>
      </c>
      <c r="I77" s="1826">
        <f>+I52+I57+I68+I73+I75</f>
        <v>5418003</v>
      </c>
      <c r="J77" s="1826">
        <f t="shared" si="8"/>
        <v>0</v>
      </c>
      <c r="K77" s="1826">
        <f t="shared" si="8"/>
        <v>0</v>
      </c>
      <c r="L77" s="1826">
        <f>+L52+L57+L68+L73+L75</f>
        <v>11869111</v>
      </c>
      <c r="M77" s="1826"/>
    </row>
    <row r="78" spans="2:13" ht="20.100000000000001" customHeight="1" x14ac:dyDescent="0.2">
      <c r="B78" s="2038"/>
      <c r="C78" s="1824"/>
      <c r="D78" s="1825"/>
      <c r="E78" s="1826"/>
      <c r="F78" s="1826"/>
      <c r="G78" s="1826"/>
      <c r="H78" s="1826"/>
      <c r="I78" s="1826"/>
      <c r="J78" s="1826"/>
      <c r="K78" s="1826"/>
      <c r="L78" s="1823"/>
      <c r="M78" s="1826"/>
    </row>
    <row r="79" spans="2:13" ht="20.100000000000001" customHeight="1" x14ac:dyDescent="0.2">
      <c r="B79" s="2038" t="s">
        <v>2181</v>
      </c>
      <c r="C79" s="1824"/>
      <c r="D79" s="1825"/>
      <c r="E79" s="1826"/>
      <c r="F79" s="1826"/>
      <c r="G79" s="1826"/>
      <c r="H79" s="1826"/>
      <c r="I79" s="1826"/>
      <c r="J79" s="1826"/>
      <c r="K79" s="1826"/>
      <c r="L79" s="1823"/>
      <c r="M79" s="1826"/>
    </row>
    <row r="80" spans="2:13" ht="20.100000000000001" customHeight="1" x14ac:dyDescent="0.2">
      <c r="B80" s="2038" t="s">
        <v>2182</v>
      </c>
      <c r="C80" s="1824"/>
      <c r="D80" s="1825"/>
      <c r="E80" s="1826"/>
      <c r="F80" s="1826"/>
      <c r="G80" s="1826"/>
      <c r="H80" s="1826"/>
      <c r="I80" s="1826"/>
      <c r="J80" s="1826"/>
      <c r="K80" s="1826"/>
      <c r="L80" s="1823"/>
      <c r="M80" s="1826"/>
    </row>
    <row r="81" spans="2:14" ht="20.100000000000001" customHeight="1" x14ac:dyDescent="0.2">
      <c r="B81" s="2038" t="s">
        <v>2222</v>
      </c>
      <c r="C81" s="1824"/>
      <c r="D81" s="1825"/>
      <c r="E81" s="1826">
        <v>0</v>
      </c>
      <c r="F81" s="1826">
        <f>+F35+F38+F42+F55</f>
        <v>1176337</v>
      </c>
      <c r="G81" s="1826">
        <v>0</v>
      </c>
      <c r="H81" s="1826">
        <v>0</v>
      </c>
      <c r="I81" s="1826">
        <f>+I35+I38+I42+I55</f>
        <v>1176336</v>
      </c>
      <c r="J81" s="1826">
        <v>0</v>
      </c>
      <c r="K81" s="1826">
        <v>0</v>
      </c>
      <c r="L81" s="1823">
        <f>+G81+I81+K81</f>
        <v>1176336</v>
      </c>
      <c r="M81" s="1826"/>
    </row>
    <row r="82" spans="2:14" ht="20.100000000000001" customHeight="1" x14ac:dyDescent="0.2">
      <c r="B82" s="2038" t="s">
        <v>2194</v>
      </c>
      <c r="C82" s="1824"/>
      <c r="D82" s="1825"/>
      <c r="E82" s="1826">
        <f>+E36+E39+E43+E57</f>
        <v>1666248</v>
      </c>
      <c r="F82" s="1826">
        <f>+F36+F39+F43</f>
        <v>248354</v>
      </c>
      <c r="G82" s="1826">
        <f>+G36+G39+G43+G57</f>
        <v>1666248</v>
      </c>
      <c r="H82" s="1826">
        <v>0</v>
      </c>
      <c r="I82" s="1826">
        <f>+I36+I39+I43</f>
        <v>248353</v>
      </c>
      <c r="J82" s="1826">
        <v>0</v>
      </c>
      <c r="K82" s="1826">
        <v>0</v>
      </c>
      <c r="L82" s="1823">
        <f>+G82+I82+K82</f>
        <v>1914601</v>
      </c>
      <c r="M82" s="1826"/>
    </row>
    <row r="83" spans="2:14" ht="20.100000000000001" customHeight="1" x14ac:dyDescent="0.2">
      <c r="B83" s="2038" t="s">
        <v>2183</v>
      </c>
      <c r="C83" s="1824"/>
      <c r="D83" s="1825"/>
      <c r="E83" s="1826">
        <f t="shared" ref="E83:L83" si="9">SUM(E81:E82)</f>
        <v>1666248</v>
      </c>
      <c r="F83" s="1826">
        <f t="shared" si="9"/>
        <v>1424691</v>
      </c>
      <c r="G83" s="1826">
        <f t="shared" si="9"/>
        <v>1666248</v>
      </c>
      <c r="H83" s="1826">
        <f t="shared" si="9"/>
        <v>0</v>
      </c>
      <c r="I83" s="1826">
        <f t="shared" si="9"/>
        <v>1424689</v>
      </c>
      <c r="J83" s="1826">
        <f t="shared" si="9"/>
        <v>0</v>
      </c>
      <c r="K83" s="1826">
        <f t="shared" si="9"/>
        <v>0</v>
      </c>
      <c r="L83" s="1823">
        <f t="shared" si="9"/>
        <v>3090937</v>
      </c>
      <c r="M83" s="1826"/>
    </row>
    <row r="84" spans="2:14" ht="20.100000000000001" customHeight="1" x14ac:dyDescent="0.2">
      <c r="B84" s="2038" t="s">
        <v>2184</v>
      </c>
      <c r="C84" s="1824"/>
      <c r="D84" s="1825"/>
      <c r="E84" s="1826"/>
      <c r="F84" s="1826"/>
      <c r="G84" s="1826"/>
      <c r="H84" s="1826"/>
      <c r="I84" s="1826"/>
      <c r="J84" s="1826"/>
      <c r="K84" s="1826"/>
      <c r="L84" s="1823"/>
      <c r="M84" s="1826"/>
    </row>
    <row r="85" spans="2:14" ht="20.100000000000001" customHeight="1" x14ac:dyDescent="0.2">
      <c r="B85" s="2038" t="s">
        <v>2222</v>
      </c>
      <c r="C85" s="1824"/>
      <c r="D85" s="1825"/>
      <c r="E85" s="1826">
        <f>+E60+E64</f>
        <v>0</v>
      </c>
      <c r="F85" s="1826">
        <f>+F60+F64</f>
        <v>302146</v>
      </c>
      <c r="G85" s="1826">
        <f t="shared" ref="G85:L85" si="10">+G60+G64</f>
        <v>0</v>
      </c>
      <c r="H85" s="1826">
        <f t="shared" si="10"/>
        <v>0</v>
      </c>
      <c r="I85" s="1826">
        <f t="shared" si="10"/>
        <v>671528</v>
      </c>
      <c r="J85" s="1826">
        <f t="shared" si="10"/>
        <v>0</v>
      </c>
      <c r="K85" s="1826">
        <f t="shared" si="10"/>
        <v>0</v>
      </c>
      <c r="L85" s="1826">
        <f t="shared" si="10"/>
        <v>671528</v>
      </c>
      <c r="M85" s="1826"/>
    </row>
    <row r="86" spans="2:14" ht="20.100000000000001" customHeight="1" x14ac:dyDescent="0.2">
      <c r="B86" s="1113" t="s">
        <v>2194</v>
      </c>
      <c r="C86" s="1824"/>
      <c r="D86" s="1825"/>
      <c r="E86" s="1826">
        <f>+E50+E61+E65</f>
        <v>499276</v>
      </c>
      <c r="F86" s="1826">
        <f>+F50+F61+F65</f>
        <v>379758</v>
      </c>
      <c r="G86" s="1826">
        <f t="shared" ref="G86:L86" si="11">+G50+G61+G65</f>
        <v>827104</v>
      </c>
      <c r="H86" s="1826">
        <f t="shared" si="11"/>
        <v>0</v>
      </c>
      <c r="I86" s="1826">
        <f t="shared" si="11"/>
        <v>30529</v>
      </c>
      <c r="J86" s="1826">
        <f t="shared" si="11"/>
        <v>0</v>
      </c>
      <c r="K86" s="1826">
        <f t="shared" si="11"/>
        <v>0</v>
      </c>
      <c r="L86" s="1826">
        <f t="shared" si="11"/>
        <v>857633</v>
      </c>
      <c r="M86" s="1826"/>
    </row>
    <row r="87" spans="2:14" ht="20.100000000000001" customHeight="1" x14ac:dyDescent="0.2">
      <c r="B87" s="1113" t="s">
        <v>2185</v>
      </c>
      <c r="C87" s="1824"/>
      <c r="D87" s="1825"/>
      <c r="E87" s="1826">
        <f t="shared" ref="E87:L87" si="12">SUM(E85:E86)</f>
        <v>499276</v>
      </c>
      <c r="F87" s="1826">
        <f t="shared" si="12"/>
        <v>681904</v>
      </c>
      <c r="G87" s="1826">
        <f t="shared" si="12"/>
        <v>827104</v>
      </c>
      <c r="H87" s="1826">
        <f t="shared" si="12"/>
        <v>0</v>
      </c>
      <c r="I87" s="1826">
        <f t="shared" si="12"/>
        <v>702057</v>
      </c>
      <c r="J87" s="1826">
        <f t="shared" si="12"/>
        <v>0</v>
      </c>
      <c r="K87" s="1826">
        <f t="shared" si="12"/>
        <v>0</v>
      </c>
      <c r="L87" s="1823">
        <f t="shared" si="12"/>
        <v>1529161</v>
      </c>
      <c r="M87" s="1826"/>
    </row>
    <row r="88" spans="2:14" ht="20.100000000000001" customHeight="1" x14ac:dyDescent="0.2">
      <c r="B88" s="2038"/>
      <c r="C88" s="1824"/>
      <c r="D88" s="1825"/>
      <c r="E88" s="1826"/>
      <c r="F88" s="1826"/>
      <c r="G88" s="1826"/>
      <c r="H88" s="1826"/>
      <c r="I88" s="1826"/>
      <c r="J88" s="1826"/>
      <c r="K88" s="1826"/>
      <c r="L88" s="1823"/>
      <c r="M88" s="1826"/>
    </row>
    <row r="89" spans="2:14" ht="20.100000000000001" customHeight="1" x14ac:dyDescent="0.2">
      <c r="B89" s="1113" t="s">
        <v>2199</v>
      </c>
      <c r="C89" s="1824"/>
      <c r="D89" s="1825"/>
      <c r="E89" s="1826"/>
      <c r="F89" s="1826"/>
      <c r="G89" s="1826"/>
      <c r="H89" s="1826"/>
      <c r="I89" s="1826"/>
      <c r="J89" s="1826"/>
      <c r="K89" s="1826"/>
      <c r="L89" s="1823"/>
      <c r="M89" s="1826"/>
    </row>
    <row r="90" spans="2:14" ht="20.100000000000001" customHeight="1" x14ac:dyDescent="0.2">
      <c r="B90" s="1113" t="s">
        <v>2222</v>
      </c>
      <c r="C90" s="1824"/>
      <c r="D90" s="1825"/>
      <c r="E90" s="1826">
        <v>0</v>
      </c>
      <c r="F90" s="1826">
        <f>+F71</f>
        <v>92741</v>
      </c>
      <c r="G90" s="1826">
        <f t="shared" ref="G90:L90" si="13">+G71</f>
        <v>0</v>
      </c>
      <c r="H90" s="1826">
        <f t="shared" si="13"/>
        <v>0</v>
      </c>
      <c r="I90" s="1826">
        <f t="shared" si="13"/>
        <v>92741</v>
      </c>
      <c r="J90" s="1826">
        <f t="shared" si="13"/>
        <v>0</v>
      </c>
      <c r="K90" s="1826">
        <f t="shared" si="13"/>
        <v>0</v>
      </c>
      <c r="L90" s="1826">
        <f t="shared" si="13"/>
        <v>92741</v>
      </c>
      <c r="M90" s="1826"/>
    </row>
    <row r="91" spans="2:14" ht="20.100000000000001" customHeight="1" x14ac:dyDescent="0.2">
      <c r="B91" s="1113" t="s">
        <v>2194</v>
      </c>
      <c r="C91" s="1824"/>
      <c r="D91" s="1825"/>
      <c r="E91" s="1826">
        <f>+E73</f>
        <v>76093</v>
      </c>
      <c r="F91" s="1826">
        <f>+F72</f>
        <v>39359</v>
      </c>
      <c r="G91" s="1826">
        <f t="shared" ref="G91:L91" si="14">+G72</f>
        <v>76093</v>
      </c>
      <c r="H91" s="1826">
        <f t="shared" si="14"/>
        <v>0</v>
      </c>
      <c r="I91" s="1826">
        <f t="shared" si="14"/>
        <v>39359</v>
      </c>
      <c r="J91" s="1826">
        <f t="shared" si="14"/>
        <v>0</v>
      </c>
      <c r="K91" s="1826">
        <f t="shared" si="14"/>
        <v>0</v>
      </c>
      <c r="L91" s="1826">
        <f t="shared" si="14"/>
        <v>115452</v>
      </c>
      <c r="M91" s="1826"/>
    </row>
    <row r="92" spans="2:14" ht="20.100000000000001" customHeight="1" x14ac:dyDescent="0.2">
      <c r="B92" s="1113" t="s">
        <v>2200</v>
      </c>
      <c r="C92" s="1824"/>
      <c r="D92" s="1825"/>
      <c r="E92" s="1826">
        <f t="shared" ref="E92:K92" si="15">SUM(E90:E91)</f>
        <v>76093</v>
      </c>
      <c r="F92" s="1826">
        <f t="shared" si="15"/>
        <v>132100</v>
      </c>
      <c r="G92" s="1826">
        <f t="shared" si="15"/>
        <v>76093</v>
      </c>
      <c r="H92" s="1826">
        <f t="shared" si="15"/>
        <v>0</v>
      </c>
      <c r="I92" s="1826">
        <f t="shared" si="15"/>
        <v>132100</v>
      </c>
      <c r="J92" s="1826">
        <f t="shared" si="15"/>
        <v>0</v>
      </c>
      <c r="K92" s="1826">
        <f t="shared" si="15"/>
        <v>0</v>
      </c>
      <c r="L92" s="1823">
        <f>+G92+I92+K92</f>
        <v>208193</v>
      </c>
      <c r="M92" s="1826"/>
      <c r="N92" s="1114"/>
    </row>
    <row r="93" spans="2:14" ht="12.75" customHeight="1" x14ac:dyDescent="0.2">
      <c r="B93" s="1115"/>
      <c r="C93" s="1116"/>
      <c r="D93" s="1117"/>
      <c r="E93" s="1118"/>
      <c r="F93" s="1118"/>
      <c r="G93" s="1118"/>
      <c r="H93" s="1118"/>
      <c r="I93" s="1118"/>
      <c r="J93" s="1118"/>
      <c r="K93" s="1118"/>
      <c r="L93" s="1118"/>
      <c r="M93" s="1118"/>
      <c r="N93" s="1114"/>
    </row>
    <row r="94" spans="2:14" x14ac:dyDescent="0.2">
      <c r="B94" s="1033"/>
      <c r="C94" s="1119"/>
      <c r="D94" s="1120"/>
      <c r="E94" s="1033"/>
      <c r="F94" s="1033"/>
      <c r="G94" s="1026"/>
      <c r="H94" s="1026"/>
      <c r="I94" s="1026"/>
      <c r="J94" s="1026"/>
      <c r="K94" s="1026"/>
      <c r="L94" s="1026"/>
      <c r="M94" s="1033"/>
      <c r="N94" s="1114"/>
    </row>
    <row r="95" spans="2:14" ht="13.5" customHeight="1" x14ac:dyDescent="0.2">
      <c r="B95" s="1058" t="s">
        <v>1713</v>
      </c>
      <c r="C95" s="1119"/>
      <c r="D95" s="1120"/>
      <c r="E95" s="1033"/>
      <c r="F95" s="1033"/>
      <c r="G95" s="1026"/>
      <c r="H95" s="1026"/>
      <c r="I95" s="1026"/>
      <c r="J95" s="1026"/>
      <c r="K95" s="1026"/>
      <c r="L95" s="1026"/>
      <c r="M95" s="1033"/>
      <c r="N95" s="1114"/>
    </row>
    <row r="96" spans="2:14" ht="8.25" customHeight="1" x14ac:dyDescent="0.2">
      <c r="B96" s="1058"/>
      <c r="C96" s="1119"/>
      <c r="D96" s="1120"/>
      <c r="E96" s="1033"/>
      <c r="F96" s="1033"/>
      <c r="G96" s="1026"/>
      <c r="H96" s="1026"/>
      <c r="I96" s="1026"/>
      <c r="J96" s="1026"/>
      <c r="K96" s="1026"/>
      <c r="L96" s="1026"/>
      <c r="M96" s="1033"/>
      <c r="N96" s="1114"/>
    </row>
    <row r="97" spans="2:13" x14ac:dyDescent="0.2">
      <c r="B97" s="1121" t="s">
        <v>1811</v>
      </c>
      <c r="C97" s="1122"/>
      <c r="D97" s="1123"/>
      <c r="E97" s="1124"/>
      <c r="F97" s="1124"/>
      <c r="G97" s="1124"/>
      <c r="H97" s="1124"/>
      <c r="I97" s="295"/>
      <c r="J97" s="295"/>
    </row>
    <row r="98" spans="2:13" x14ac:dyDescent="0.2">
      <c r="B98" s="1053"/>
      <c r="C98" s="1125"/>
      <c r="D98" s="1126"/>
      <c r="E98" s="1054"/>
      <c r="F98" s="1054"/>
      <c r="G98" s="295"/>
      <c r="H98" s="295"/>
      <c r="I98" s="295"/>
      <c r="J98" s="295"/>
    </row>
    <row r="99" spans="2:13" ht="13.5" customHeight="1" x14ac:dyDescent="0.2">
      <c r="B99" s="1052" t="s">
        <v>1235</v>
      </c>
      <c r="G99" s="295"/>
      <c r="H99" s="295"/>
      <c r="I99" s="295"/>
      <c r="J99" s="295"/>
    </row>
    <row r="100" spans="2:13" ht="13.5" customHeight="1" x14ac:dyDescent="0.2">
      <c r="B100" s="1129"/>
      <c r="C100" s="1130"/>
      <c r="D100" s="1131"/>
      <c r="E100" s="1073"/>
      <c r="F100" s="1073"/>
      <c r="G100" s="1073"/>
      <c r="H100" s="1073"/>
      <c r="I100" s="1073"/>
      <c r="J100" s="1073"/>
      <c r="K100" s="1132"/>
      <c r="L100" s="1132"/>
      <c r="M100" s="1073"/>
    </row>
    <row r="101" spans="2:13" ht="9.6" customHeight="1" x14ac:dyDescent="0.2">
      <c r="B101" s="1133"/>
      <c r="G101" s="295"/>
      <c r="H101" s="295"/>
      <c r="I101" s="295"/>
      <c r="J101" s="295"/>
    </row>
    <row r="102" spans="2:13" ht="11.25" customHeight="1" x14ac:dyDescent="0.2">
      <c r="B102" s="1134" t="s">
        <v>1714</v>
      </c>
      <c r="C102" s="1135"/>
      <c r="D102" s="1135"/>
      <c r="E102" s="1135"/>
      <c r="F102" s="1135"/>
      <c r="G102" s="1135"/>
      <c r="H102" s="1135"/>
      <c r="I102" s="1136"/>
      <c r="J102" s="1136"/>
      <c r="K102" s="1136"/>
      <c r="L102" s="1136"/>
      <c r="M102" s="1136"/>
    </row>
    <row r="103" spans="2:13" ht="11.25" customHeight="1" x14ac:dyDescent="0.2">
      <c r="B103" s="1137" t="s">
        <v>1567</v>
      </c>
      <c r="C103" s="1136"/>
      <c r="D103" s="1136"/>
      <c r="E103" s="1136"/>
      <c r="F103" s="1136"/>
      <c r="G103" s="1136"/>
      <c r="H103" s="1136"/>
      <c r="I103" s="1136"/>
      <c r="J103" s="1136"/>
      <c r="K103" s="1136"/>
      <c r="L103" s="1136"/>
      <c r="M103" s="1136"/>
    </row>
    <row r="104" spans="2:13" ht="3.95" customHeight="1" x14ac:dyDescent="0.2">
      <c r="B104" s="1137"/>
      <c r="C104" s="1136"/>
      <c r="D104" s="1136"/>
      <c r="E104" s="1136"/>
      <c r="F104" s="1136"/>
      <c r="G104" s="1136"/>
      <c r="H104" s="1136"/>
      <c r="I104" s="1136"/>
      <c r="J104" s="1136"/>
      <c r="K104" s="1136"/>
      <c r="L104" s="1136"/>
      <c r="M104" s="1136"/>
    </row>
    <row r="105" spans="2:13" ht="11.25" customHeight="1" x14ac:dyDescent="0.2">
      <c r="B105" s="1134" t="s">
        <v>1715</v>
      </c>
      <c r="C105" s="1136"/>
      <c r="D105" s="1136"/>
      <c r="E105" s="1136"/>
      <c r="F105" s="1136"/>
      <c r="G105" s="1136"/>
      <c r="H105" s="1136"/>
      <c r="I105" s="1136"/>
      <c r="J105" s="1136"/>
      <c r="K105" s="1136"/>
      <c r="L105" s="1136"/>
      <c r="M105" s="1136"/>
    </row>
    <row r="106" spans="2:13" ht="11.25" customHeight="1" x14ac:dyDescent="0.2">
      <c r="B106" s="1076" t="s">
        <v>1568</v>
      </c>
      <c r="C106" s="1138"/>
      <c r="D106" s="1139"/>
      <c r="E106" s="1076"/>
      <c r="F106" s="1076"/>
      <c r="G106" s="1076"/>
      <c r="H106" s="1076"/>
      <c r="I106" s="1076"/>
      <c r="J106" s="1076"/>
      <c r="K106" s="1140"/>
      <c r="L106" s="1140"/>
      <c r="M106" s="1076"/>
    </row>
    <row r="107" spans="2:13" ht="3.95" customHeight="1" x14ac:dyDescent="0.2">
      <c r="B107" s="1076"/>
      <c r="C107" s="1138"/>
      <c r="D107" s="1139"/>
      <c r="E107" s="1076"/>
      <c r="F107" s="1076"/>
      <c r="G107" s="1076"/>
      <c r="H107" s="1076"/>
      <c r="I107" s="1076"/>
      <c r="J107" s="1076"/>
      <c r="K107" s="1140"/>
      <c r="L107" s="1140"/>
      <c r="M107" s="1076"/>
    </row>
    <row r="108" spans="2:13" ht="11.25" customHeight="1" x14ac:dyDescent="0.2">
      <c r="B108" s="1141" t="s">
        <v>1716</v>
      </c>
      <c r="C108" s="1138"/>
      <c r="D108" s="1139"/>
      <c r="E108" s="1076"/>
      <c r="F108" s="1076"/>
      <c r="G108" s="1076"/>
      <c r="H108" s="1076"/>
      <c r="I108" s="1076"/>
      <c r="J108" s="1076"/>
      <c r="K108" s="1140"/>
      <c r="L108" s="1140"/>
      <c r="M108" s="1076"/>
    </row>
    <row r="109" spans="2:13" ht="3.95" customHeight="1" x14ac:dyDescent="0.2">
      <c r="B109" s="1141"/>
      <c r="C109" s="1138"/>
      <c r="D109" s="1139"/>
      <c r="E109" s="1076"/>
      <c r="F109" s="1076"/>
      <c r="G109" s="1076"/>
      <c r="H109" s="1076"/>
      <c r="I109" s="1076"/>
      <c r="J109" s="1076"/>
      <c r="K109" s="1140"/>
      <c r="L109" s="1140"/>
      <c r="M109" s="1076"/>
    </row>
    <row r="110" spans="2:13" ht="11.25" customHeight="1" x14ac:dyDescent="0.2">
      <c r="B110" s="1142" t="s">
        <v>1717</v>
      </c>
      <c r="C110" s="1138"/>
      <c r="D110" s="1139"/>
      <c r="E110" s="1076"/>
      <c r="F110" s="1076"/>
      <c r="G110" s="1076"/>
      <c r="H110" s="1076"/>
      <c r="I110" s="1076"/>
      <c r="J110" s="1076"/>
      <c r="K110" s="1140"/>
      <c r="L110" s="1140"/>
      <c r="M110" s="1076"/>
    </row>
    <row r="111" spans="2:13" ht="11.25" customHeight="1" x14ac:dyDescent="0.2">
      <c r="B111" s="1076" t="s">
        <v>1569</v>
      </c>
      <c r="G111" s="295"/>
      <c r="H111" s="295"/>
      <c r="I111" s="295"/>
      <c r="J111" s="295"/>
    </row>
    <row r="112" spans="2:13" ht="11.1" customHeight="1" x14ac:dyDescent="0.2">
      <c r="B112" s="1076"/>
      <c r="G112" s="295"/>
      <c r="H112" s="295"/>
      <c r="I112" s="295"/>
      <c r="J112" s="295"/>
    </row>
    <row r="113" spans="2:13" ht="11.1" customHeight="1" x14ac:dyDescent="0.2">
      <c r="B113" s="1076"/>
      <c r="G113" s="295"/>
      <c r="H113" s="295"/>
      <c r="I113" s="295"/>
      <c r="J113" s="295"/>
    </row>
    <row r="114" spans="2:13" ht="13.5" customHeight="1" x14ac:dyDescent="0.2">
      <c r="M114" s="1143"/>
    </row>
    <row r="115" spans="2:13" ht="13.5" customHeight="1" x14ac:dyDescent="0.2">
      <c r="M115" s="1143"/>
    </row>
    <row r="116" spans="2:13" ht="13.5" customHeight="1" x14ac:dyDescent="0.2">
      <c r="M116" s="1143"/>
    </row>
    <row r="117" spans="2:13" ht="13.5" customHeight="1" x14ac:dyDescent="0.2">
      <c r="G117" s="295"/>
      <c r="H117" s="295"/>
      <c r="I117" s="295"/>
      <c r="J117" s="295"/>
    </row>
    <row r="118" spans="2:13" ht="13.5" customHeight="1" x14ac:dyDescent="0.2">
      <c r="G118" s="295"/>
      <c r="H118" s="295"/>
      <c r="I118" s="295"/>
      <c r="J118" s="295"/>
    </row>
    <row r="119" spans="2:13" ht="13.5" customHeight="1" x14ac:dyDescent="0.2">
      <c r="G119" s="295"/>
      <c r="H119" s="295"/>
      <c r="I119" s="295"/>
      <c r="J119" s="295"/>
    </row>
    <row r="120" spans="2:13" ht="13.5" customHeight="1" x14ac:dyDescent="0.2">
      <c r="G120" s="295"/>
      <c r="H120" s="295"/>
      <c r="I120" s="295"/>
      <c r="J120" s="295"/>
    </row>
    <row r="121" spans="2:13" ht="13.5" customHeight="1" x14ac:dyDescent="0.2">
      <c r="G121" s="295"/>
      <c r="H121" s="295"/>
      <c r="I121" s="295"/>
      <c r="J121" s="295"/>
    </row>
    <row r="122" spans="2:13" ht="13.5" customHeight="1" x14ac:dyDescent="0.2">
      <c r="G122" s="295"/>
      <c r="H122" s="295"/>
      <c r="I122" s="295"/>
      <c r="J122" s="295"/>
    </row>
    <row r="123" spans="2:13" ht="13.5" customHeight="1" x14ac:dyDescent="0.2">
      <c r="G123" s="295"/>
      <c r="H123" s="295"/>
      <c r="I123" s="295"/>
      <c r="J123" s="295"/>
    </row>
    <row r="124" spans="2:13" ht="13.5" customHeight="1" x14ac:dyDescent="0.2"/>
    <row r="125" spans="2:13" ht="13.5" customHeight="1" x14ac:dyDescent="0.2"/>
    <row r="126" spans="2:13" ht="13.5" customHeight="1" x14ac:dyDescent="0.2"/>
    <row r="127" spans="2:13" ht="25.5" customHeight="1" x14ac:dyDescent="0.2"/>
    <row r="128" spans="2:13" ht="25.5" customHeight="1" x14ac:dyDescent="0.2"/>
    <row r="129" ht="25.5" customHeight="1" x14ac:dyDescent="0.2"/>
    <row r="130" ht="25.5" customHeight="1" x14ac:dyDescent="0.2"/>
    <row r="131" ht="25.5" customHeight="1" x14ac:dyDescent="0.2"/>
    <row r="132" ht="25.5" customHeight="1" x14ac:dyDescent="0.2"/>
    <row r="133" ht="25.5" customHeight="1" x14ac:dyDescent="0.2"/>
    <row r="134" ht="25.5" customHeight="1" x14ac:dyDescent="0.2"/>
    <row r="135" ht="25.5" customHeight="1" x14ac:dyDescent="0.2"/>
    <row r="136" ht="25.5" customHeight="1" x14ac:dyDescent="0.2"/>
    <row r="137" ht="25.5" customHeight="1" x14ac:dyDescent="0.2"/>
    <row r="138" ht="25.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4.7" customHeight="1" x14ac:dyDescent="0.2"/>
    <row r="177" ht="12.2"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4.7" customHeight="1" x14ac:dyDescent="0.2"/>
    <row r="21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L14" sqref="L1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 Chicago Heights SD 170</v>
      </c>
      <c r="B1" s="2589"/>
      <c r="C1" s="2589"/>
      <c r="D1" s="2589"/>
      <c r="E1" s="2589"/>
      <c r="F1" s="2589"/>
    </row>
    <row r="2" spans="1:7" ht="13.5" customHeight="1" x14ac:dyDescent="0.2">
      <c r="A2" s="2577">
        <f>'Single Audit Cover'!E7</f>
        <v>7016170002</v>
      </c>
      <c r="B2" s="2577"/>
      <c r="C2" s="2577"/>
      <c r="D2" s="2577"/>
      <c r="E2" s="2577"/>
      <c r="F2" s="2577"/>
      <c r="G2" s="1051"/>
    </row>
    <row r="3" spans="1:7" ht="15.75" customHeight="1" x14ac:dyDescent="0.2">
      <c r="A3" s="2590" t="s">
        <v>1260</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52" t="s">
        <v>1705</v>
      </c>
      <c r="C6" s="295"/>
      <c r="D6" s="295"/>
    </row>
    <row r="7" spans="1:7" ht="60.95" customHeight="1" x14ac:dyDescent="0.2">
      <c r="A7" s="2588" t="s">
        <v>2255</v>
      </c>
      <c r="B7" s="2588"/>
      <c r="C7" s="2588"/>
      <c r="D7" s="2588"/>
      <c r="E7" s="2588"/>
      <c r="F7" s="258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2050</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8" t="s">
        <v>1707</v>
      </c>
      <c r="B13" s="2588"/>
      <c r="C13" s="2588"/>
      <c r="D13" s="2588"/>
      <c r="E13" s="2588"/>
      <c r="F13" s="2588"/>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t="s">
        <v>2214</v>
      </c>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2" t="s">
        <v>1708</v>
      </c>
      <c r="B32" s="2582"/>
      <c r="C32" s="2582"/>
      <c r="D32" s="2582"/>
      <c r="E32" s="2582"/>
      <c r="F32" s="2582"/>
    </row>
    <row r="33" spans="1:6" ht="13.5" customHeight="1" x14ac:dyDescent="0.2">
      <c r="A33" s="306" t="s">
        <v>1417</v>
      </c>
      <c r="B33" s="306"/>
      <c r="C33" s="1064">
        <v>150715</v>
      </c>
      <c r="D33" s="1526"/>
      <c r="E33" s="1062"/>
    </row>
    <row r="34" spans="1:6" ht="13.5" customHeight="1" x14ac:dyDescent="0.2">
      <c r="A34" s="306" t="s">
        <v>1810</v>
      </c>
      <c r="B34" s="306"/>
      <c r="C34" s="1065">
        <v>0</v>
      </c>
      <c r="D34" s="1526" t="s">
        <v>1572</v>
      </c>
      <c r="E34" s="2583">
        <f>+C33+C34</f>
        <v>150715</v>
      </c>
      <c r="F34" s="258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1573</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77" colorId="8" zoomScaleNormal="100" workbookViewId="0">
      <selection activeCell="J117" sqref="J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1158</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8" t="s">
        <v>1616</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2050</v>
      </c>
      <c r="C53" s="174">
        <v>22</v>
      </c>
      <c r="D53" s="242" t="s">
        <v>1445</v>
      </c>
      <c r="E53" s="243"/>
      <c r="F53" s="244"/>
      <c r="G53" s="244" t="s">
        <v>1444</v>
      </c>
      <c r="H53" s="245">
        <v>34335</v>
      </c>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t="s">
        <v>2251</v>
      </c>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1312</v>
      </c>
      <c r="B70" s="2181"/>
      <c r="C70" s="2181"/>
      <c r="D70" s="2181"/>
      <c r="E70" s="2182"/>
      <c r="F70" s="2182"/>
      <c r="G70" s="2182"/>
      <c r="H70" s="2182"/>
      <c r="I70" s="218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1309</v>
      </c>
      <c r="B83" s="2183"/>
      <c r="C83" s="2183"/>
      <c r="D83" s="218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4" t="s">
        <v>1988</v>
      </c>
      <c r="B85" s="2194"/>
      <c r="C85" s="2194"/>
      <c r="D85" s="219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6" t="s">
        <v>1988</v>
      </c>
      <c r="B88" s="2197"/>
      <c r="C88" s="2197"/>
      <c r="D88" s="219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2252</v>
      </c>
      <c r="D114" s="217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1319</v>
      </c>
      <c r="D117" s="2176"/>
      <c r="E117" s="2177"/>
      <c r="F117" s="2177"/>
      <c r="G117" s="2177"/>
      <c r="H117" s="2177"/>
      <c r="I117" s="282"/>
    </row>
    <row r="118" spans="1:9" s="176" customFormat="1" ht="24" customHeight="1" x14ac:dyDescent="0.2">
      <c r="A118" s="294"/>
      <c r="B118" s="294"/>
      <c r="C118" s="294"/>
      <c r="D118" s="301" t="s">
        <v>2256</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5" zoomScale="110" zoomScaleNormal="110" workbookViewId="0">
      <selection activeCell="P41" sqref="P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 Chicago Heights SD 170</v>
      </c>
      <c r="C1" s="2604"/>
      <c r="D1" s="2604"/>
      <c r="E1" s="2604"/>
      <c r="F1" s="2604"/>
      <c r="G1" s="2604"/>
      <c r="H1" s="2604"/>
      <c r="I1" s="2604"/>
      <c r="J1" s="1178"/>
    </row>
    <row r="2" spans="2:10" s="295" customFormat="1" ht="12.75" customHeight="1" x14ac:dyDescent="0.2">
      <c r="B2" s="2605">
        <f>'Single Audit Cover'!E7</f>
        <v>7016170002</v>
      </c>
      <c r="C2" s="2606"/>
      <c r="D2" s="2606"/>
      <c r="E2" s="2606"/>
      <c r="F2" s="2606"/>
      <c r="G2" s="2606"/>
      <c r="H2" s="2606"/>
      <c r="I2" s="2606"/>
      <c r="J2" s="1178"/>
    </row>
    <row r="3" spans="2:10" s="295" customFormat="1" ht="12.75" customHeight="1" x14ac:dyDescent="0.2">
      <c r="B3" s="2607" t="s">
        <v>1274</v>
      </c>
      <c r="C3" s="2608"/>
      <c r="D3" s="2608"/>
      <c r="E3" s="2608"/>
      <c r="F3" s="2608"/>
      <c r="G3" s="2608"/>
      <c r="H3" s="2608"/>
      <c r="I3" s="2608"/>
      <c r="J3" s="1179"/>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7" t="s">
        <v>1273</v>
      </c>
      <c r="C7" s="2608"/>
      <c r="D7" s="2608"/>
      <c r="E7" s="2608"/>
      <c r="F7" s="2608"/>
      <c r="G7" s="2608"/>
      <c r="H7" s="2608"/>
      <c r="I7" s="260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9" t="s">
        <v>1154</v>
      </c>
      <c r="D11" s="260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2050</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2050</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0" t="s">
        <v>2225</v>
      </c>
      <c r="E29" s="2610"/>
      <c r="F29" s="2610"/>
      <c r="G29" s="2610"/>
      <c r="H29" s="2610"/>
      <c r="I29" s="261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2050</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11" t="s">
        <v>1727</v>
      </c>
      <c r="D37" s="2612"/>
      <c r="E37" s="2612"/>
      <c r="F37" s="2613"/>
      <c r="G37" s="2611" t="s">
        <v>1575</v>
      </c>
      <c r="H37" s="2612"/>
      <c r="I37" s="2613"/>
    </row>
    <row r="38" spans="2:9" ht="16.5" customHeight="1" x14ac:dyDescent="0.2">
      <c r="B38" s="1200">
        <v>84.01</v>
      </c>
      <c r="C38" s="2599" t="s">
        <v>2226</v>
      </c>
      <c r="D38" s="2600"/>
      <c r="E38" s="2600"/>
      <c r="F38" s="2601"/>
      <c r="G38" s="2614">
        <v>2604176</v>
      </c>
      <c r="H38" s="2615"/>
      <c r="I38" s="2616"/>
    </row>
    <row r="39" spans="2:9" ht="16.5" customHeight="1" x14ac:dyDescent="0.2">
      <c r="B39" s="1200">
        <v>84.027000000000001</v>
      </c>
      <c r="C39" s="2599" t="s">
        <v>2227</v>
      </c>
      <c r="D39" s="2600"/>
      <c r="E39" s="2600"/>
      <c r="F39" s="2601"/>
      <c r="G39" s="2602">
        <v>702057</v>
      </c>
      <c r="H39" s="2602"/>
      <c r="I39" s="2602"/>
    </row>
    <row r="40" spans="2:9" ht="16.5" customHeight="1" x14ac:dyDescent="0.2">
      <c r="B40" s="1200"/>
      <c r="C40" s="2599"/>
      <c r="D40" s="2600"/>
      <c r="E40" s="2600"/>
      <c r="F40" s="2601"/>
      <c r="G40" s="2602"/>
      <c r="H40" s="2602"/>
      <c r="I40" s="2602"/>
    </row>
    <row r="41" spans="2:9" ht="16.5" customHeight="1" x14ac:dyDescent="0.2">
      <c r="B41" s="1200"/>
      <c r="C41" s="2599"/>
      <c r="D41" s="2600"/>
      <c r="E41" s="2600"/>
      <c r="F41" s="2601"/>
      <c r="G41" s="2602"/>
      <c r="H41" s="2602"/>
      <c r="I41" s="2602"/>
    </row>
    <row r="42" spans="2:9" ht="16.5" customHeight="1" x14ac:dyDescent="0.2">
      <c r="B42" s="1200"/>
      <c r="C42" s="2599"/>
      <c r="D42" s="2600"/>
      <c r="E42" s="2600"/>
      <c r="F42" s="2601"/>
      <c r="G42" s="2602"/>
      <c r="H42" s="2602"/>
      <c r="I42" s="2602"/>
    </row>
    <row r="43" spans="2:9" ht="16.5" customHeight="1" x14ac:dyDescent="0.2">
      <c r="B43" s="1200"/>
      <c r="C43" s="2592" t="s">
        <v>1576</v>
      </c>
      <c r="D43" s="2593"/>
      <c r="E43" s="2593"/>
      <c r="F43" s="2594"/>
      <c r="G43" s="2595">
        <f>SUM(G38:I42)</f>
        <v>3306233</v>
      </c>
      <c r="H43" s="2595"/>
      <c r="I43" s="2595"/>
    </row>
    <row r="44" spans="2:9" ht="12.75" customHeight="1" x14ac:dyDescent="0.2"/>
    <row r="45" spans="2:9" ht="12.75" customHeight="1" x14ac:dyDescent="0.2">
      <c r="B45" s="1917" t="str">
        <f>"Total Federal Expenditures for 7/1/"&amp;MID('AFR20'!E2,3,2)-1&amp;"-6/30/"&amp;MID('AFR20'!E2,3,2)</f>
        <v>Total Federal Expenditures for 7/1/19-6/30/20</v>
      </c>
      <c r="C45" s="1918"/>
      <c r="D45" s="2596">
        <f>' SEFA'!I77</f>
        <v>5418003</v>
      </c>
      <c r="E45" s="2597"/>
    </row>
    <row r="46" spans="2:9" ht="5.25" customHeight="1" x14ac:dyDescent="0.2">
      <c r="B46" s="1201"/>
      <c r="D46" s="1202"/>
      <c r="E46" s="1203"/>
    </row>
    <row r="47" spans="2:9" ht="12.75" customHeight="1" x14ac:dyDescent="0.2">
      <c r="B47" s="1076" t="s">
        <v>1577</v>
      </c>
      <c r="C47" s="1076"/>
      <c r="D47" s="1204">
        <f>+G43/D45</f>
        <v>0.61023092825899139</v>
      </c>
      <c r="E47" s="1205"/>
      <c r="F47" s="1206"/>
      <c r="I47" s="1207"/>
    </row>
    <row r="48" spans="2:9" ht="9.9499999999999993" customHeight="1" x14ac:dyDescent="0.2"/>
    <row r="49" spans="1:9" x14ac:dyDescent="0.2">
      <c r="B49" s="1138" t="s">
        <v>1262</v>
      </c>
      <c r="C49" s="1058"/>
      <c r="D49" s="1058"/>
      <c r="E49" s="2598">
        <v>750000</v>
      </c>
      <c r="F49" s="2598"/>
      <c r="G49" s="2598"/>
      <c r="H49" s="300"/>
    </row>
    <row r="51" spans="1:9" ht="13.5" customHeight="1" x14ac:dyDescent="0.2">
      <c r="B51" s="1138" t="s">
        <v>1261</v>
      </c>
      <c r="C51" s="1058"/>
      <c r="E51" s="1194"/>
      <c r="F51" s="1076" t="s">
        <v>879</v>
      </c>
      <c r="G51" s="1194" t="s">
        <v>2050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Chicago Heights SD 170</v>
      </c>
      <c r="C1" s="2603"/>
      <c r="D1" s="2603"/>
      <c r="E1" s="2603"/>
      <c r="F1" s="2603"/>
      <c r="G1" s="2603"/>
      <c r="H1" s="2603"/>
      <c r="I1" s="2603"/>
      <c r="J1" s="2603"/>
      <c r="K1" s="2603"/>
      <c r="L1" s="1144"/>
      <c r="M1" s="1144"/>
    </row>
    <row r="2" spans="1:13" ht="12" customHeight="1" x14ac:dyDescent="0.2">
      <c r="B2" s="2605">
        <f>'Single Audit Cover'!E7</f>
        <v>7016170002</v>
      </c>
      <c r="C2" s="2605"/>
      <c r="D2" s="2605"/>
      <c r="E2" s="2605"/>
      <c r="F2" s="2605"/>
      <c r="G2" s="2605"/>
      <c r="H2" s="2605"/>
      <c r="I2" s="2605"/>
      <c r="J2" s="2605"/>
      <c r="K2" s="2605"/>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1</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60" customHeight="1" x14ac:dyDescent="0.2">
      <c r="B14" s="2618" t="s">
        <v>2233</v>
      </c>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54" customHeight="1" x14ac:dyDescent="0.2">
      <c r="B17" s="2618" t="s">
        <v>2230</v>
      </c>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25" t="s">
        <v>2231</v>
      </c>
      <c r="C20" s="2625"/>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8" t="s">
        <v>2228</v>
      </c>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4" t="s">
        <v>2214</v>
      </c>
      <c r="C26" s="2624"/>
      <c r="D26" s="2624"/>
      <c r="E26" s="2624"/>
      <c r="F26" s="2624"/>
      <c r="G26" s="2624"/>
      <c r="H26" s="2624"/>
      <c r="I26" s="2624"/>
      <c r="J26" s="2624"/>
      <c r="K26" s="262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60" customHeight="1" x14ac:dyDescent="0.2">
      <c r="B29" s="2617" t="s">
        <v>2229</v>
      </c>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19" t="s">
        <v>2232</v>
      </c>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29:K29"/>
    <mergeCell ref="B32:K32"/>
    <mergeCell ref="B1:K1"/>
    <mergeCell ref="B2:K2"/>
    <mergeCell ref="B3:K3"/>
    <mergeCell ref="B4:K4"/>
    <mergeCell ref="B7:K7"/>
    <mergeCell ref="B26:K26"/>
    <mergeCell ref="B14:K14"/>
    <mergeCell ref="B17:K17"/>
    <mergeCell ref="B20:K20"/>
    <mergeCell ref="B23:K23"/>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workbookViewId="0">
      <selection activeCell="P29" sqref="P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Chicago Heights SD 170</v>
      </c>
      <c r="C1" s="2603"/>
      <c r="D1" s="2603"/>
      <c r="E1" s="2603"/>
      <c r="F1" s="2603"/>
      <c r="G1" s="2603"/>
      <c r="H1" s="2603"/>
      <c r="I1" s="2603"/>
      <c r="J1" s="2603"/>
      <c r="K1" s="2603"/>
      <c r="L1" s="1144"/>
      <c r="M1" s="1144"/>
    </row>
    <row r="2" spans="1:13" ht="12" customHeight="1" x14ac:dyDescent="0.2">
      <c r="B2" s="2605">
        <f>'Single Audit Cover'!E7</f>
        <v>7016170002</v>
      </c>
      <c r="C2" s="2605"/>
      <c r="D2" s="2605"/>
      <c r="E2" s="2605"/>
      <c r="F2" s="2605"/>
      <c r="G2" s="2605"/>
      <c r="H2" s="2605"/>
      <c r="I2" s="2605"/>
      <c r="J2" s="2605"/>
      <c r="K2" s="2605"/>
      <c r="L2" s="1145"/>
      <c r="M2" s="1146"/>
    </row>
    <row r="3" spans="1:13" ht="10.35" customHeight="1" x14ac:dyDescent="0.2">
      <c r="B3" s="2621" t="s">
        <v>1274</v>
      </c>
      <c r="C3" s="2621"/>
      <c r="D3" s="2621"/>
      <c r="E3" s="2621"/>
      <c r="F3" s="2621"/>
      <c r="G3" s="2621"/>
      <c r="H3" s="2621"/>
      <c r="I3" s="2621"/>
      <c r="J3" s="2621"/>
      <c r="K3" s="2621"/>
      <c r="L3" s="2043"/>
      <c r="M3" s="2043"/>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2</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60" customHeight="1" x14ac:dyDescent="0.2">
      <c r="B14" s="2626" t="s">
        <v>2235</v>
      </c>
      <c r="C14" s="2626"/>
      <c r="D14" s="2626"/>
      <c r="E14" s="2626"/>
      <c r="F14" s="2626"/>
      <c r="G14" s="2626"/>
      <c r="H14" s="2626"/>
      <c r="I14" s="2626"/>
      <c r="J14" s="2626"/>
      <c r="K14" s="262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54" customHeight="1" x14ac:dyDescent="0.2">
      <c r="B17" s="2626" t="s">
        <v>2234</v>
      </c>
      <c r="C17" s="2626"/>
      <c r="D17" s="2626"/>
      <c r="E17" s="2626"/>
      <c r="F17" s="2626"/>
      <c r="G17" s="2626"/>
      <c r="H17" s="2626"/>
      <c r="I17" s="2626"/>
      <c r="J17" s="2626"/>
      <c r="K17" s="2626"/>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25" t="s">
        <v>2214</v>
      </c>
      <c r="C20" s="2625"/>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6" t="s">
        <v>2237</v>
      </c>
      <c r="C23" s="2626"/>
      <c r="D23" s="2626"/>
      <c r="E23" s="2626"/>
      <c r="F23" s="2626"/>
      <c r="G23" s="2626"/>
      <c r="H23" s="2626"/>
      <c r="I23" s="2626"/>
      <c r="J23" s="2626"/>
      <c r="K23" s="262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4" t="s">
        <v>2214</v>
      </c>
      <c r="C26" s="2624"/>
      <c r="D26" s="2624"/>
      <c r="E26" s="2624"/>
      <c r="F26" s="2624"/>
      <c r="G26" s="2624"/>
      <c r="H26" s="2624"/>
      <c r="I26" s="2624"/>
      <c r="J26" s="2624"/>
      <c r="K26" s="262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60" customHeight="1" x14ac:dyDescent="0.2">
      <c r="B29" s="2626" t="s">
        <v>2236</v>
      </c>
      <c r="C29" s="2626"/>
      <c r="D29" s="2626"/>
      <c r="E29" s="2626"/>
      <c r="F29" s="2626"/>
      <c r="G29" s="2626"/>
      <c r="H29" s="2626"/>
      <c r="I29" s="2626"/>
      <c r="J29" s="2626"/>
      <c r="K29" s="262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19" t="s">
        <v>2238</v>
      </c>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20:K20"/>
    <mergeCell ref="B26:K26"/>
    <mergeCell ref="B17:K17"/>
    <mergeCell ref="B23:K23"/>
    <mergeCell ref="B29:K29"/>
  </mergeCells>
  <pageMargins left="0.7" right="0.7" top="0.75" bottom="0.75" header="0.3" footer="0.3"/>
  <pageSetup scale="90"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O20" sqref="O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Chicago Heights SD 170</v>
      </c>
      <c r="C1" s="2630"/>
      <c r="D1" s="2630"/>
      <c r="E1" s="2630"/>
      <c r="F1" s="2630"/>
      <c r="G1" s="2630"/>
      <c r="H1" s="2630"/>
      <c r="I1" s="2630"/>
      <c r="J1" s="2630"/>
      <c r="K1" s="2630"/>
      <c r="L1" s="1221"/>
    </row>
    <row r="2" spans="1:12" ht="12.75" customHeight="1" x14ac:dyDescent="0.2">
      <c r="B2" s="2631">
        <f>'Single Audit Cover'!E7</f>
        <v>7016170002</v>
      </c>
      <c r="C2" s="2631"/>
      <c r="D2" s="2631"/>
      <c r="E2" s="2631"/>
      <c r="F2" s="2631"/>
      <c r="G2" s="2631"/>
      <c r="H2" s="2631"/>
      <c r="I2" s="2631"/>
      <c r="J2" s="2631"/>
      <c r="K2" s="2631"/>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32" t="s">
        <v>1297</v>
      </c>
      <c r="C6" s="2632"/>
      <c r="D6" s="2632"/>
      <c r="E6" s="2632"/>
      <c r="F6" s="2632"/>
      <c r="G6" s="2632"/>
      <c r="H6" s="2632"/>
      <c r="I6" s="2632"/>
      <c r="J6" s="2632"/>
      <c r="K6" s="2632"/>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0"/>
      <c r="G12" s="2610"/>
      <c r="H12" s="2610"/>
      <c r="I12" s="2610"/>
      <c r="J12" s="2610"/>
      <c r="K12" s="261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4"/>
      <c r="C20" s="2624"/>
      <c r="D20" s="2624"/>
      <c r="E20" s="2624"/>
      <c r="F20" s="2624"/>
      <c r="G20" s="2624"/>
      <c r="H20" s="2624"/>
      <c r="I20" s="2624"/>
      <c r="J20" s="2624"/>
      <c r="K20" s="262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57"/>
  <sheetViews>
    <sheetView showGridLines="0" topLeftCell="A10" zoomScale="110" zoomScaleNormal="110" workbookViewId="0">
      <selection activeCell="A16" sqref="A16:XFD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3" t="str">
        <f>'Single Audit Cover'!A7</f>
        <v xml:space="preserve"> Chicago Heights SD 170</v>
      </c>
      <c r="C1" s="2603"/>
      <c r="D1" s="2603"/>
      <c r="E1" s="1240"/>
    </row>
    <row r="2" spans="2:5" s="1058" customFormat="1" ht="12.75" customHeight="1" x14ac:dyDescent="0.2">
      <c r="B2" s="2605">
        <f>'Single Audit Cover'!E7</f>
        <v>7016170002</v>
      </c>
      <c r="C2" s="2605"/>
      <c r="D2" s="2605"/>
      <c r="E2" s="1241"/>
    </row>
    <row r="3" spans="2:5" ht="12.75" customHeight="1" x14ac:dyDescent="0.2">
      <c r="B3" s="2621" t="s">
        <v>1742</v>
      </c>
      <c r="C3" s="2621"/>
      <c r="D3" s="2621"/>
      <c r="E3" s="1050"/>
    </row>
    <row r="4" spans="2:5" s="1058" customFormat="1" ht="12.75" customHeight="1" x14ac:dyDescent="0.2">
      <c r="B4" s="2633" t="str">
        <f>'Single Audit Cover'!A4</f>
        <v>Year Ending June 30, 2020</v>
      </c>
      <c r="C4" s="2633"/>
      <c r="D4" s="2633"/>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78.75" customHeight="1" x14ac:dyDescent="0.2">
      <c r="B7" s="1245" t="s">
        <v>2239</v>
      </c>
      <c r="C7" s="2045" t="s">
        <v>2241</v>
      </c>
      <c r="D7" s="2045" t="s">
        <v>2242</v>
      </c>
      <c r="E7" s="302"/>
    </row>
    <row r="8" spans="2:5" ht="54.75" customHeight="1" x14ac:dyDescent="0.2">
      <c r="B8" s="1245" t="s">
        <v>2243</v>
      </c>
      <c r="C8" s="2045" t="s">
        <v>2240</v>
      </c>
      <c r="D8" s="2045" t="s">
        <v>2244</v>
      </c>
      <c r="E8" s="302"/>
    </row>
    <row r="9" spans="2:5" ht="56.25" customHeight="1" x14ac:dyDescent="0.2">
      <c r="B9" s="1246" t="s">
        <v>2245</v>
      </c>
      <c r="C9" s="2046" t="s">
        <v>2246</v>
      </c>
      <c r="D9" s="2046" t="s">
        <v>2249</v>
      </c>
      <c r="E9" s="301"/>
    </row>
    <row r="10" spans="2:5" ht="64.5" customHeight="1" x14ac:dyDescent="0.2">
      <c r="B10" s="1245" t="s">
        <v>2247</v>
      </c>
      <c r="C10" s="2046" t="s">
        <v>2248</v>
      </c>
      <c r="D10" s="2046" t="s">
        <v>2250</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7"/>
      <c r="C16" s="301"/>
      <c r="D16" s="301"/>
      <c r="E16" s="301"/>
    </row>
    <row r="17" spans="2:5" ht="13.5" customHeight="1" x14ac:dyDescent="0.2">
      <c r="B17" s="1248"/>
      <c r="C17" s="301"/>
      <c r="D17" s="301"/>
      <c r="E17" s="301"/>
    </row>
    <row r="18" spans="2:5" ht="13.5" customHeight="1" x14ac:dyDescent="0.2">
      <c r="B18" s="1249"/>
      <c r="C18" s="301"/>
      <c r="D18" s="301"/>
      <c r="E18" s="301"/>
    </row>
    <row r="19" spans="2:5" ht="13.5" customHeight="1" x14ac:dyDescent="0.2">
      <c r="B19" s="1248"/>
      <c r="C19" s="301"/>
      <c r="D19" s="301"/>
      <c r="E19" s="301"/>
    </row>
    <row r="20" spans="2:5" ht="13.5" customHeight="1" x14ac:dyDescent="0.2">
      <c r="B20" s="1249"/>
      <c r="C20" s="301"/>
      <c r="D20" s="301"/>
      <c r="E20" s="301"/>
    </row>
    <row r="21" spans="2:5" ht="13.5" customHeight="1" x14ac:dyDescent="0.2">
      <c r="B21" s="1249"/>
      <c r="C21" s="301"/>
      <c r="D21" s="301"/>
      <c r="E21" s="301"/>
    </row>
    <row r="22" spans="2:5" ht="13.5" customHeight="1" x14ac:dyDescent="0.2">
      <c r="B22" s="1248"/>
      <c r="C22" s="301"/>
      <c r="D22" s="301"/>
      <c r="E22" s="301"/>
    </row>
    <row r="23" spans="2:5" ht="13.5" customHeight="1" x14ac:dyDescent="0.2">
      <c r="B23" s="1249"/>
      <c r="C23" s="301"/>
      <c r="D23" s="301"/>
      <c r="E23" s="301"/>
    </row>
    <row r="24" spans="2:5" ht="13.5" customHeight="1" x14ac:dyDescent="0.2">
      <c r="B24" s="1248"/>
      <c r="C24" s="301"/>
      <c r="D24" s="301"/>
      <c r="E24" s="301"/>
    </row>
    <row r="25" spans="2:5" ht="13.5" customHeight="1" x14ac:dyDescent="0.2">
      <c r="B25" s="1250"/>
      <c r="C25" s="301"/>
      <c r="D25" s="301"/>
      <c r="E25" s="301"/>
    </row>
    <row r="26" spans="2:5" ht="13.5" customHeight="1" x14ac:dyDescent="0.2">
      <c r="B26" s="1251"/>
      <c r="C26" s="301"/>
      <c r="D26" s="301"/>
      <c r="E26" s="301"/>
    </row>
    <row r="27" spans="2:5" ht="12.75" customHeight="1" x14ac:dyDescent="0.2">
      <c r="B27" s="1252"/>
      <c r="C27" s="1253"/>
      <c r="D27" s="1253"/>
      <c r="E27" s="301"/>
    </row>
    <row r="28" spans="2:5" ht="12.2" customHeight="1" x14ac:dyDescent="0.2">
      <c r="B28" s="1033" t="s">
        <v>1302</v>
      </c>
      <c r="C28" s="300"/>
    </row>
    <row r="29" spans="2:5" ht="12.2" customHeight="1" x14ac:dyDescent="0.2">
      <c r="B29" s="1254" t="s">
        <v>1745</v>
      </c>
    </row>
    <row r="30" spans="2:5" ht="12.2" customHeight="1" x14ac:dyDescent="0.2">
      <c r="B30" s="1254" t="s">
        <v>1746</v>
      </c>
    </row>
    <row r="31" spans="2:5" ht="12.2" customHeight="1" x14ac:dyDescent="0.2">
      <c r="B31" s="1255" t="s">
        <v>1301</v>
      </c>
    </row>
    <row r="32" spans="2:5" ht="12.2" customHeight="1" x14ac:dyDescent="0.2">
      <c r="B32" s="1255" t="s">
        <v>1300</v>
      </c>
    </row>
    <row r="33" spans="2:5" ht="12.2" customHeight="1" x14ac:dyDescent="0.2">
      <c r="B33" s="1255" t="s">
        <v>1299</v>
      </c>
    </row>
    <row r="34" spans="2:5" ht="12.2" customHeight="1" x14ac:dyDescent="0.2">
      <c r="B34" s="1255" t="s">
        <v>1298</v>
      </c>
    </row>
    <row r="37" spans="2:5" ht="12.75" customHeight="1" x14ac:dyDescent="0.2"/>
    <row r="38" spans="2:5" ht="12.75" customHeight="1" x14ac:dyDescent="0.2">
      <c r="B38" s="1043"/>
    </row>
    <row r="39" spans="2:5" ht="12.75" customHeight="1" x14ac:dyDescent="0.2"/>
    <row r="40" spans="2:5" ht="12.75" customHeight="1" x14ac:dyDescent="0.2">
      <c r="B40" s="300"/>
      <c r="C40" s="300"/>
      <c r="D40" s="300"/>
      <c r="E40" s="300"/>
    </row>
    <row r="41" spans="2:5" ht="12.75" customHeight="1" x14ac:dyDescent="0.2">
      <c r="B41" s="300"/>
      <c r="C41" s="300"/>
      <c r="D41" s="300"/>
      <c r="E41" s="300"/>
    </row>
    <row r="42" spans="2:5" ht="12.75" customHeight="1" x14ac:dyDescent="0.2">
      <c r="B42" s="300"/>
      <c r="C42" s="300"/>
      <c r="D42" s="300"/>
      <c r="E42" s="300"/>
    </row>
    <row r="43" spans="2:5" ht="12.75" customHeight="1" x14ac:dyDescent="0.2">
      <c r="B43" s="300"/>
      <c r="C43" s="300"/>
      <c r="D43" s="300"/>
      <c r="E43" s="300"/>
    </row>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51" spans="2:2" x14ac:dyDescent="0.2">
      <c r="B51" s="1175"/>
    </row>
    <row r="52" spans="2:2" x14ac:dyDescent="0.2">
      <c r="B52" s="1076"/>
    </row>
    <row r="53" spans="2:2" x14ac:dyDescent="0.2">
      <c r="B53" s="1076"/>
    </row>
    <row r="54" spans="2:2" x14ac:dyDescent="0.2">
      <c r="B54" s="1176"/>
    </row>
    <row r="55" spans="2:2" x14ac:dyDescent="0.2">
      <c r="B55" s="1176"/>
    </row>
    <row r="56" spans="2:2" x14ac:dyDescent="0.2">
      <c r="B56" s="1176"/>
    </row>
    <row r="57" spans="2:2" x14ac:dyDescent="0.2">
      <c r="B57"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258545182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3.5719000000000001E-2</v>
      </c>
      <c r="E10" s="333" t="s">
        <v>998</v>
      </c>
      <c r="F10" s="332">
        <v>4.8710000000000003E-3</v>
      </c>
      <c r="G10" s="333" t="s">
        <v>998</v>
      </c>
      <c r="H10" s="332">
        <v>2.637E-3</v>
      </c>
      <c r="I10" s="333" t="s">
        <v>999</v>
      </c>
      <c r="J10" s="1424">
        <f>ROUND(D10+F10+H10,5)</f>
        <v>4.3229999999999998E-2</v>
      </c>
      <c r="K10" s="217"/>
      <c r="L10" s="332">
        <v>4.3300000000000001E-4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44749784</v>
      </c>
      <c r="E16" s="1547"/>
      <c r="F16" s="1546">
        <f>SUM('Acct Summary 7-8'!C17,'Acct Summary 7-8'!D17,'Acct Summary 7-8'!F17)</f>
        <v>43020380</v>
      </c>
      <c r="G16" s="1547"/>
      <c r="H16" s="1546">
        <f>SUM(D16-F16)</f>
        <v>1729404</v>
      </c>
      <c r="I16" s="1548"/>
      <c r="J16" s="1546">
        <f>SUM('Acct Summary 7-8'!C81,'Acct Summary 7-8'!D81,'Acct Summary 7-8'!F81,'Acct Summary 7-8'!I81)</f>
        <v>34146261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2253</v>
      </c>
      <c r="C31" s="344" t="s">
        <v>582</v>
      </c>
      <c r="D31" s="232" t="s">
        <v>1063</v>
      </c>
      <c r="E31" s="217"/>
      <c r="F31" s="217"/>
      <c r="G31" s="340"/>
      <c r="H31" s="1425">
        <f>IF(B31="X",(J7*0.069),IF(B32="X",(J7*0.138),"Enter x in a.or b."))</f>
        <v>17839617.558000002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52800000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7" sqref="F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1396</v>
      </c>
      <c r="B3" s="2219"/>
      <c r="C3" s="2219"/>
      <c r="D3" s="2219"/>
      <c r="E3" s="2219"/>
      <c r="F3" s="2219"/>
      <c r="G3" s="2219"/>
      <c r="H3" s="2219"/>
      <c r="I3" s="2219"/>
      <c r="J3" s="2219"/>
      <c r="K3" s="2219"/>
      <c r="L3" s="2219"/>
      <c r="M3" s="2219"/>
      <c r="N3" s="2219"/>
      <c r="O3" s="2219"/>
      <c r="P3" s="2219"/>
      <c r="Q3" s="2219"/>
      <c r="R3" s="2219"/>
    </row>
    <row r="4" spans="1:18" x14ac:dyDescent="0.2">
      <c r="A4" s="2220" t="s">
        <v>1537</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Chicago Heights SD 170</v>
      </c>
      <c r="E7" s="368"/>
      <c r="G7" s="247"/>
      <c r="H7" s="364"/>
      <c r="I7" s="364"/>
      <c r="J7" s="364"/>
      <c r="K7" s="364"/>
      <c r="L7" s="307"/>
      <c r="M7" s="307"/>
      <c r="N7" s="307"/>
      <c r="O7" s="307"/>
      <c r="P7" s="307"/>
    </row>
    <row r="8" spans="1:18" ht="12.75" x14ac:dyDescent="0.2">
      <c r="A8" s="307"/>
      <c r="B8" s="307"/>
      <c r="C8" s="366" t="s">
        <v>1115</v>
      </c>
      <c r="D8" s="369">
        <f>COVER!A13</f>
        <v>7016170002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33885667</v>
      </c>
      <c r="I12" s="380"/>
      <c r="J12" s="380"/>
      <c r="K12" s="1559">
        <f>TRUNC((H12/H13*100000),5)/100000</f>
        <v>0.7572252639</v>
      </c>
      <c r="L12" s="381"/>
      <c r="M12" s="337" t="s">
        <v>1134</v>
      </c>
      <c r="N12" s="337"/>
      <c r="O12" s="1562">
        <v>0.35</v>
      </c>
      <c r="P12" s="213"/>
      <c r="Q12" s="213"/>
    </row>
    <row r="13" spans="1:18" s="382" customFormat="1" ht="12.75" x14ac:dyDescent="0.2">
      <c r="A13" s="213"/>
      <c r="B13" s="377"/>
      <c r="C13" s="2216" t="s">
        <v>1313</v>
      </c>
      <c r="D13" s="2217"/>
      <c r="E13" s="213"/>
      <c r="F13" s="383" t="s">
        <v>788</v>
      </c>
      <c r="G13" s="378"/>
      <c r="H13" s="1551">
        <f>SUM('Acct Summary 7-8'!C8+'Acct Summary 7-8'!D8+'Acct Summary 7-8'!F8+'Acct Summary 7-8'!I8)+H14</f>
        <v>44749784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43020380</v>
      </c>
      <c r="I17" s="380"/>
      <c r="J17" s="389"/>
      <c r="K17" s="1559">
        <f>TRUNC((H17/H18*100000),5)/100000</f>
        <v>0.96135391399999992</v>
      </c>
      <c r="L17" s="381"/>
      <c r="M17" s="390" t="s">
        <v>1161</v>
      </c>
      <c r="O17" s="1565" t="str">
        <f>IF(AND(O16="2", J20 &gt; 2),"1",IF(AND(O16 = "1", J20 &gt; 2),"2",IF(AND(O16="1", J20 &gt;1),"1","0")))</f>
        <v>0</v>
      </c>
      <c r="P17" s="213"/>
    </row>
    <row r="18" spans="1:18" s="382" customFormat="1" ht="11.25" x14ac:dyDescent="0.2">
      <c r="A18" s="213"/>
      <c r="B18" s="377"/>
      <c r="C18" s="2216" t="s">
        <v>1306</v>
      </c>
      <c r="D18" s="2217"/>
      <c r="E18" s="213"/>
      <c r="F18" s="391" t="s">
        <v>789</v>
      </c>
      <c r="G18" s="378"/>
      <c r="H18" s="1551">
        <f>SUM('Acct Summary 7-8'!C8+'Acct Summary 7-8'!D8+'Acct Summary 7-8'!F8+'Acct Summary 7-8'!I8)+H19</f>
        <v>44749784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3" t="s">
        <v>1395</v>
      </c>
      <c r="D24" s="2213"/>
      <c r="E24" s="213"/>
      <c r="F24" s="213" t="s">
        <v>442</v>
      </c>
      <c r="G24" s="378"/>
      <c r="H24" s="1551">
        <f>SUM('Assets-Liab 5-6'!C4+'Assets-Liab 5-6'!D4+'Assets-Liab 5-6'!F4+'Assets-Liab 5-6'!I4+'Assets-Liab 5-6'!C5+'Assets-Liab 5-6'!D5+'Assets-Liab 5-6'!F5+'Assets-Liab 5-6'!I5)</f>
        <v>34146261</v>
      </c>
      <c r="I24" s="394"/>
      <c r="J24" s="394"/>
      <c r="K24" s="1555">
        <f>TRUNC(((H24/H25*100000)/100000),2)</f>
        <v>285.74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119501.05555999999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9500371.9851799998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52800000</v>
      </c>
      <c r="I32" s="392"/>
      <c r="J32" s="392"/>
      <c r="K32" s="1555">
        <f>TRUNC(100-((((H32/H33*100))*100)/100),2)</f>
        <v>-195.97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17839617.558000002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E1" colorId="8" zoomScale="110" zoomScaleNormal="110" workbookViewId="0">
      <pane ySplit="2" topLeftCell="A9" activePane="bottomLeft" state="frozen"/>
      <selection pane="bottomLeft" activeCell="P22" sqref="P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3" t="s">
        <v>967</v>
      </c>
      <c r="B3" s="2224"/>
      <c r="C3" s="1306"/>
      <c r="D3" s="1307"/>
      <c r="E3" s="1307"/>
      <c r="F3" s="1307"/>
      <c r="G3" s="1307"/>
      <c r="H3" s="1307"/>
      <c r="I3" s="1307"/>
      <c r="J3" s="1307"/>
      <c r="K3" s="1307"/>
      <c r="L3" s="1307"/>
      <c r="M3" s="1308"/>
      <c r="N3" s="1309"/>
    </row>
    <row r="4" spans="1:14" ht="13.5" customHeight="1" x14ac:dyDescent="0.2">
      <c r="A4" s="427" t="s">
        <v>1632</v>
      </c>
      <c r="B4" s="428"/>
      <c r="C4" s="1572"/>
      <c r="D4" s="1573"/>
      <c r="E4" s="1573"/>
      <c r="F4" s="1573"/>
      <c r="G4" s="1573"/>
      <c r="H4" s="1573"/>
      <c r="I4" s="1573"/>
      <c r="J4" s="1574"/>
      <c r="K4" s="1573"/>
      <c r="L4" s="1573"/>
      <c r="M4" s="1575"/>
      <c r="N4" s="1576"/>
    </row>
    <row r="5" spans="1:14" x14ac:dyDescent="0.2">
      <c r="A5" s="427" t="s">
        <v>985</v>
      </c>
      <c r="B5" s="429">
        <v>120</v>
      </c>
      <c r="C5" s="1572">
        <f>21570283+835721</f>
        <v>22406004</v>
      </c>
      <c r="D5" s="1573">
        <v>1708497</v>
      </c>
      <c r="E5" s="1573">
        <v>512618</v>
      </c>
      <c r="F5" s="1573">
        <v>2119475</v>
      </c>
      <c r="G5" s="1573">
        <v>0</v>
      </c>
      <c r="H5" s="1573">
        <v>4144580</v>
      </c>
      <c r="I5" s="1573">
        <v>7912285</v>
      </c>
      <c r="J5" s="1574">
        <v>634569</v>
      </c>
      <c r="K5" s="1577">
        <v>504102</v>
      </c>
      <c r="L5" s="1578">
        <v>55321</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22406004</v>
      </c>
      <c r="D13" s="1587">
        <f t="shared" ref="D13:L13" si="0">SUM(D4:D12)</f>
        <v>1708497</v>
      </c>
      <c r="E13" s="1587">
        <f t="shared" si="0"/>
        <v>512618</v>
      </c>
      <c r="F13" s="1587">
        <f t="shared" si="0"/>
        <v>2119475</v>
      </c>
      <c r="G13" s="1587">
        <f t="shared" si="0"/>
        <v>0</v>
      </c>
      <c r="H13" s="1587">
        <f t="shared" si="0"/>
        <v>4144580</v>
      </c>
      <c r="I13" s="1587">
        <f t="shared" si="0"/>
        <v>7912285</v>
      </c>
      <c r="J13" s="1587">
        <f t="shared" si="0"/>
        <v>634569</v>
      </c>
      <c r="K13" s="1587">
        <f t="shared" si="0"/>
        <v>504102</v>
      </c>
      <c r="L13" s="1587">
        <f t="shared" si="0"/>
        <v>55321</v>
      </c>
      <c r="M13" s="1575"/>
      <c r="N13" s="1576"/>
    </row>
    <row r="14" spans="1:14" ht="18" customHeight="1" thickTop="1" x14ac:dyDescent="0.2">
      <c r="A14" s="2225" t="s">
        <v>146</v>
      </c>
      <c r="B14" s="222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462004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16010639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955361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2035355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45473123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512618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52287382</v>
      </c>
    </row>
    <row r="23" spans="1:14" ht="13.5" customHeight="1" thickBot="1" x14ac:dyDescent="0.25">
      <c r="A23" s="1426" t="s">
        <v>638</v>
      </c>
      <c r="B23" s="1429"/>
      <c r="C23" s="1575"/>
      <c r="D23" s="1575"/>
      <c r="E23" s="1575"/>
      <c r="F23" s="1575"/>
      <c r="G23" s="1575"/>
      <c r="H23" s="1575"/>
      <c r="I23" s="1575"/>
      <c r="J23" s="1575"/>
      <c r="K23" s="1575"/>
      <c r="L23" s="1575"/>
      <c r="M23" s="1594">
        <f>SUM(M15:M22)</f>
        <v>64936482</v>
      </c>
      <c r="N23" s="1594">
        <f>SUM(N21:N22)</f>
        <v>52800000</v>
      </c>
    </row>
    <row r="24" spans="1:14" ht="18" customHeight="1" thickTop="1" x14ac:dyDescent="0.2">
      <c r="A24" s="2227" t="s">
        <v>594</v>
      </c>
      <c r="B24" s="222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v>0</v>
      </c>
      <c r="D28" s="1574">
        <v>0</v>
      </c>
      <c r="E28" s="1579">
        <v>0</v>
      </c>
      <c r="F28" s="1574">
        <v>0</v>
      </c>
      <c r="G28" s="1579"/>
      <c r="H28" s="1579">
        <v>0</v>
      </c>
      <c r="I28" s="1574"/>
      <c r="J28" s="1574">
        <v>0</v>
      </c>
      <c r="K28" s="1584">
        <v>0</v>
      </c>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0</v>
      </c>
      <c r="D30" s="1579">
        <v>0</v>
      </c>
      <c r="E30" s="1574"/>
      <c r="F30" s="1574">
        <v>0</v>
      </c>
      <c r="G30" s="1574"/>
      <c r="H30" s="1574"/>
      <c r="I30" s="1574"/>
      <c r="J30" s="1574">
        <v>0</v>
      </c>
      <c r="K30" s="1583"/>
      <c r="L30" s="1575"/>
      <c r="M30" s="1575"/>
      <c r="N30" s="1575"/>
    </row>
    <row r="31" spans="1:14" ht="13.5" customHeight="1" x14ac:dyDescent="0.2">
      <c r="A31" s="430" t="s">
        <v>646</v>
      </c>
      <c r="B31" s="429">
        <v>480</v>
      </c>
      <c r="C31" s="1573">
        <v>0</v>
      </c>
      <c r="D31" s="1574">
        <v>0</v>
      </c>
      <c r="E31" s="1574"/>
      <c r="F31" s="1573">
        <v>0</v>
      </c>
      <c r="G31" s="1574"/>
      <c r="H31" s="1574"/>
      <c r="I31" s="1574"/>
      <c r="J31" s="1574">
        <v>0</v>
      </c>
      <c r="K31" s="1574"/>
      <c r="L31" s="1575"/>
      <c r="M31" s="1575"/>
      <c r="N31" s="1575"/>
    </row>
    <row r="32" spans="1:14" ht="13.5" customHeight="1" x14ac:dyDescent="0.2">
      <c r="A32" s="434" t="s">
        <v>647</v>
      </c>
      <c r="B32" s="435">
        <v>490</v>
      </c>
      <c r="C32" s="1599"/>
      <c r="D32" s="1599"/>
      <c r="E32" s="1579"/>
      <c r="F32" s="1579"/>
      <c r="G32" s="1579">
        <v>260594</v>
      </c>
      <c r="H32" s="1579"/>
      <c r="I32" s="1579"/>
      <c r="J32" s="1579"/>
      <c r="K32" s="1584"/>
      <c r="L32" s="1575"/>
      <c r="M32" s="1575"/>
      <c r="N32" s="1575"/>
    </row>
    <row r="33" spans="1:14" ht="13.5" customHeight="1" x14ac:dyDescent="0.2">
      <c r="A33" s="436" t="s">
        <v>300</v>
      </c>
      <c r="B33" s="435">
        <v>493</v>
      </c>
      <c r="C33" s="1574">
        <v>0</v>
      </c>
      <c r="D33" s="1574"/>
      <c r="E33" s="1574">
        <v>0</v>
      </c>
      <c r="F33" s="1574"/>
      <c r="G33" s="1574"/>
      <c r="H33" s="1574"/>
      <c r="I33" s="1574"/>
      <c r="J33" s="1574"/>
      <c r="K33" s="1574"/>
      <c r="L33" s="1574">
        <v>55321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260594</v>
      </c>
      <c r="H34" s="1600">
        <f t="shared" si="1"/>
        <v>0</v>
      </c>
      <c r="I34" s="1600">
        <f t="shared" si="1"/>
        <v>0</v>
      </c>
      <c r="J34" s="1600">
        <f t="shared" si="1"/>
        <v>0</v>
      </c>
      <c r="K34" s="1600">
        <f t="shared" si="1"/>
        <v>0</v>
      </c>
      <c r="L34" s="1601">
        <f>SUM(L33)</f>
        <v>55321</v>
      </c>
      <c r="M34" s="1575"/>
      <c r="N34" s="1585"/>
    </row>
    <row r="35" spans="1:14" ht="18" customHeight="1" thickTop="1" x14ac:dyDescent="0.2">
      <c r="A35" s="2229" t="s">
        <v>526</v>
      </c>
      <c r="B35" s="223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52800000</v>
      </c>
    </row>
    <row r="37" spans="1:14" ht="13.5" thickBot="1" x14ac:dyDescent="0.25">
      <c r="A37" s="1426" t="s">
        <v>648</v>
      </c>
      <c r="B37" s="1429"/>
      <c r="C37" s="1582"/>
      <c r="D37" s="1582"/>
      <c r="E37" s="1582"/>
      <c r="F37" s="1582"/>
      <c r="G37" s="1582"/>
      <c r="H37" s="1582"/>
      <c r="I37" s="1582"/>
      <c r="J37" s="1582"/>
      <c r="K37" s="1582"/>
      <c r="L37" s="1585"/>
      <c r="M37" s="1575"/>
      <c r="N37" s="1594">
        <f>SUM(N36:N36)</f>
        <v>52800000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22406004</v>
      </c>
      <c r="D39" s="1573">
        <v>1708497</v>
      </c>
      <c r="E39" s="1573">
        <v>512618</v>
      </c>
      <c r="F39" s="1573">
        <v>2119475</v>
      </c>
      <c r="G39" s="1573">
        <v>-260594</v>
      </c>
      <c r="H39" s="1573">
        <v>4144580</v>
      </c>
      <c r="I39" s="1573">
        <v>7912285</v>
      </c>
      <c r="J39" s="1574">
        <v>634569</v>
      </c>
      <c r="K39" s="1573">
        <v>504102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64936482</v>
      </c>
      <c r="N40" s="1604"/>
    </row>
    <row r="41" spans="1:14" ht="13.5" customHeight="1" thickBot="1" x14ac:dyDescent="0.25">
      <c r="A41" s="1426" t="s">
        <v>650</v>
      </c>
      <c r="B41" s="1405"/>
      <c r="C41" s="1594">
        <f>(SUM(C34,C37,C38,C39))</f>
        <v>22406004</v>
      </c>
      <c r="D41" s="1594">
        <f t="shared" ref="D41:L41" si="2">SUM(D34,D37,D38:D39)</f>
        <v>1708497</v>
      </c>
      <c r="E41" s="1594">
        <f t="shared" si="2"/>
        <v>512618</v>
      </c>
      <c r="F41" s="1594">
        <f t="shared" si="2"/>
        <v>2119475</v>
      </c>
      <c r="G41" s="1594">
        <f t="shared" si="2"/>
        <v>0</v>
      </c>
      <c r="H41" s="1594">
        <f t="shared" si="2"/>
        <v>4144580</v>
      </c>
      <c r="I41" s="1594">
        <f t="shared" si="2"/>
        <v>7912285</v>
      </c>
      <c r="J41" s="1594">
        <f t="shared" si="2"/>
        <v>634569</v>
      </c>
      <c r="K41" s="1594">
        <f t="shared" si="2"/>
        <v>504102</v>
      </c>
      <c r="L41" s="1594">
        <f t="shared" si="2"/>
        <v>55321</v>
      </c>
      <c r="M41" s="1594">
        <f>SUM(M40)</f>
        <v>64936482</v>
      </c>
      <c r="N41" s="1594">
        <f>SUM(N37)</f>
        <v>52800000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E72" sqref="E7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1" t="s">
        <v>1165</v>
      </c>
      <c r="B3" s="2252"/>
      <c r="C3" s="1311"/>
      <c r="D3" s="1312"/>
      <c r="E3" s="1312"/>
      <c r="F3" s="1312"/>
      <c r="G3" s="1312"/>
      <c r="H3" s="1312"/>
      <c r="I3" s="1312"/>
      <c r="J3" s="1312"/>
      <c r="K3" s="1313"/>
      <c r="L3" s="446"/>
    </row>
    <row r="4" spans="1:13" ht="15.75" customHeight="1" x14ac:dyDescent="0.2">
      <c r="A4" s="1537" t="s">
        <v>1482</v>
      </c>
      <c r="B4" s="1538">
        <v>1000</v>
      </c>
      <c r="C4" s="1606">
        <f>'Revenues 9-14'!C109</f>
        <v>10451033</v>
      </c>
      <c r="D4" s="1606">
        <f>'Revenues 9-14'!D109</f>
        <v>926915</v>
      </c>
      <c r="E4" s="1606">
        <f>'Revenues 9-14'!E109</f>
        <v>566077</v>
      </c>
      <c r="F4" s="1606">
        <f>'Revenues 9-14'!F109</f>
        <v>492877</v>
      </c>
      <c r="G4" s="1606">
        <f>'Revenues 9-14'!G109</f>
        <v>1604180</v>
      </c>
      <c r="H4" s="1606">
        <f>'Revenues 9-14'!H109</f>
        <v>410318</v>
      </c>
      <c r="I4" s="1606">
        <f>'Revenues 9-14'!I109</f>
        <v>85753</v>
      </c>
      <c r="J4" s="1606">
        <f>'Revenues 9-14'!J109</f>
        <v>15708</v>
      </c>
      <c r="K4" s="1606">
        <f>'Revenues 9-14'!K109</f>
        <v>7333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25236874</v>
      </c>
      <c r="D6" s="1607">
        <f>'Revenues 9-14'!D170</f>
        <v>1609818</v>
      </c>
      <c r="E6" s="1607">
        <f>'Revenues 9-14'!E170</f>
        <v>1000000</v>
      </c>
      <c r="F6" s="1607">
        <f>'Revenues 9-14'!F170</f>
        <v>538553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5407961</v>
      </c>
      <c r="D7" s="1607">
        <f>'Revenues 9-14'!D267</f>
        <v>0</v>
      </c>
      <c r="E7" s="1607">
        <f>'Revenues 9-14'!E267</f>
        <v>890631</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41095868</v>
      </c>
      <c r="D8" s="1594">
        <f t="shared" ref="D8:K8" si="0">SUM(D4:D7)</f>
        <v>2536733</v>
      </c>
      <c r="E8" s="1594">
        <f t="shared" si="0"/>
        <v>2456708</v>
      </c>
      <c r="F8" s="1594">
        <f t="shared" si="0"/>
        <v>1031430</v>
      </c>
      <c r="G8" s="1594">
        <f t="shared" si="0"/>
        <v>1604180</v>
      </c>
      <c r="H8" s="1594">
        <f t="shared" si="0"/>
        <v>410318</v>
      </c>
      <c r="I8" s="1594">
        <f t="shared" si="0"/>
        <v>85753</v>
      </c>
      <c r="J8" s="1594">
        <f t="shared" si="0"/>
        <v>15708</v>
      </c>
      <c r="K8" s="1594">
        <f t="shared" si="0"/>
        <v>7333</v>
      </c>
      <c r="L8" s="325"/>
    </row>
    <row r="9" spans="1:13" ht="15.75" thickTop="1" x14ac:dyDescent="0.2">
      <c r="A9" s="449" t="s">
        <v>1634</v>
      </c>
      <c r="B9" s="450">
        <v>3998</v>
      </c>
      <c r="C9" s="1586">
        <v>15041098</v>
      </c>
      <c r="D9" s="1613"/>
      <c r="E9" s="1586"/>
      <c r="F9" s="1586"/>
      <c r="G9" s="1614"/>
      <c r="H9" s="1586"/>
      <c r="I9" s="1609" t="s">
        <v>1159</v>
      </c>
      <c r="J9" s="1583"/>
      <c r="K9" s="1586"/>
      <c r="L9" s="325"/>
    </row>
    <row r="10" spans="1:13" s="452" customFormat="1" ht="13.5" thickBot="1" x14ac:dyDescent="0.25">
      <c r="A10" s="1426" t="s">
        <v>1163</v>
      </c>
      <c r="B10" s="1407"/>
      <c r="C10" s="1594">
        <f>SUM(C8:C9)</f>
        <v>56136966</v>
      </c>
      <c r="D10" s="1594">
        <f t="shared" ref="D10:K10" si="1">SUM(D8:D9)</f>
        <v>2536733</v>
      </c>
      <c r="E10" s="1594">
        <f t="shared" si="1"/>
        <v>2456708</v>
      </c>
      <c r="F10" s="1594">
        <f t="shared" si="1"/>
        <v>1031430</v>
      </c>
      <c r="G10" s="1594">
        <f t="shared" si="1"/>
        <v>1604180</v>
      </c>
      <c r="H10" s="1594">
        <f t="shared" si="1"/>
        <v>410318</v>
      </c>
      <c r="I10" s="1594">
        <f t="shared" si="1"/>
        <v>85753</v>
      </c>
      <c r="J10" s="1594">
        <f t="shared" si="1"/>
        <v>15708</v>
      </c>
      <c r="K10" s="1594">
        <f t="shared" si="1"/>
        <v>7333</v>
      </c>
      <c r="L10" s="451"/>
    </row>
    <row r="11" spans="1:13" s="452" customFormat="1" ht="16.7" customHeight="1" thickTop="1" x14ac:dyDescent="0.2">
      <c r="A11" s="2225" t="s">
        <v>1166</v>
      </c>
      <c r="B11" s="2226"/>
      <c r="C11" s="1602"/>
      <c r="D11" s="1603"/>
      <c r="E11" s="1603"/>
      <c r="F11" s="1603"/>
      <c r="G11" s="1603"/>
      <c r="H11" s="1603"/>
      <c r="I11" s="1603"/>
      <c r="J11" s="1603"/>
      <c r="K11" s="1615"/>
      <c r="L11" s="451"/>
    </row>
    <row r="12" spans="1:13" ht="15.75" customHeight="1" x14ac:dyDescent="0.2">
      <c r="A12" s="1314" t="s">
        <v>453</v>
      </c>
      <c r="B12" s="1316">
        <v>1000</v>
      </c>
      <c r="C12" s="1606">
        <f>'Expenditures 15-22'!K33</f>
        <v>24824562</v>
      </c>
      <c r="D12" s="1616" t="s">
        <v>1159</v>
      </c>
      <c r="E12" s="1575" t="s">
        <v>1159</v>
      </c>
      <c r="F12" s="1575" t="s">
        <v>1159</v>
      </c>
      <c r="G12" s="1606">
        <f>'Expenditures 15-22'!K229</f>
        <v>799867</v>
      </c>
      <c r="H12" s="1617"/>
      <c r="I12" s="1575" t="s">
        <v>1159</v>
      </c>
      <c r="J12" s="1575" t="s">
        <v>1159</v>
      </c>
      <c r="K12" s="1617" t="s">
        <v>1159</v>
      </c>
      <c r="L12" s="325"/>
    </row>
    <row r="13" spans="1:13" ht="15.75" customHeight="1" x14ac:dyDescent="0.2">
      <c r="A13" s="1314" t="s">
        <v>454</v>
      </c>
      <c r="B13" s="1316">
        <v>2000</v>
      </c>
      <c r="C13" s="1607">
        <f>'Expenditures 15-22'!K74</f>
        <v>12284194</v>
      </c>
      <c r="D13" s="1607">
        <f>'Expenditures 15-22'!K129</f>
        <v>2479713</v>
      </c>
      <c r="E13" s="1576" t="s">
        <v>1159</v>
      </c>
      <c r="F13" s="1607">
        <f>'Expenditures 15-22'!K184</f>
        <v>1410248</v>
      </c>
      <c r="G13" s="1607">
        <f>'Expenditures 15-22'!K279</f>
        <v>788320</v>
      </c>
      <c r="H13" s="1607">
        <f>'Expenditures 15-22'!K303</f>
        <v>32962540</v>
      </c>
      <c r="I13" s="1575" t="s">
        <v>1159</v>
      </c>
      <c r="J13" s="1607">
        <f>'Expenditures 15-22'!K330</f>
        <v>0</v>
      </c>
      <c r="K13" s="1618">
        <f>'Expenditures 15-22'!K352</f>
        <v>-132</v>
      </c>
      <c r="L13" s="325"/>
    </row>
    <row r="14" spans="1:13" ht="15.75" customHeight="1" x14ac:dyDescent="0.2">
      <c r="A14" s="1314" t="s">
        <v>446</v>
      </c>
      <c r="B14" s="1316">
        <v>3000</v>
      </c>
      <c r="C14" s="1607">
        <f>'Expenditures 15-22'!K75</f>
        <v>301976</v>
      </c>
      <c r="D14" s="1607">
        <f>'Expenditures 15-22'!K130</f>
        <v>0</v>
      </c>
      <c r="E14" s="1616" t="s">
        <v>1159</v>
      </c>
      <c r="F14" s="1607">
        <f>'Expenditures 15-22'!K185</f>
        <v>0</v>
      </c>
      <c r="G14" s="1607">
        <f>'Expenditures 15-22'!K280</f>
        <v>22266</v>
      </c>
      <c r="H14" s="1612"/>
      <c r="I14" s="1575" t="s">
        <v>1159</v>
      </c>
      <c r="J14" s="1575" t="s">
        <v>1159</v>
      </c>
      <c r="K14" s="1612" t="s">
        <v>1159</v>
      </c>
      <c r="L14" s="325"/>
    </row>
    <row r="15" spans="1:13" ht="15.75" customHeight="1" x14ac:dyDescent="0.2">
      <c r="A15" s="1314" t="s">
        <v>107</v>
      </c>
      <c r="B15" s="1316">
        <v>4000</v>
      </c>
      <c r="C15" s="1607">
        <f>'Expenditures 15-22'!K102</f>
        <v>1719687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2487650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39130419</v>
      </c>
      <c r="D17" s="1594">
        <f t="shared" si="2"/>
        <v>2479713</v>
      </c>
      <c r="E17" s="1594">
        <f t="shared" si="2"/>
        <v>2487650</v>
      </c>
      <c r="F17" s="1594">
        <f t="shared" si="2"/>
        <v>1410248</v>
      </c>
      <c r="G17" s="1594">
        <f t="shared" si="2"/>
        <v>1610453</v>
      </c>
      <c r="H17" s="1594">
        <f t="shared" si="2"/>
        <v>32962540</v>
      </c>
      <c r="I17" s="1575"/>
      <c r="J17" s="1594">
        <f>SUM(J12:J16)</f>
        <v>0</v>
      </c>
      <c r="K17" s="1594">
        <f>SUM(K12:K16)</f>
        <v>-132</v>
      </c>
      <c r="L17" s="325"/>
    </row>
    <row r="18" spans="1:12" ht="15" customHeight="1" thickTop="1" x14ac:dyDescent="0.2">
      <c r="A18" s="1430" t="s">
        <v>1635</v>
      </c>
      <c r="B18" s="1431">
        <v>4180</v>
      </c>
      <c r="C18" s="1606">
        <f t="shared" ref="C18:H18" si="3">C9</f>
        <v>15041098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54171517</v>
      </c>
      <c r="D19" s="1594">
        <f t="shared" si="4"/>
        <v>2479713</v>
      </c>
      <c r="E19" s="1594">
        <f t="shared" si="4"/>
        <v>2487650</v>
      </c>
      <c r="F19" s="1594">
        <f t="shared" si="4"/>
        <v>1410248</v>
      </c>
      <c r="G19" s="1594">
        <f t="shared" si="4"/>
        <v>1610453</v>
      </c>
      <c r="H19" s="1594">
        <f t="shared" si="4"/>
        <v>32962540</v>
      </c>
      <c r="I19" s="1575"/>
      <c r="J19" s="1594">
        <f>SUM(J17:J18)</f>
        <v>0</v>
      </c>
      <c r="K19" s="1594">
        <f>SUM(K17:K18)</f>
        <v>-132</v>
      </c>
      <c r="L19" s="325"/>
    </row>
    <row r="20" spans="1:12" ht="16.5" thickTop="1" thickBot="1" x14ac:dyDescent="0.25">
      <c r="A20" s="2241" t="s">
        <v>1636</v>
      </c>
      <c r="B20" s="2242"/>
      <c r="C20" s="1622">
        <f>C8-C17</f>
        <v>1965449</v>
      </c>
      <c r="D20" s="1622">
        <f t="shared" ref="D20:K20" si="5">D8-D17</f>
        <v>57020</v>
      </c>
      <c r="E20" s="1622">
        <f t="shared" si="5"/>
        <v>-30942</v>
      </c>
      <c r="F20" s="1622">
        <f t="shared" si="5"/>
        <v>-378818</v>
      </c>
      <c r="G20" s="1622">
        <f t="shared" si="5"/>
        <v>-6273</v>
      </c>
      <c r="H20" s="1622">
        <f t="shared" si="5"/>
        <v>-32552222</v>
      </c>
      <c r="I20" s="1622">
        <f t="shared" si="5"/>
        <v>85753</v>
      </c>
      <c r="J20" s="1622">
        <f t="shared" si="5"/>
        <v>15708</v>
      </c>
      <c r="K20" s="1622">
        <f t="shared" si="5"/>
        <v>7465</v>
      </c>
      <c r="L20" s="325"/>
    </row>
    <row r="21" spans="1:12" ht="16.7" customHeight="1" thickTop="1" x14ac:dyDescent="0.2">
      <c r="A21" s="2253" t="s">
        <v>591</v>
      </c>
      <c r="B21" s="2254"/>
      <c r="C21" s="1602"/>
      <c r="D21" s="1603"/>
      <c r="E21" s="1603"/>
      <c r="F21" s="1603"/>
      <c r="G21" s="1603"/>
      <c r="H21" s="1603"/>
      <c r="I21" s="1603"/>
      <c r="J21" s="1603"/>
      <c r="K21" s="1615"/>
      <c r="L21" s="453"/>
    </row>
    <row r="22" spans="1:12" ht="15.75" customHeight="1" collapsed="1" x14ac:dyDescent="0.2">
      <c r="A22" s="2249" t="s">
        <v>592</v>
      </c>
      <c r="B22" s="2250"/>
      <c r="C22" s="1582"/>
      <c r="D22" s="1582"/>
      <c r="E22" s="1582"/>
      <c r="F22" s="1582"/>
      <c r="G22" s="1582"/>
      <c r="H22" s="1582"/>
      <c r="I22" s="1582"/>
      <c r="J22" s="1582"/>
      <c r="K22" s="1582"/>
      <c r="L22" s="325"/>
    </row>
    <row r="23" spans="1:12" s="433" customFormat="1" ht="15.75" customHeight="1" x14ac:dyDescent="0.2">
      <c r="A23" s="2245" t="s">
        <v>290</v>
      </c>
      <c r="B23" s="224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47" t="s">
        <v>974</v>
      </c>
      <c r="B32" s="2248"/>
      <c r="C32" s="1582"/>
      <c r="D32" s="1582"/>
      <c r="E32" s="1580"/>
      <c r="F32" s="1582"/>
      <c r="G32" s="1582"/>
      <c r="H32" s="1582"/>
      <c r="I32" s="1582"/>
      <c r="J32" s="1582"/>
      <c r="K32" s="1582"/>
      <c r="L32" s="453"/>
    </row>
    <row r="33" spans="1:12" s="433" customFormat="1" x14ac:dyDescent="0.2">
      <c r="A33" s="1260" t="s">
        <v>409</v>
      </c>
      <c r="B33" s="454">
        <v>7210</v>
      </c>
      <c r="C33" s="1574"/>
      <c r="D33" s="1574"/>
      <c r="E33" s="1574">
        <v>0</v>
      </c>
      <c r="F33" s="1574"/>
      <c r="G33" s="1582"/>
      <c r="H33" s="1574">
        <v>0</v>
      </c>
      <c r="I33" s="1574">
        <v>0</v>
      </c>
      <c r="J33" s="1574"/>
      <c r="K33" s="1574"/>
      <c r="L33" s="453"/>
    </row>
    <row r="34" spans="1:12" s="433" customFormat="1" x14ac:dyDescent="0.2">
      <c r="A34" s="1260" t="s">
        <v>994</v>
      </c>
      <c r="B34" s="454">
        <v>7220</v>
      </c>
      <c r="C34" s="1574"/>
      <c r="D34" s="1574"/>
      <c r="E34" s="1574">
        <v>0</v>
      </c>
      <c r="F34" s="1574"/>
      <c r="G34" s="1582"/>
      <c r="H34" s="1583">
        <v>0</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5" t="s">
        <v>371</v>
      </c>
      <c r="B44" s="225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9" t="s">
        <v>108</v>
      </c>
      <c r="B45" s="2250"/>
      <c r="C45" s="1625"/>
      <c r="D45" s="1625"/>
      <c r="E45" s="1625"/>
      <c r="F45" s="1625"/>
      <c r="G45" s="1625"/>
      <c r="H45" s="1625"/>
      <c r="I45" s="1625"/>
      <c r="J45" s="1625"/>
      <c r="K45" s="1625"/>
      <c r="L45" s="325"/>
    </row>
    <row r="46" spans="1:12" s="433" customFormat="1" ht="15.75" customHeight="1" x14ac:dyDescent="0.2">
      <c r="A46" s="2257" t="s">
        <v>109</v>
      </c>
      <c r="B46" s="225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1" t="s">
        <v>437</v>
      </c>
      <c r="B76" s="223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3" t="s">
        <v>1167</v>
      </c>
      <c r="B77" s="223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7" t="s">
        <v>593</v>
      </c>
      <c r="B78" s="2238"/>
      <c r="C78" s="1629">
        <f t="shared" ref="C78:K78" si="9">C20+C77</f>
        <v>1965449</v>
      </c>
      <c r="D78" s="1629">
        <f t="shared" si="9"/>
        <v>57020</v>
      </c>
      <c r="E78" s="1629">
        <f t="shared" si="9"/>
        <v>-30942</v>
      </c>
      <c r="F78" s="1629">
        <f t="shared" si="9"/>
        <v>-378818</v>
      </c>
      <c r="G78" s="1629">
        <f t="shared" si="9"/>
        <v>-6273</v>
      </c>
      <c r="H78" s="1629">
        <f t="shared" si="9"/>
        <v>-32552222</v>
      </c>
      <c r="I78" s="1629">
        <f t="shared" si="9"/>
        <v>85753</v>
      </c>
      <c r="J78" s="1629">
        <f t="shared" si="9"/>
        <v>15708</v>
      </c>
      <c r="K78" s="1629">
        <f t="shared" si="9"/>
        <v>7465</v>
      </c>
      <c r="L78" s="457"/>
    </row>
    <row r="79" spans="1:12" ht="13.5" thickTop="1" x14ac:dyDescent="0.2">
      <c r="A79" s="1844" t="str">
        <f>"Fund Balances - July 1, "&amp;'AFR20'!E2-1</f>
        <v>Fund Balances - July 1, 2019</v>
      </c>
      <c r="B79" s="458"/>
      <c r="C79" s="1583">
        <v>20440555</v>
      </c>
      <c r="D79" s="1630">
        <v>1651477</v>
      </c>
      <c r="E79" s="1630">
        <v>543560</v>
      </c>
      <c r="F79" s="1630">
        <v>2498293</v>
      </c>
      <c r="G79" s="1630">
        <v>-254321</v>
      </c>
      <c r="H79" s="1630">
        <v>36696802</v>
      </c>
      <c r="I79" s="1630">
        <v>7826532</v>
      </c>
      <c r="J79" s="1630">
        <v>618861</v>
      </c>
      <c r="K79" s="1630">
        <v>496637</v>
      </c>
      <c r="L79" s="325"/>
    </row>
    <row r="80" spans="1:12" x14ac:dyDescent="0.2">
      <c r="A80" s="2243" t="s">
        <v>1771</v>
      </c>
      <c r="B80" s="2244"/>
      <c r="C80" s="1574"/>
      <c r="D80" s="1574"/>
      <c r="E80" s="1574"/>
      <c r="F80" s="1574"/>
      <c r="G80" s="1574"/>
      <c r="H80" s="1574"/>
      <c r="I80" s="1574"/>
      <c r="J80" s="1574"/>
      <c r="K80" s="1574"/>
      <c r="L80" s="325"/>
    </row>
    <row r="81" spans="1:12" ht="13.5" thickBot="1" x14ac:dyDescent="0.25">
      <c r="A81" s="2235" t="str">
        <f>"Fund Balances - June 30, "&amp;'AFR20'!E2</f>
        <v>Fund Balances - June 30, 2020</v>
      </c>
      <c r="B81" s="2236"/>
      <c r="C81" s="1594">
        <f>(SUM(C78:C80))</f>
        <v>22406004</v>
      </c>
      <c r="D81" s="1594">
        <f>SUM(D78:D80)</f>
        <v>1708497</v>
      </c>
      <c r="E81" s="1594">
        <f t="shared" ref="E81:K81" si="10">SUM(E78:E80)</f>
        <v>512618</v>
      </c>
      <c r="F81" s="1594">
        <f t="shared" si="10"/>
        <v>2119475</v>
      </c>
      <c r="G81" s="1594">
        <f t="shared" si="10"/>
        <v>-260594</v>
      </c>
      <c r="H81" s="1594">
        <f t="shared" si="10"/>
        <v>4144580</v>
      </c>
      <c r="I81" s="1594">
        <f t="shared" si="10"/>
        <v>7912285</v>
      </c>
      <c r="J81" s="1594">
        <f t="shared" si="10"/>
        <v>634569</v>
      </c>
      <c r="K81" s="1594">
        <f t="shared" si="10"/>
        <v>504102</v>
      </c>
      <c r="L81" s="325"/>
    </row>
    <row r="82" spans="1:12" ht="0.75" customHeight="1" thickTop="1" thickBot="1" x14ac:dyDescent="0.25">
      <c r="A82" s="459" t="s">
        <v>340</v>
      </c>
      <c r="B82" s="460"/>
      <c r="C82" s="461">
        <f>(C81-C79)</f>
        <v>1965449</v>
      </c>
      <c r="D82" s="461">
        <f t="shared" ref="D82:K82" si="11">(D81-D79)</f>
        <v>57020</v>
      </c>
      <c r="E82" s="461">
        <f t="shared" si="11"/>
        <v>-30942</v>
      </c>
      <c r="F82" s="461">
        <f t="shared" si="11"/>
        <v>-378818</v>
      </c>
      <c r="G82" s="461">
        <f t="shared" si="11"/>
        <v>-6273</v>
      </c>
      <c r="H82" s="461">
        <f t="shared" si="11"/>
        <v>-32552222</v>
      </c>
      <c r="I82" s="461">
        <f t="shared" si="11"/>
        <v>85753</v>
      </c>
      <c r="J82" s="461">
        <f t="shared" si="11"/>
        <v>15708</v>
      </c>
      <c r="K82" s="461">
        <f t="shared" si="11"/>
        <v>7465</v>
      </c>
    </row>
    <row r="83" spans="1:12" ht="14.25" hidden="1" thickTop="1" thickBot="1" x14ac:dyDescent="0.25">
      <c r="A83" s="462" t="s">
        <v>341</v>
      </c>
      <c r="B83" s="428"/>
      <c r="C83" s="463">
        <f>C82/C81</f>
        <v>8.7719746903553178E-2</v>
      </c>
      <c r="D83" s="463">
        <f t="shared" ref="D83:K83" si="12">D82/D81</f>
        <v>3.3374363548780012E-2</v>
      </c>
      <c r="E83" s="463">
        <f t="shared" si="12"/>
        <v>-6.0360736454826008E-2</v>
      </c>
      <c r="F83" s="463">
        <f t="shared" si="12"/>
        <v>-0.17873199731065476</v>
      </c>
      <c r="G83" s="463">
        <f t="shared" si="12"/>
        <v>2.4071927979922792E-2</v>
      </c>
      <c r="H83" s="463">
        <f t="shared" si="12"/>
        <v>-7.8541666465600857</v>
      </c>
      <c r="I83" s="463">
        <f t="shared" si="12"/>
        <v>1.0837956418405049E-2</v>
      </c>
      <c r="J83" s="463">
        <f t="shared" si="12"/>
        <v>2.4753809278423623E-2</v>
      </c>
      <c r="K83" s="463">
        <f t="shared" si="12"/>
        <v>1.4808510975953279E-2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75"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1778</v>
      </c>
      <c r="B1" s="416"/>
      <c r="C1" s="417" t="s">
        <v>422</v>
      </c>
      <c r="D1" s="417" t="s">
        <v>423</v>
      </c>
      <c r="E1" s="417" t="s">
        <v>424</v>
      </c>
      <c r="F1" s="417" t="s">
        <v>425</v>
      </c>
      <c r="G1" s="417" t="s">
        <v>426</v>
      </c>
      <c r="H1" s="417" t="s">
        <v>427</v>
      </c>
      <c r="I1" s="417" t="s">
        <v>428</v>
      </c>
      <c r="J1" s="417" t="s">
        <v>429</v>
      </c>
      <c r="K1" s="417" t="s">
        <v>751</v>
      </c>
    </row>
    <row r="2" spans="1:12" ht="36" x14ac:dyDescent="0.2">
      <c r="A2" s="224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6950442</v>
      </c>
      <c r="D5" s="1586">
        <v>931264</v>
      </c>
      <c r="E5" s="1573">
        <v>566025</v>
      </c>
      <c r="F5" s="1631">
        <v>492877</v>
      </c>
      <c r="G5" s="1573">
        <v>699049</v>
      </c>
      <c r="H5" s="1573"/>
      <c r="I5" s="1573">
        <v>85753</v>
      </c>
      <c r="J5" s="1574">
        <v>-255</v>
      </c>
      <c r="K5" s="1573">
        <v>-5399</v>
      </c>
    </row>
    <row r="6" spans="1:12" ht="15" x14ac:dyDescent="0.2">
      <c r="A6" s="427" t="s">
        <v>1643</v>
      </c>
      <c r="B6" s="429">
        <v>1130</v>
      </c>
      <c r="C6" s="1573"/>
      <c r="D6" s="1573">
        <v>-5399</v>
      </c>
      <c r="E6" s="1580"/>
      <c r="F6" s="1580"/>
      <c r="G6" s="1575"/>
      <c r="H6" s="1575"/>
      <c r="I6" s="1575"/>
      <c r="J6" s="1575"/>
      <c r="K6" s="1575"/>
    </row>
    <row r="7" spans="1:12" x14ac:dyDescent="0.2">
      <c r="A7" s="427" t="s">
        <v>110</v>
      </c>
      <c r="B7" s="471">
        <v>1140</v>
      </c>
      <c r="C7" s="1573">
        <v>-21589</v>
      </c>
      <c r="D7" s="1573"/>
      <c r="E7" s="1575"/>
      <c r="F7" s="1574"/>
      <c r="G7" s="1574"/>
      <c r="H7" s="1574"/>
      <c r="I7" s="1575"/>
      <c r="J7" s="1575"/>
      <c r="K7" s="1575"/>
    </row>
    <row r="8" spans="1:12" x14ac:dyDescent="0.2">
      <c r="A8" s="427" t="s">
        <v>410</v>
      </c>
      <c r="B8" s="429">
        <v>1150</v>
      </c>
      <c r="C8" s="1580"/>
      <c r="D8" s="1580"/>
      <c r="E8" s="1582"/>
      <c r="F8" s="1582"/>
      <c r="G8" s="1586">
        <v>848389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6928853</v>
      </c>
      <c r="D12" s="1633">
        <f t="shared" si="0"/>
        <v>925865</v>
      </c>
      <c r="E12" s="1633">
        <f t="shared" si="0"/>
        <v>566025</v>
      </c>
      <c r="F12" s="1633">
        <f t="shared" si="0"/>
        <v>492877</v>
      </c>
      <c r="G12" s="1633">
        <f t="shared" si="0"/>
        <v>1547438</v>
      </c>
      <c r="H12" s="1633">
        <f t="shared" si="0"/>
        <v>0</v>
      </c>
      <c r="I12" s="1633">
        <f t="shared" si="0"/>
        <v>85753</v>
      </c>
      <c r="J12" s="1633">
        <f t="shared" si="0"/>
        <v>-255</v>
      </c>
      <c r="K12" s="1594">
        <f t="shared" si="0"/>
        <v>-5399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1384906</v>
      </c>
      <c r="D16" s="1573"/>
      <c r="E16" s="1573"/>
      <c r="F16" s="1573"/>
      <c r="G16" s="1573">
        <v>50000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1384906</v>
      </c>
      <c r="D18" s="1635">
        <f t="shared" ref="D18:K18" si="1">SUM(D14:D17)</f>
        <v>0</v>
      </c>
      <c r="E18" s="1635">
        <f t="shared" si="1"/>
        <v>0</v>
      </c>
      <c r="F18" s="1635">
        <f t="shared" si="1"/>
        <v>0</v>
      </c>
      <c r="G18" s="1635">
        <f t="shared" si="1"/>
        <v>50000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1260727</v>
      </c>
      <c r="D65" s="1573"/>
      <c r="E65" s="1573">
        <v>52</v>
      </c>
      <c r="F65" s="1574"/>
      <c r="G65" s="1573">
        <v>6742</v>
      </c>
      <c r="H65" s="1573">
        <v>410318</v>
      </c>
      <c r="I65" s="1573"/>
      <c r="J65" s="1574">
        <v>15963</v>
      </c>
      <c r="K65" s="1573">
        <v>12732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1260727</v>
      </c>
      <c r="D67" s="1594">
        <f t="shared" ref="D67:K67" si="2">SUM(D65:D66)</f>
        <v>0</v>
      </c>
      <c r="E67" s="1594">
        <f t="shared" si="2"/>
        <v>52</v>
      </c>
      <c r="F67" s="1594">
        <f t="shared" si="2"/>
        <v>0</v>
      </c>
      <c r="G67" s="1594">
        <f t="shared" si="2"/>
        <v>6742</v>
      </c>
      <c r="H67" s="1594">
        <f t="shared" si="2"/>
        <v>410318</v>
      </c>
      <c r="I67" s="1594">
        <f t="shared" si="2"/>
        <v>0</v>
      </c>
      <c r="J67" s="1594">
        <f t="shared" si="2"/>
        <v>15963</v>
      </c>
      <c r="K67" s="1594">
        <f t="shared" si="2"/>
        <v>12732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13656</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9562</v>
      </c>
      <c r="D73" s="1575"/>
      <c r="E73" s="1575"/>
      <c r="F73" s="1575"/>
      <c r="G73" s="1575"/>
      <c r="H73" s="1575"/>
      <c r="I73" s="1575"/>
      <c r="J73" s="1575"/>
      <c r="K73" s="1575"/>
    </row>
    <row r="74" spans="1:11" ht="12.75" customHeight="1" x14ac:dyDescent="0.2">
      <c r="A74" s="427" t="s">
        <v>25</v>
      </c>
      <c r="B74" s="429">
        <v>1690</v>
      </c>
      <c r="C74" s="1632">
        <v>14105</v>
      </c>
      <c r="D74" s="1575"/>
      <c r="E74" s="1575"/>
      <c r="F74" s="1575"/>
      <c r="G74" s="1575"/>
      <c r="H74" s="1575"/>
      <c r="I74" s="1575"/>
      <c r="J74" s="1575"/>
      <c r="K74" s="1575"/>
    </row>
    <row r="75" spans="1:11" ht="12.75" customHeight="1" thickBot="1" x14ac:dyDescent="0.25">
      <c r="A75" s="1406" t="s">
        <v>544</v>
      </c>
      <c r="B75" s="1407"/>
      <c r="C75" s="1594">
        <f>SUM(C69:C74)</f>
        <v>37323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0</v>
      </c>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18226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18226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1050</v>
      </c>
      <c r="E95" s="1617"/>
      <c r="F95" s="1617"/>
      <c r="G95" s="1617"/>
      <c r="H95" s="1617"/>
      <c r="I95" s="1617"/>
      <c r="J95" s="1617"/>
      <c r="K95" s="1617"/>
    </row>
    <row r="96" spans="1:11" ht="12.75" customHeight="1" x14ac:dyDescent="0.2">
      <c r="A96" s="427" t="s">
        <v>388</v>
      </c>
      <c r="B96" s="429">
        <v>1920</v>
      </c>
      <c r="C96" s="1632">
        <v>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820998</v>
      </c>
      <c r="D107" s="1573"/>
      <c r="E107" s="1573"/>
      <c r="F107" s="1573">
        <v>0</v>
      </c>
      <c r="G107" s="1573"/>
      <c r="H107" s="1573">
        <v>0</v>
      </c>
      <c r="I107" s="1573"/>
      <c r="J107" s="1574"/>
      <c r="K107" s="1573"/>
    </row>
    <row r="108" spans="1:12" ht="12.75" customHeight="1" thickBot="1" x14ac:dyDescent="0.25">
      <c r="A108" s="1406" t="s">
        <v>484</v>
      </c>
      <c r="B108" s="1408"/>
      <c r="C108" s="1633">
        <f>SUM(C95:C107)</f>
        <v>820998</v>
      </c>
      <c r="D108" s="1633">
        <f t="shared" ref="D108:K108" si="3">SUM(D95:D107)</f>
        <v>1050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10451033</v>
      </c>
      <c r="D109" s="1641">
        <f t="shared" si="4"/>
        <v>926915</v>
      </c>
      <c r="E109" s="1641">
        <f t="shared" si="4"/>
        <v>566077</v>
      </c>
      <c r="F109" s="1641">
        <f t="shared" si="4"/>
        <v>492877</v>
      </c>
      <c r="G109" s="1641">
        <f t="shared" si="4"/>
        <v>1604180</v>
      </c>
      <c r="H109" s="1641">
        <f t="shared" si="4"/>
        <v>410318</v>
      </c>
      <c r="I109" s="1641">
        <f t="shared" si="4"/>
        <v>85753</v>
      </c>
      <c r="J109" s="1641">
        <f t="shared" si="4"/>
        <v>15708</v>
      </c>
      <c r="K109" s="1629">
        <f t="shared" si="4"/>
        <v>7333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0</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24153037</v>
      </c>
      <c r="D117" s="1586">
        <v>1609818</v>
      </c>
      <c r="E117" s="1573">
        <v>1000000</v>
      </c>
      <c r="F117" s="1586">
        <v>0</v>
      </c>
      <c r="G117" s="1586"/>
      <c r="H117" s="1573"/>
      <c r="I117" s="1575"/>
      <c r="J117" s="1574">
        <v>0</v>
      </c>
      <c r="K117" s="1573">
        <v>0</v>
      </c>
    </row>
    <row r="118" spans="1:11" ht="12.75" customHeight="1" x14ac:dyDescent="0.2">
      <c r="A118" s="427" t="s">
        <v>1775</v>
      </c>
      <c r="B118" s="478">
        <v>3002</v>
      </c>
      <c r="C118" s="1632">
        <v>0</v>
      </c>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24153037</v>
      </c>
      <c r="D122" s="1633">
        <f t="shared" si="5"/>
        <v>1609818</v>
      </c>
      <c r="E122" s="1633">
        <f t="shared" si="5"/>
        <v>1000000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20282</v>
      </c>
      <c r="D125" s="1640"/>
      <c r="E125" s="1575"/>
      <c r="F125" s="1631"/>
      <c r="G125" s="1575"/>
      <c r="H125" s="1575"/>
      <c r="I125" s="1575"/>
      <c r="J125" s="1575"/>
      <c r="K125" s="1575"/>
    </row>
    <row r="126" spans="1:11" ht="12.75" customHeight="1" x14ac:dyDescent="0.2">
      <c r="A126" s="427" t="s">
        <v>1429</v>
      </c>
      <c r="B126" s="478">
        <v>3105</v>
      </c>
      <c r="C126" s="1573">
        <v>0</v>
      </c>
      <c r="D126" s="1640"/>
      <c r="E126" s="1575"/>
      <c r="F126" s="1573"/>
      <c r="G126" s="1575"/>
      <c r="H126" s="1575"/>
      <c r="I126" s="1575"/>
      <c r="J126" s="1575"/>
      <c r="K126" s="1575"/>
    </row>
    <row r="127" spans="1:11" ht="12.75" customHeight="1" x14ac:dyDescent="0.2">
      <c r="A127" s="427" t="s">
        <v>862</v>
      </c>
      <c r="B127" s="478">
        <v>3110</v>
      </c>
      <c r="C127" s="1632">
        <v>0</v>
      </c>
      <c r="D127" s="1573"/>
      <c r="E127" s="1575"/>
      <c r="F127" s="1573"/>
      <c r="G127" s="1575"/>
      <c r="H127" s="1575"/>
      <c r="I127" s="1575"/>
      <c r="J127" s="1575"/>
      <c r="K127" s="1575"/>
    </row>
    <row r="128" spans="1:11" ht="12.75" customHeight="1" x14ac:dyDescent="0.2">
      <c r="A128" s="427" t="s">
        <v>105</v>
      </c>
      <c r="B128" s="478">
        <v>3120</v>
      </c>
      <c r="C128" s="1573">
        <v>109328</v>
      </c>
      <c r="D128" s="1640"/>
      <c r="E128" s="1575"/>
      <c r="F128" s="1573"/>
      <c r="G128" s="1575"/>
      <c r="H128" s="1575"/>
      <c r="I128" s="1575"/>
      <c r="J128" s="1575"/>
      <c r="K128" s="1575"/>
    </row>
    <row r="129" spans="1:11" ht="12.75" customHeight="1" x14ac:dyDescent="0.2">
      <c r="A129" s="427" t="s">
        <v>1430</v>
      </c>
      <c r="B129" s="478">
        <v>3130</v>
      </c>
      <c r="C129" s="1573">
        <v>0</v>
      </c>
      <c r="D129" s="1640"/>
      <c r="E129" s="1575"/>
      <c r="F129" s="1573"/>
      <c r="G129" s="1575"/>
      <c r="H129" s="1575"/>
      <c r="I129" s="1575"/>
      <c r="J129" s="1575"/>
      <c r="K129" s="1575"/>
    </row>
    <row r="130" spans="1:11" ht="12.75" customHeight="1" x14ac:dyDescent="0.2">
      <c r="A130" s="427" t="s">
        <v>136</v>
      </c>
      <c r="B130" s="478">
        <v>3145</v>
      </c>
      <c r="C130" s="1573">
        <v>0</v>
      </c>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129610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22652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101989</v>
      </c>
      <c r="G152" s="1574"/>
      <c r="H152" s="1575"/>
      <c r="I152" s="1575"/>
      <c r="J152" s="1575"/>
      <c r="K152" s="1575"/>
    </row>
    <row r="153" spans="1:11" ht="12.75" customHeight="1" x14ac:dyDescent="0.2">
      <c r="A153" s="427" t="s">
        <v>1048</v>
      </c>
      <c r="B153" s="478">
        <v>3510</v>
      </c>
      <c r="C153" s="1632"/>
      <c r="D153" s="1573"/>
      <c r="E153" s="1640"/>
      <c r="F153" s="1573">
        <v>436564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538553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819372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112203</v>
      </c>
      <c r="D168" s="1655"/>
      <c r="E168" s="1655"/>
      <c r="F168" s="1655"/>
      <c r="G168" s="1656"/>
      <c r="H168" s="1657"/>
      <c r="I168" s="1656"/>
      <c r="J168" s="1656"/>
      <c r="K168" s="1657">
        <v>0</v>
      </c>
    </row>
    <row r="169" spans="1:11" ht="12.75" customHeight="1" thickTop="1" thickBot="1" x14ac:dyDescent="0.25">
      <c r="A169" s="2259" t="s">
        <v>395</v>
      </c>
      <c r="B169" s="2260"/>
      <c r="C169" s="1658">
        <f t="shared" ref="C169:K169" si="6">SUM(C132,C141,C145,C146:C150,C155,C156:C167,C168)</f>
        <v>1083837</v>
      </c>
      <c r="D169" s="1658">
        <f t="shared" si="6"/>
        <v>0</v>
      </c>
      <c r="E169" s="1658">
        <f t="shared" si="6"/>
        <v>0</v>
      </c>
      <c r="F169" s="1658">
        <f t="shared" si="6"/>
        <v>538553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25236874</v>
      </c>
      <c r="D170" s="1641">
        <f t="shared" si="7"/>
        <v>1609818</v>
      </c>
      <c r="E170" s="1641">
        <f t="shared" si="7"/>
        <v>1000000</v>
      </c>
      <c r="F170" s="1641">
        <f t="shared" si="7"/>
        <v>538553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1" t="s">
        <v>1475</v>
      </c>
      <c r="B172" s="226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5" t="s">
        <v>1646</v>
      </c>
      <c r="B175" s="226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9" t="s">
        <v>1645</v>
      </c>
      <c r="B176" s="227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7" t="s">
        <v>780</v>
      </c>
      <c r="B181" s="226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3" t="s">
        <v>1779</v>
      </c>
      <c r="B182" s="226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1154729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269962</v>
      </c>
      <c r="D193" s="1575"/>
      <c r="E193" s="1640"/>
      <c r="F193" s="1575"/>
      <c r="G193" s="1664"/>
      <c r="H193" s="1575"/>
      <c r="I193" s="1575"/>
      <c r="J193" s="1575"/>
      <c r="K193" s="1575"/>
    </row>
    <row r="194" spans="1:11" ht="12.75" customHeight="1" x14ac:dyDescent="0.2">
      <c r="A194" s="427" t="s">
        <v>1434</v>
      </c>
      <c r="B194" s="429">
        <v>4225</v>
      </c>
      <c r="C194" s="1632">
        <v>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1424691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2570935</v>
      </c>
      <c r="D200" s="1573"/>
      <c r="E200" s="1575"/>
      <c r="F200" s="1573"/>
      <c r="G200" s="1573"/>
      <c r="H200" s="1575"/>
      <c r="I200" s="1575"/>
      <c r="J200" s="1575"/>
      <c r="K200" s="1575"/>
    </row>
    <row r="201" spans="1:11" ht="12.75" customHeight="1" x14ac:dyDescent="0.2">
      <c r="A201" s="427" t="s">
        <v>913</v>
      </c>
      <c r="B201" s="429">
        <v>4305</v>
      </c>
      <c r="C201" s="1632">
        <v>0</v>
      </c>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2570935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127129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127129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15669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635706</v>
      </c>
      <c r="D213" s="1573"/>
      <c r="E213" s="1575"/>
      <c r="F213" s="1573"/>
      <c r="G213" s="1573"/>
      <c r="H213" s="1575"/>
      <c r="I213" s="1575"/>
      <c r="J213" s="1575"/>
      <c r="K213" s="1575"/>
    </row>
    <row r="214" spans="1:11" ht="12.75" customHeight="1" x14ac:dyDescent="0.2">
      <c r="A214" s="427" t="s">
        <v>1045</v>
      </c>
      <c r="B214" s="429">
        <v>4625</v>
      </c>
      <c r="C214" s="1632">
        <v>30529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681904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v>890631</v>
      </c>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v>0</v>
      </c>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890631</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112242</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141771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f>92741+39359</f>
        <v>132100</v>
      </c>
      <c r="D263" s="1651"/>
      <c r="E263" s="1575"/>
      <c r="F263" s="1651"/>
      <c r="G263" s="1651"/>
      <c r="H263" s="1575"/>
      <c r="I263" s="1575"/>
      <c r="J263" s="1575"/>
      <c r="K263" s="1575"/>
    </row>
    <row r="264" spans="1:11" ht="12.75" customHeight="1" thickTop="1" thickBot="1" x14ac:dyDescent="0.25">
      <c r="A264" s="427" t="s">
        <v>374</v>
      </c>
      <c r="B264" s="429">
        <v>4992</v>
      </c>
      <c r="C264" s="1650">
        <f>256548-39359</f>
        <v>217189</v>
      </c>
      <c r="D264" s="1651"/>
      <c r="E264" s="1575"/>
      <c r="F264" s="1651"/>
      <c r="G264" s="1651"/>
      <c r="H264" s="1575"/>
      <c r="I264" s="1575"/>
      <c r="J264" s="1575"/>
      <c r="K264" s="1575"/>
    </row>
    <row r="265" spans="1:11" s="489" customFormat="1" ht="12.75" customHeight="1" thickTop="1" thickBot="1" x14ac:dyDescent="0.25">
      <c r="A265" s="479" t="s">
        <v>75</v>
      </c>
      <c r="B265" s="475">
        <v>4998</v>
      </c>
      <c r="C265" s="1650">
        <v>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5407961</v>
      </c>
      <c r="D266" s="1641">
        <f t="shared" si="10"/>
        <v>0</v>
      </c>
      <c r="E266" s="1641">
        <f t="shared" si="10"/>
        <v>890631</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5407961</v>
      </c>
      <c r="D267" s="1641">
        <f>SUM(D175,D181,D266)</f>
        <v>0</v>
      </c>
      <c r="E267" s="1641">
        <f>SUM(E175,E266)</f>
        <v>890631</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41095868</v>
      </c>
      <c r="D268" s="1641">
        <f t="shared" si="12"/>
        <v>2536733</v>
      </c>
      <c r="E268" s="1641">
        <f t="shared" si="12"/>
        <v>2456708</v>
      </c>
      <c r="F268" s="1641">
        <f t="shared" si="12"/>
        <v>1031430</v>
      </c>
      <c r="G268" s="1641">
        <f t="shared" si="12"/>
        <v>1604180</v>
      </c>
      <c r="H268" s="1641">
        <f t="shared" si="12"/>
        <v>410318</v>
      </c>
      <c r="I268" s="1641">
        <f t="shared" si="12"/>
        <v>85753</v>
      </c>
      <c r="J268" s="1641">
        <f t="shared" si="12"/>
        <v>15708</v>
      </c>
      <c r="K268" s="1629">
        <f t="shared" si="12"/>
        <v>7333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55" activePane="bottomLeft" state="frozen"/>
      <selection pane="bottomLeft" activeCell="G309" sqref="G30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12927617</v>
      </c>
      <c r="D5" s="1573">
        <v>3839718</v>
      </c>
      <c r="E5" s="1573">
        <v>176264</v>
      </c>
      <c r="F5" s="1573">
        <v>611022</v>
      </c>
      <c r="G5" s="1573">
        <v>248966</v>
      </c>
      <c r="H5" s="1573">
        <v>21307</v>
      </c>
      <c r="I5" s="1574">
        <v>294505</v>
      </c>
      <c r="J5" s="1574"/>
      <c r="K5" s="1672">
        <f>SUM(C5:J5)</f>
        <v>18119399</v>
      </c>
      <c r="L5" s="1573">
        <v>17551500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2427196</v>
      </c>
      <c r="D8" s="1573">
        <v>613861</v>
      </c>
      <c r="E8" s="1573">
        <v>93334</v>
      </c>
      <c r="F8" s="1573"/>
      <c r="G8" s="1573"/>
      <c r="H8" s="1573"/>
      <c r="I8" s="1574"/>
      <c r="J8" s="1574"/>
      <c r="K8" s="1672">
        <f t="shared" si="0"/>
        <v>3134391</v>
      </c>
      <c r="L8" s="1573">
        <v>3443050</v>
      </c>
    </row>
    <row r="9" spans="1:14" x14ac:dyDescent="0.2">
      <c r="A9" s="1274" t="s">
        <v>716</v>
      </c>
      <c r="B9" s="503" t="s">
        <v>962</v>
      </c>
      <c r="C9" s="1574">
        <v>2016</v>
      </c>
      <c r="D9" s="1574">
        <v>410</v>
      </c>
      <c r="E9" s="1574">
        <v>5925</v>
      </c>
      <c r="F9" s="1574">
        <v>10208</v>
      </c>
      <c r="G9" s="1574"/>
      <c r="H9" s="1574"/>
      <c r="I9" s="1574"/>
      <c r="J9" s="1574"/>
      <c r="K9" s="1672">
        <f t="shared" si="0"/>
        <v>18559</v>
      </c>
      <c r="L9" s="1573">
        <v>101450</v>
      </c>
    </row>
    <row r="10" spans="1:14" x14ac:dyDescent="0.2">
      <c r="A10" s="1274" t="s">
        <v>717</v>
      </c>
      <c r="B10" s="503">
        <v>1250</v>
      </c>
      <c r="C10" s="1573">
        <v>882615</v>
      </c>
      <c r="D10" s="1573">
        <v>134728</v>
      </c>
      <c r="E10" s="1573">
        <v>74588</v>
      </c>
      <c r="F10" s="1573">
        <v>650289</v>
      </c>
      <c r="G10" s="1573">
        <v>0</v>
      </c>
      <c r="H10" s="1573"/>
      <c r="I10" s="1574">
        <v>25041</v>
      </c>
      <c r="J10" s="1574"/>
      <c r="K10" s="1672">
        <f t="shared" si="0"/>
        <v>1767261</v>
      </c>
      <c r="L10" s="1573">
        <v>1993550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7372</v>
      </c>
      <c r="D14" s="1573">
        <v>0</v>
      </c>
      <c r="E14" s="1573">
        <v>13244</v>
      </c>
      <c r="F14" s="1573">
        <v>2430</v>
      </c>
      <c r="G14" s="1573">
        <v>0</v>
      </c>
      <c r="H14" s="1573">
        <v>1017</v>
      </c>
      <c r="I14" s="1574">
        <v>0</v>
      </c>
      <c r="J14" s="1574"/>
      <c r="K14" s="1672">
        <f t="shared" si="0"/>
        <v>24063</v>
      </c>
      <c r="L14" s="1573">
        <v>55700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v>0</v>
      </c>
      <c r="D16" s="1573">
        <v>0</v>
      </c>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1389669</v>
      </c>
      <c r="D18" s="1573">
        <v>371220</v>
      </c>
      <c r="E18" s="1573"/>
      <c r="F18" s="1573"/>
      <c r="G18" s="1573"/>
      <c r="H18" s="1573"/>
      <c r="I18" s="1574"/>
      <c r="J18" s="1574"/>
      <c r="K18" s="1672">
        <f t="shared" si="0"/>
        <v>1760889</v>
      </c>
      <c r="L18" s="1573">
        <v>1212000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0</v>
      </c>
      <c r="I22" s="1673"/>
      <c r="J22" s="1582"/>
      <c r="K22" s="1672">
        <f t="shared" si="0"/>
        <v>0</v>
      </c>
      <c r="L22" s="1577">
        <v>5000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17636485</v>
      </c>
      <c r="D33" s="1674">
        <f t="shared" ref="D33:L33" si="1">SUM(D5:D32)</f>
        <v>4959937</v>
      </c>
      <c r="E33" s="1674">
        <f t="shared" si="1"/>
        <v>363355</v>
      </c>
      <c r="F33" s="1674">
        <f t="shared" si="1"/>
        <v>1273949</v>
      </c>
      <c r="G33" s="1674">
        <f t="shared" si="1"/>
        <v>248966</v>
      </c>
      <c r="H33" s="1674">
        <f t="shared" si="1"/>
        <v>22324</v>
      </c>
      <c r="I33" s="1674">
        <f t="shared" si="1"/>
        <v>319546</v>
      </c>
      <c r="J33" s="1674">
        <f t="shared" si="1"/>
        <v>0</v>
      </c>
      <c r="K33" s="1674">
        <f t="shared" si="1"/>
        <v>24824562</v>
      </c>
      <c r="L33" s="1674">
        <f t="shared" si="1"/>
        <v>24362250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520204</v>
      </c>
      <c r="D36" s="1586">
        <v>85364</v>
      </c>
      <c r="E36" s="1586"/>
      <c r="F36" s="1586"/>
      <c r="G36" s="1586"/>
      <c r="H36" s="1586"/>
      <c r="I36" s="1574"/>
      <c r="J36" s="1574"/>
      <c r="K36" s="1672">
        <f t="shared" ref="K36:K41" si="2">SUM(C36:J36)</f>
        <v>605568</v>
      </c>
      <c r="L36" s="1573">
        <v>614500</v>
      </c>
    </row>
    <row r="37" spans="1:14" x14ac:dyDescent="0.2">
      <c r="A37" s="1274" t="s">
        <v>1081</v>
      </c>
      <c r="B37" s="503">
        <v>2120</v>
      </c>
      <c r="C37" s="1573">
        <v>99002</v>
      </c>
      <c r="D37" s="1573">
        <v>7922</v>
      </c>
      <c r="E37" s="1573">
        <v>0</v>
      </c>
      <c r="F37" s="1573">
        <v>1883</v>
      </c>
      <c r="G37" s="1573"/>
      <c r="H37" s="1573"/>
      <c r="I37" s="1574"/>
      <c r="J37" s="1574"/>
      <c r="K37" s="1672">
        <f t="shared" si="2"/>
        <v>108807</v>
      </c>
      <c r="L37" s="1573">
        <v>61300</v>
      </c>
    </row>
    <row r="38" spans="1:14" x14ac:dyDescent="0.2">
      <c r="A38" s="1274" t="s">
        <v>196</v>
      </c>
      <c r="B38" s="503">
        <v>2130</v>
      </c>
      <c r="C38" s="1573">
        <v>0</v>
      </c>
      <c r="D38" s="1573">
        <v>0</v>
      </c>
      <c r="E38" s="1573">
        <v>0</v>
      </c>
      <c r="F38" s="1573">
        <v>23887</v>
      </c>
      <c r="G38" s="1573"/>
      <c r="H38" s="1573"/>
      <c r="I38" s="1574">
        <v>4000</v>
      </c>
      <c r="J38" s="1574"/>
      <c r="K38" s="1672">
        <f t="shared" si="2"/>
        <v>27887</v>
      </c>
      <c r="L38" s="1573">
        <v>59800</v>
      </c>
    </row>
    <row r="39" spans="1:14" x14ac:dyDescent="0.2">
      <c r="A39" s="1274" t="s">
        <v>197</v>
      </c>
      <c r="B39" s="503">
        <v>2140</v>
      </c>
      <c r="C39" s="1573">
        <v>274077</v>
      </c>
      <c r="D39" s="1573">
        <v>46517</v>
      </c>
      <c r="E39" s="1573">
        <v>1300</v>
      </c>
      <c r="F39" s="1573">
        <v>3993</v>
      </c>
      <c r="G39" s="1573"/>
      <c r="H39" s="1573"/>
      <c r="I39" s="1574"/>
      <c r="J39" s="1574"/>
      <c r="K39" s="1672">
        <f t="shared" si="2"/>
        <v>325887</v>
      </c>
      <c r="L39" s="1573">
        <v>304200</v>
      </c>
    </row>
    <row r="40" spans="1:14" x14ac:dyDescent="0.2">
      <c r="A40" s="1274" t="s">
        <v>198</v>
      </c>
      <c r="B40" s="503">
        <v>2150</v>
      </c>
      <c r="C40" s="1573">
        <v>300695</v>
      </c>
      <c r="D40" s="1573">
        <v>76225</v>
      </c>
      <c r="E40" s="1573"/>
      <c r="F40" s="1573">
        <v>1028</v>
      </c>
      <c r="G40" s="1573"/>
      <c r="H40" s="1573"/>
      <c r="I40" s="1574"/>
      <c r="J40" s="1574"/>
      <c r="K40" s="1672">
        <f t="shared" si="2"/>
        <v>377948</v>
      </c>
      <c r="L40" s="1573">
        <v>378500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1193978</v>
      </c>
      <c r="D42" s="1674">
        <f t="shared" ref="D42:L42" si="3">SUM(D36:D41)</f>
        <v>216028</v>
      </c>
      <c r="E42" s="1674">
        <f t="shared" si="3"/>
        <v>1300</v>
      </c>
      <c r="F42" s="1674">
        <f t="shared" si="3"/>
        <v>30791</v>
      </c>
      <c r="G42" s="1674">
        <f t="shared" si="3"/>
        <v>0</v>
      </c>
      <c r="H42" s="1674">
        <f t="shared" si="3"/>
        <v>0</v>
      </c>
      <c r="I42" s="1674">
        <f t="shared" si="3"/>
        <v>4000</v>
      </c>
      <c r="J42" s="1674">
        <f t="shared" si="3"/>
        <v>0</v>
      </c>
      <c r="K42" s="1674">
        <f t="shared" si="3"/>
        <v>1446097</v>
      </c>
      <c r="L42" s="1674">
        <f t="shared" si="3"/>
        <v>1418300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393302</v>
      </c>
      <c r="D44" s="1586">
        <v>25289</v>
      </c>
      <c r="E44" s="1586">
        <v>344025</v>
      </c>
      <c r="F44" s="1586">
        <v>4622</v>
      </c>
      <c r="G44" s="1586"/>
      <c r="H44" s="1586">
        <v>180</v>
      </c>
      <c r="I44" s="1574"/>
      <c r="J44" s="1574"/>
      <c r="K44" s="1678">
        <f>SUM(C44:J44)</f>
        <v>767418</v>
      </c>
      <c r="L44" s="1586">
        <v>1148300</v>
      </c>
    </row>
    <row r="45" spans="1:14" x14ac:dyDescent="0.2">
      <c r="A45" s="1274" t="s">
        <v>810</v>
      </c>
      <c r="B45" s="503">
        <v>2220</v>
      </c>
      <c r="C45" s="1573">
        <v>38035</v>
      </c>
      <c r="D45" s="1573">
        <v>20553</v>
      </c>
      <c r="E45" s="1573">
        <v>0</v>
      </c>
      <c r="F45" s="1573">
        <v>12043</v>
      </c>
      <c r="G45" s="1573">
        <v>0</v>
      </c>
      <c r="H45" s="1573"/>
      <c r="I45" s="1574">
        <v>0</v>
      </c>
      <c r="J45" s="1574"/>
      <c r="K45" s="1678">
        <f>SUM(C45:J45)</f>
        <v>70631</v>
      </c>
      <c r="L45" s="1573">
        <v>68200</v>
      </c>
    </row>
    <row r="46" spans="1:14" x14ac:dyDescent="0.2">
      <c r="A46" s="1274" t="s">
        <v>811</v>
      </c>
      <c r="B46" s="503">
        <v>2230</v>
      </c>
      <c r="C46" s="1573">
        <v>0</v>
      </c>
      <c r="D46" s="1573">
        <v>0</v>
      </c>
      <c r="E46" s="1573">
        <v>32918</v>
      </c>
      <c r="F46" s="1573">
        <v>0</v>
      </c>
      <c r="G46" s="1573"/>
      <c r="H46" s="1573"/>
      <c r="I46" s="1574"/>
      <c r="J46" s="1574"/>
      <c r="K46" s="1678">
        <f>SUM(C46:J46)</f>
        <v>32918</v>
      </c>
      <c r="L46" s="1573">
        <v>43000</v>
      </c>
    </row>
    <row r="47" spans="1:14" ht="12.75" customHeight="1" thickBot="1" x14ac:dyDescent="0.25">
      <c r="A47" s="1380" t="s">
        <v>557</v>
      </c>
      <c r="B47" s="1381" t="s">
        <v>32</v>
      </c>
      <c r="C47" s="1674">
        <f>SUM(C44:C46)</f>
        <v>431337</v>
      </c>
      <c r="D47" s="1674">
        <f t="shared" ref="D47:K47" si="4">SUM(D44:D46)</f>
        <v>45842</v>
      </c>
      <c r="E47" s="1674">
        <f t="shared" si="4"/>
        <v>376943</v>
      </c>
      <c r="F47" s="1674">
        <f t="shared" si="4"/>
        <v>16665</v>
      </c>
      <c r="G47" s="1674">
        <f t="shared" si="4"/>
        <v>0</v>
      </c>
      <c r="H47" s="1674">
        <f t="shared" si="4"/>
        <v>180</v>
      </c>
      <c r="I47" s="1674">
        <f t="shared" si="4"/>
        <v>0</v>
      </c>
      <c r="J47" s="1674">
        <f t="shared" si="4"/>
        <v>0</v>
      </c>
      <c r="K47" s="1674">
        <f t="shared" si="4"/>
        <v>870967</v>
      </c>
      <c r="L47" s="1674">
        <f>SUM(L44:L46)</f>
        <v>1259500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64896</v>
      </c>
      <c r="D49" s="1586">
        <v>17195</v>
      </c>
      <c r="E49" s="1586">
        <v>2277702</v>
      </c>
      <c r="F49" s="1586">
        <v>6200</v>
      </c>
      <c r="G49" s="1586">
        <v>0</v>
      </c>
      <c r="H49" s="1586">
        <v>33966</v>
      </c>
      <c r="I49" s="1574"/>
      <c r="J49" s="1574"/>
      <c r="K49" s="1678">
        <f>SUM(C49:J49)</f>
        <v>2399959</v>
      </c>
      <c r="L49" s="1586">
        <v>1637700</v>
      </c>
    </row>
    <row r="50" spans="1:14" x14ac:dyDescent="0.2">
      <c r="A50" s="1274" t="s">
        <v>813</v>
      </c>
      <c r="B50" s="503">
        <v>2320</v>
      </c>
      <c r="C50" s="1573">
        <v>515426</v>
      </c>
      <c r="D50" s="1573">
        <v>125514</v>
      </c>
      <c r="E50" s="1573">
        <v>200</v>
      </c>
      <c r="F50" s="1573">
        <v>2699</v>
      </c>
      <c r="G50" s="1573">
        <v>0</v>
      </c>
      <c r="H50" s="1573">
        <v>5249</v>
      </c>
      <c r="I50" s="1574">
        <v>0</v>
      </c>
      <c r="J50" s="1574"/>
      <c r="K50" s="1678">
        <f>SUM(C50:J50)</f>
        <v>649088</v>
      </c>
      <c r="L50" s="1573">
        <v>690050</v>
      </c>
    </row>
    <row r="51" spans="1:14" x14ac:dyDescent="0.2">
      <c r="A51" s="1274" t="s">
        <v>42</v>
      </c>
      <c r="B51" s="503">
        <v>2330</v>
      </c>
      <c r="C51" s="1573">
        <v>370992</v>
      </c>
      <c r="D51" s="1573">
        <v>99551</v>
      </c>
      <c r="E51" s="1573">
        <v>0</v>
      </c>
      <c r="F51" s="1573"/>
      <c r="G51" s="1573"/>
      <c r="H51" s="1573"/>
      <c r="I51" s="1574"/>
      <c r="J51" s="1574"/>
      <c r="K51" s="1678">
        <f>SUM(C51:J51)</f>
        <v>470543</v>
      </c>
      <c r="L51" s="1573">
        <v>398000</v>
      </c>
    </row>
    <row r="52" spans="1:14" ht="22.5" x14ac:dyDescent="0.2">
      <c r="A52" s="1275" t="s">
        <v>295</v>
      </c>
      <c r="B52" s="511" t="s">
        <v>363</v>
      </c>
      <c r="C52" s="1579">
        <v>797417</v>
      </c>
      <c r="D52" s="1579">
        <v>133957</v>
      </c>
      <c r="E52" s="1579"/>
      <c r="F52" s="1579"/>
      <c r="G52" s="1579"/>
      <c r="H52" s="1579"/>
      <c r="I52" s="1579"/>
      <c r="J52" s="1579"/>
      <c r="K52" s="1678">
        <f>SUM(C52:J52)</f>
        <v>931374</v>
      </c>
      <c r="L52" s="1579">
        <v>724000</v>
      </c>
    </row>
    <row r="53" spans="1:14" ht="12.75" customHeight="1" thickBot="1" x14ac:dyDescent="0.25">
      <c r="A53" s="1380" t="s">
        <v>712</v>
      </c>
      <c r="B53" s="1381" t="s">
        <v>33</v>
      </c>
      <c r="C53" s="1674">
        <f>SUM(C49:C52)</f>
        <v>1748731</v>
      </c>
      <c r="D53" s="1674">
        <f t="shared" ref="D53:L53" si="5">SUM(D49:D52)</f>
        <v>376217</v>
      </c>
      <c r="E53" s="1674">
        <f t="shared" si="5"/>
        <v>2277902</v>
      </c>
      <c r="F53" s="1674">
        <f t="shared" si="5"/>
        <v>8899</v>
      </c>
      <c r="G53" s="1674">
        <f t="shared" si="5"/>
        <v>0</v>
      </c>
      <c r="H53" s="1674">
        <f t="shared" si="5"/>
        <v>39215</v>
      </c>
      <c r="I53" s="1674">
        <f t="shared" si="5"/>
        <v>0</v>
      </c>
      <c r="J53" s="1674">
        <f t="shared" si="5"/>
        <v>0</v>
      </c>
      <c r="K53" s="1674">
        <f t="shared" si="5"/>
        <v>4450964</v>
      </c>
      <c r="L53" s="1674">
        <f t="shared" si="5"/>
        <v>3449750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1794550</v>
      </c>
      <c r="D55" s="1586">
        <v>360810</v>
      </c>
      <c r="E55" s="1586">
        <v>0</v>
      </c>
      <c r="F55" s="1586">
        <v>1233</v>
      </c>
      <c r="G55" s="1586"/>
      <c r="H55" s="1586"/>
      <c r="I55" s="1574"/>
      <c r="J55" s="1574"/>
      <c r="K55" s="1678">
        <f>SUM(C55:J55)</f>
        <v>2156593</v>
      </c>
      <c r="L55" s="1586">
        <v>1795400</v>
      </c>
    </row>
    <row r="56" spans="1:14" ht="12.75" customHeight="1" x14ac:dyDescent="0.2">
      <c r="A56" s="1278" t="s">
        <v>373</v>
      </c>
      <c r="B56" s="512">
        <v>2490</v>
      </c>
      <c r="C56" s="1573">
        <v>0</v>
      </c>
      <c r="D56" s="1573">
        <v>0</v>
      </c>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1794550</v>
      </c>
      <c r="D57" s="1679">
        <f t="shared" ref="D57:K57" si="6">SUM(D55:D56)</f>
        <v>360810</v>
      </c>
      <c r="E57" s="1679">
        <f t="shared" si="6"/>
        <v>0</v>
      </c>
      <c r="F57" s="1679">
        <f t="shared" si="6"/>
        <v>1233</v>
      </c>
      <c r="G57" s="1679">
        <f t="shared" si="6"/>
        <v>0</v>
      </c>
      <c r="H57" s="1679">
        <f t="shared" si="6"/>
        <v>0</v>
      </c>
      <c r="I57" s="1679">
        <f t="shared" si="6"/>
        <v>0</v>
      </c>
      <c r="J57" s="1679">
        <f t="shared" si="6"/>
        <v>0</v>
      </c>
      <c r="K57" s="1679">
        <f t="shared" si="6"/>
        <v>2156593</v>
      </c>
      <c r="L57" s="1674">
        <f>SUM(L55:L56)</f>
        <v>1795400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238891</v>
      </c>
      <c r="D59" s="1586">
        <v>57381</v>
      </c>
      <c r="E59" s="1586">
        <v>17033</v>
      </c>
      <c r="F59" s="1586">
        <v>46</v>
      </c>
      <c r="G59" s="1586"/>
      <c r="H59" s="1586"/>
      <c r="I59" s="1574"/>
      <c r="J59" s="1574"/>
      <c r="K59" s="1678">
        <f t="shared" ref="K59:K64" si="7">SUM(C59:J59)</f>
        <v>313351</v>
      </c>
      <c r="L59" s="1586">
        <v>239900</v>
      </c>
      <c r="M59" s="501"/>
      <c r="N59" s="501"/>
    </row>
    <row r="60" spans="1:14" s="321" customFormat="1" x14ac:dyDescent="0.2">
      <c r="A60" s="1274" t="s">
        <v>460</v>
      </c>
      <c r="B60" s="503">
        <v>2520</v>
      </c>
      <c r="C60" s="1573">
        <v>432155</v>
      </c>
      <c r="D60" s="1573">
        <v>114705</v>
      </c>
      <c r="E60" s="1573"/>
      <c r="F60" s="1573"/>
      <c r="G60" s="1573"/>
      <c r="H60" s="1573"/>
      <c r="I60" s="1574"/>
      <c r="J60" s="1574"/>
      <c r="K60" s="1678">
        <f t="shared" si="7"/>
        <v>546860</v>
      </c>
      <c r="L60" s="1573">
        <v>350500</v>
      </c>
      <c r="M60" s="501"/>
      <c r="N60" s="501"/>
    </row>
    <row r="61" spans="1:14" s="321" customFormat="1" x14ac:dyDescent="0.2">
      <c r="A61" s="1274" t="s">
        <v>195</v>
      </c>
      <c r="B61" s="503">
        <v>2540</v>
      </c>
      <c r="C61" s="1573">
        <v>0</v>
      </c>
      <c r="D61" s="1573">
        <v>0</v>
      </c>
      <c r="E61" s="1573">
        <v>319767</v>
      </c>
      <c r="F61" s="1573">
        <v>549484</v>
      </c>
      <c r="G61" s="1573">
        <v>0</v>
      </c>
      <c r="H61" s="1573"/>
      <c r="I61" s="1574">
        <v>0</v>
      </c>
      <c r="J61" s="1574"/>
      <c r="K61" s="1678">
        <f t="shared" si="7"/>
        <v>869251</v>
      </c>
      <c r="L61" s="1573">
        <v>925000</v>
      </c>
      <c r="M61" s="501"/>
      <c r="N61" s="501"/>
    </row>
    <row r="62" spans="1:14" s="321" customFormat="1" x14ac:dyDescent="0.2">
      <c r="A62" s="1274" t="s">
        <v>947</v>
      </c>
      <c r="B62" s="503">
        <v>2550</v>
      </c>
      <c r="C62" s="1573">
        <v>21530</v>
      </c>
      <c r="D62" s="1573">
        <v>21</v>
      </c>
      <c r="E62" s="1573">
        <v>11662</v>
      </c>
      <c r="F62" s="1573"/>
      <c r="G62" s="1573"/>
      <c r="H62" s="1573"/>
      <c r="I62" s="1574"/>
      <c r="J62" s="1574"/>
      <c r="K62" s="1678">
        <f t="shared" si="7"/>
        <v>33213</v>
      </c>
      <c r="L62" s="1573">
        <v>108450</v>
      </c>
      <c r="M62" s="501"/>
      <c r="N62" s="501"/>
    </row>
    <row r="63" spans="1:14" s="501" customFormat="1" x14ac:dyDescent="0.2">
      <c r="A63" s="1274" t="s">
        <v>100</v>
      </c>
      <c r="B63" s="503">
        <v>2560</v>
      </c>
      <c r="C63" s="1573">
        <v>595964</v>
      </c>
      <c r="D63" s="1573">
        <v>73487</v>
      </c>
      <c r="E63" s="1573">
        <v>16859</v>
      </c>
      <c r="F63" s="1573">
        <v>891922</v>
      </c>
      <c r="G63" s="1573">
        <v>0</v>
      </c>
      <c r="H63" s="1573"/>
      <c r="I63" s="1574">
        <v>0</v>
      </c>
      <c r="J63" s="1574"/>
      <c r="K63" s="1678">
        <f t="shared" si="7"/>
        <v>1578232</v>
      </c>
      <c r="L63" s="1573">
        <v>1693500</v>
      </c>
    </row>
    <row r="64" spans="1:14" s="501" customFormat="1" x14ac:dyDescent="0.2">
      <c r="A64" s="1279" t="s">
        <v>101</v>
      </c>
      <c r="B64" s="513">
        <v>2570</v>
      </c>
      <c r="C64" s="1586"/>
      <c r="D64" s="1586"/>
      <c r="E64" s="1586"/>
      <c r="F64" s="1586"/>
      <c r="G64" s="1586"/>
      <c r="H64" s="1586"/>
      <c r="I64" s="1574">
        <v>0</v>
      </c>
      <c r="J64" s="1574"/>
      <c r="K64" s="1678">
        <f t="shared" si="7"/>
        <v>0</v>
      </c>
      <c r="L64" s="1586"/>
    </row>
    <row r="65" spans="1:14" s="321" customFormat="1" ht="12.75" customHeight="1" thickBot="1" x14ac:dyDescent="0.25">
      <c r="A65" s="1380" t="s">
        <v>714</v>
      </c>
      <c r="B65" s="1381" t="s">
        <v>35</v>
      </c>
      <c r="C65" s="1674">
        <f>SUM(C59:C64)</f>
        <v>1288540</v>
      </c>
      <c r="D65" s="1674">
        <f t="shared" ref="D65:L65" si="8">SUM(D59:D64)</f>
        <v>245594</v>
      </c>
      <c r="E65" s="1674">
        <f t="shared" si="8"/>
        <v>365321</v>
      </c>
      <c r="F65" s="1674">
        <f t="shared" si="8"/>
        <v>1441452</v>
      </c>
      <c r="G65" s="1674">
        <f t="shared" si="8"/>
        <v>0</v>
      </c>
      <c r="H65" s="1674">
        <f t="shared" si="8"/>
        <v>0</v>
      </c>
      <c r="I65" s="1674">
        <f t="shared" si="8"/>
        <v>0</v>
      </c>
      <c r="J65" s="1674">
        <f t="shared" si="8"/>
        <v>0</v>
      </c>
      <c r="K65" s="1674">
        <f t="shared" si="8"/>
        <v>3340907</v>
      </c>
      <c r="L65" s="1674">
        <f t="shared" si="8"/>
        <v>3317350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v>0</v>
      </c>
      <c r="G69" s="1573"/>
      <c r="H69" s="1573"/>
      <c r="I69" s="1574"/>
      <c r="J69" s="1574"/>
      <c r="K69" s="1678">
        <f>SUM(C69:J69)</f>
        <v>0</v>
      </c>
      <c r="L69" s="1573">
        <v>2000</v>
      </c>
      <c r="M69" s="501"/>
      <c r="N69" s="501"/>
    </row>
    <row r="70" spans="1:14" s="321" customFormat="1" x14ac:dyDescent="0.2">
      <c r="A70" s="1274" t="s">
        <v>400</v>
      </c>
      <c r="B70" s="503">
        <v>2640</v>
      </c>
      <c r="C70" s="1573">
        <v>0</v>
      </c>
      <c r="D70" s="1573">
        <v>0</v>
      </c>
      <c r="E70" s="1573">
        <v>8319</v>
      </c>
      <c r="F70" s="1573"/>
      <c r="G70" s="1573"/>
      <c r="H70" s="1573"/>
      <c r="I70" s="1574"/>
      <c r="J70" s="1574"/>
      <c r="K70" s="1678">
        <f>SUM(C70:J70)</f>
        <v>8319</v>
      </c>
      <c r="L70" s="1573">
        <v>19200</v>
      </c>
      <c r="M70" s="501"/>
      <c r="N70" s="501"/>
    </row>
    <row r="71" spans="1:14" s="321" customFormat="1" x14ac:dyDescent="0.2">
      <c r="A71" s="1274" t="s">
        <v>401</v>
      </c>
      <c r="B71" s="503">
        <v>2660</v>
      </c>
      <c r="C71" s="1573"/>
      <c r="D71" s="1573"/>
      <c r="E71" s="1573">
        <v>7475</v>
      </c>
      <c r="F71" s="1573">
        <v>0</v>
      </c>
      <c r="G71" s="1573"/>
      <c r="H71" s="1573"/>
      <c r="I71" s="1574">
        <v>0</v>
      </c>
      <c r="J71" s="1574"/>
      <c r="K71" s="1678">
        <f>SUM(C71:J71)</f>
        <v>7475</v>
      </c>
      <c r="L71" s="1573">
        <v>9500</v>
      </c>
      <c r="M71" s="501"/>
      <c r="N71" s="501"/>
    </row>
    <row r="72" spans="1:14" s="321" customFormat="1" ht="12.75" customHeight="1" thickBot="1" x14ac:dyDescent="0.25">
      <c r="A72" s="1380" t="s">
        <v>37</v>
      </c>
      <c r="B72" s="1383" t="s">
        <v>36</v>
      </c>
      <c r="C72" s="1674">
        <f>SUM(C67:C71)</f>
        <v>0</v>
      </c>
      <c r="D72" s="1674">
        <f t="shared" ref="D72:K72" si="9">SUM(D67:D71)</f>
        <v>0</v>
      </c>
      <c r="E72" s="1674">
        <f t="shared" si="9"/>
        <v>15794</v>
      </c>
      <c r="F72" s="1674">
        <f t="shared" si="9"/>
        <v>0</v>
      </c>
      <c r="G72" s="1674">
        <f t="shared" si="9"/>
        <v>0</v>
      </c>
      <c r="H72" s="1674">
        <f t="shared" si="9"/>
        <v>0</v>
      </c>
      <c r="I72" s="1674">
        <f t="shared" si="9"/>
        <v>0</v>
      </c>
      <c r="J72" s="1674">
        <f t="shared" si="9"/>
        <v>0</v>
      </c>
      <c r="K72" s="1674">
        <f t="shared" si="9"/>
        <v>15794</v>
      </c>
      <c r="L72" s="1674">
        <f>SUM(L67:L71)</f>
        <v>30700</v>
      </c>
      <c r="M72" s="501"/>
      <c r="N72" s="501"/>
    </row>
    <row r="73" spans="1:14" s="321" customFormat="1" ht="14.25" thickTop="1" thickBot="1" x14ac:dyDescent="0.25">
      <c r="A73" s="1280" t="s">
        <v>973</v>
      </c>
      <c r="B73" s="515" t="s">
        <v>570</v>
      </c>
      <c r="C73" s="1649"/>
      <c r="D73" s="1649"/>
      <c r="E73" s="1649">
        <v>0</v>
      </c>
      <c r="F73" s="1649">
        <v>2872</v>
      </c>
      <c r="G73" s="1649"/>
      <c r="H73" s="1649"/>
      <c r="I73" s="1627"/>
      <c r="J73" s="1627"/>
      <c r="K73" s="1674">
        <f>SUM(C73:J73)</f>
        <v>2872</v>
      </c>
      <c r="L73" s="1651">
        <v>3000</v>
      </c>
      <c r="M73" s="501"/>
      <c r="N73" s="501"/>
    </row>
    <row r="74" spans="1:14" ht="12.75" customHeight="1" thickTop="1" thickBot="1" x14ac:dyDescent="0.25">
      <c r="A74" s="1380" t="s">
        <v>806</v>
      </c>
      <c r="B74" s="1384">
        <v>2000</v>
      </c>
      <c r="C74" s="1681">
        <f>SUM(C42,C47,C53,C57,C65,C72,C73)</f>
        <v>6457136</v>
      </c>
      <c r="D74" s="1681">
        <f t="shared" ref="D74:K74" si="10">SUM(D42,D47,D53,D57,D65,D72,D73)</f>
        <v>1244491</v>
      </c>
      <c r="E74" s="1681">
        <f t="shared" si="10"/>
        <v>3037260</v>
      </c>
      <c r="F74" s="1681">
        <f t="shared" si="10"/>
        <v>1501912</v>
      </c>
      <c r="G74" s="1681">
        <f t="shared" si="10"/>
        <v>0</v>
      </c>
      <c r="H74" s="1681">
        <f t="shared" si="10"/>
        <v>39395</v>
      </c>
      <c r="I74" s="1681">
        <f t="shared" si="10"/>
        <v>4000</v>
      </c>
      <c r="J74" s="1681">
        <f t="shared" si="10"/>
        <v>0</v>
      </c>
      <c r="K74" s="1681">
        <f t="shared" si="10"/>
        <v>12284194</v>
      </c>
      <c r="L74" s="1681">
        <f>SUM(L42,L47,L53,L57,L65,L72,L73)</f>
        <v>11274000</v>
      </c>
    </row>
    <row r="75" spans="1:14" s="254" customFormat="1" ht="15.75" customHeight="1" thickTop="1" thickBot="1" x14ac:dyDescent="0.25">
      <c r="A75" s="1348" t="s">
        <v>47</v>
      </c>
      <c r="B75" s="1349" t="s">
        <v>571</v>
      </c>
      <c r="C75" s="1649">
        <v>173288</v>
      </c>
      <c r="D75" s="1649">
        <v>19836</v>
      </c>
      <c r="E75" s="1649">
        <v>48963</v>
      </c>
      <c r="F75" s="1649">
        <v>59889</v>
      </c>
      <c r="G75" s="1649">
        <v>0</v>
      </c>
      <c r="H75" s="1649"/>
      <c r="I75" s="1627">
        <v>0</v>
      </c>
      <c r="J75" s="1627"/>
      <c r="K75" s="1674">
        <f>SUM(C75:J75)</f>
        <v>301976</v>
      </c>
      <c r="L75" s="1651">
        <v>224500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246342</v>
      </c>
      <c r="I79" s="1582"/>
      <c r="J79" s="1582"/>
      <c r="K79" s="1672">
        <f t="shared" si="11"/>
        <v>246342</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246342</v>
      </c>
      <c r="I84" s="1582"/>
      <c r="J84" s="1582"/>
      <c r="K84" s="1674">
        <f>SUM(K78:K83)</f>
        <v>246342</v>
      </c>
      <c r="L84" s="1674">
        <f>SUM(L78:L83)</f>
        <v>0</v>
      </c>
    </row>
    <row r="85" spans="1:12" ht="12.75" customHeight="1" thickTop="1" thickBot="1" x14ac:dyDescent="0.25">
      <c r="A85" s="1281" t="s">
        <v>253</v>
      </c>
      <c r="B85" s="517">
        <v>4210</v>
      </c>
      <c r="C85" s="1673"/>
      <c r="D85" s="1673"/>
      <c r="E85" s="1683"/>
      <c r="F85" s="1673"/>
      <c r="G85" s="1673"/>
      <c r="H85" s="1630">
        <v>2302</v>
      </c>
      <c r="I85" s="1582"/>
      <c r="J85" s="1582"/>
      <c r="K85" s="1681">
        <f>H85</f>
        <v>2302</v>
      </c>
      <c r="L85" s="1626">
        <v>15000</v>
      </c>
    </row>
    <row r="86" spans="1:12" ht="12.75" customHeight="1" thickTop="1" thickBot="1" x14ac:dyDescent="0.25">
      <c r="A86" s="1282" t="s">
        <v>694</v>
      </c>
      <c r="B86" s="518">
        <v>4220</v>
      </c>
      <c r="C86" s="1673"/>
      <c r="D86" s="1673"/>
      <c r="E86" s="1684"/>
      <c r="F86" s="1673"/>
      <c r="G86" s="1673"/>
      <c r="H86" s="1574">
        <v>1471043</v>
      </c>
      <c r="I86" s="1582"/>
      <c r="J86" s="1582"/>
      <c r="K86" s="1681">
        <f t="shared" ref="K86:K98" si="12">H86</f>
        <v>1471043</v>
      </c>
      <c r="L86" s="1626">
        <v>1700000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1473345</v>
      </c>
      <c r="I92" s="1582"/>
      <c r="J92" s="1582"/>
      <c r="K92" s="1681">
        <f t="shared" si="12"/>
        <v>1473345</v>
      </c>
      <c r="L92" s="1674">
        <f>SUM(L85:L91)</f>
        <v>1715000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1719687</v>
      </c>
      <c r="I102" s="1582"/>
      <c r="J102" s="1582"/>
      <c r="K102" s="1681">
        <f>SUM(K84,K92,K100,K101)</f>
        <v>1719687</v>
      </c>
      <c r="L102" s="1681">
        <f>SUM(L84,L92,L100,L101)</f>
        <v>1715000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24266909</v>
      </c>
      <c r="D114" s="1674">
        <f t="shared" ref="D114:K114" si="13">SUM(D33,D74,D75,D102,D112,D113)</f>
        <v>6224264</v>
      </c>
      <c r="E114" s="1674">
        <f t="shared" si="13"/>
        <v>3449578</v>
      </c>
      <c r="F114" s="1674">
        <f t="shared" si="13"/>
        <v>2835750</v>
      </c>
      <c r="G114" s="1674">
        <f t="shared" si="13"/>
        <v>248966</v>
      </c>
      <c r="H114" s="1674">
        <f>SUM(H33,H74,H75,H102,H112,H113)</f>
        <v>1781406</v>
      </c>
      <c r="I114" s="1674">
        <f t="shared" si="13"/>
        <v>323546</v>
      </c>
      <c r="J114" s="1674">
        <f t="shared" si="13"/>
        <v>0</v>
      </c>
      <c r="K114" s="1674">
        <f t="shared" si="13"/>
        <v>39130419</v>
      </c>
      <c r="L114" s="1674">
        <f>SUM(L33,L74,L75,L102,L112,L113)</f>
        <v>37575750</v>
      </c>
    </row>
    <row r="115" spans="1:14" ht="13.5" thickTop="1" x14ac:dyDescent="0.2">
      <c r="A115" s="2296" t="s">
        <v>989</v>
      </c>
      <c r="B115" s="2297"/>
      <c r="C115" s="1675"/>
      <c r="D115" s="1675"/>
      <c r="E115" s="1675"/>
      <c r="F115" s="1675"/>
      <c r="G115" s="1675"/>
      <c r="H115" s="1675"/>
      <c r="I115" s="1675"/>
      <c r="J115" s="1675"/>
      <c r="K115" s="1689">
        <f>'Revenues 9-14'!C268-'Expenditures 15-22'!K114</f>
        <v>1965449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0</v>
      </c>
      <c r="F123" s="1573"/>
      <c r="G123" s="1573">
        <v>0</v>
      </c>
      <c r="H123" s="1573"/>
      <c r="I123" s="1574"/>
      <c r="J123" s="1574"/>
      <c r="K123" s="1674">
        <f>SUM(C123:J123)</f>
        <v>0</v>
      </c>
      <c r="L123" s="1573"/>
    </row>
    <row r="124" spans="1:14" ht="14.25" thickTop="1" thickBot="1" x14ac:dyDescent="0.25">
      <c r="A124" s="1274" t="s">
        <v>195</v>
      </c>
      <c r="B124" s="503">
        <v>2540</v>
      </c>
      <c r="C124" s="1573">
        <v>1899511</v>
      </c>
      <c r="D124" s="1573">
        <v>206428</v>
      </c>
      <c r="E124" s="1573">
        <v>247351</v>
      </c>
      <c r="F124" s="1573">
        <v>125287</v>
      </c>
      <c r="G124" s="1573">
        <v>0</v>
      </c>
      <c r="H124" s="1573"/>
      <c r="I124" s="1574">
        <v>1136</v>
      </c>
      <c r="J124" s="1574"/>
      <c r="K124" s="1674">
        <f>SUM(C124:J124)</f>
        <v>2479713</v>
      </c>
      <c r="L124" s="1573">
        <v>2811200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1899511</v>
      </c>
      <c r="D127" s="1674">
        <f t="shared" ref="D127:L127" si="14">SUM(D122:D126)</f>
        <v>206428</v>
      </c>
      <c r="E127" s="1674">
        <f t="shared" si="14"/>
        <v>247351</v>
      </c>
      <c r="F127" s="1674">
        <f t="shared" si="14"/>
        <v>125287</v>
      </c>
      <c r="G127" s="1674">
        <f t="shared" si="14"/>
        <v>0</v>
      </c>
      <c r="H127" s="1674">
        <f t="shared" si="14"/>
        <v>0</v>
      </c>
      <c r="I127" s="1674">
        <f t="shared" si="14"/>
        <v>1136</v>
      </c>
      <c r="J127" s="1674">
        <f t="shared" si="14"/>
        <v>0</v>
      </c>
      <c r="K127" s="1674">
        <f t="shared" si="14"/>
        <v>2479713</v>
      </c>
      <c r="L127" s="1674">
        <f t="shared" si="14"/>
        <v>2811200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1899511</v>
      </c>
      <c r="D129" s="1681">
        <f t="shared" ref="D129:L129" si="15">SUM(D120,D127,D128)</f>
        <v>206428</v>
      </c>
      <c r="E129" s="1681">
        <f t="shared" si="15"/>
        <v>247351</v>
      </c>
      <c r="F129" s="1681">
        <f t="shared" si="15"/>
        <v>125287</v>
      </c>
      <c r="G129" s="1681">
        <f t="shared" si="15"/>
        <v>0</v>
      </c>
      <c r="H129" s="1681">
        <f t="shared" si="15"/>
        <v>0</v>
      </c>
      <c r="I129" s="1681">
        <f t="shared" si="15"/>
        <v>1136</v>
      </c>
      <c r="J129" s="1681">
        <f t="shared" si="15"/>
        <v>0</v>
      </c>
      <c r="K129" s="1681">
        <f t="shared" si="15"/>
        <v>2479713</v>
      </c>
      <c r="L129" s="1681">
        <f t="shared" si="15"/>
        <v>2811200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6" t="s">
        <v>616</v>
      </c>
      <c r="B151" s="2268"/>
      <c r="C151" s="1674">
        <f>SUM(C129,C130,C139,C149,C150)</f>
        <v>1899511</v>
      </c>
      <c r="D151" s="1674">
        <f t="shared" ref="D151:K151" si="16">SUM(D129,D130,D139,D149,D150)</f>
        <v>206428</v>
      </c>
      <c r="E151" s="1674">
        <f t="shared" si="16"/>
        <v>247351</v>
      </c>
      <c r="F151" s="1674">
        <f t="shared" si="16"/>
        <v>125287</v>
      </c>
      <c r="G151" s="1674">
        <f t="shared" si="16"/>
        <v>0</v>
      </c>
      <c r="H151" s="1674">
        <f t="shared" si="16"/>
        <v>0</v>
      </c>
      <c r="I151" s="1674">
        <f t="shared" si="16"/>
        <v>1136</v>
      </c>
      <c r="J151" s="1674">
        <f t="shared" si="16"/>
        <v>0</v>
      </c>
      <c r="K151" s="1674">
        <f t="shared" si="16"/>
        <v>2479713</v>
      </c>
      <c r="L151" s="1674">
        <f>SUM(L129,L130,L139,L149,L150)</f>
        <v>2811200</v>
      </c>
    </row>
    <row r="152" spans="1:14" ht="12.75" customHeight="1" thickTop="1" x14ac:dyDescent="0.2">
      <c r="A152" s="2289" t="s">
        <v>1168</v>
      </c>
      <c r="B152" s="2290"/>
      <c r="C152" s="1675"/>
      <c r="D152" s="1675"/>
      <c r="E152" s="1675"/>
      <c r="F152" s="1675"/>
      <c r="G152" s="1675"/>
      <c r="H152" s="1675"/>
      <c r="I152" s="1675"/>
      <c r="J152" s="1673"/>
      <c r="K152" s="1689">
        <f>'Revenues 9-14'!D268-'Expenditures 15-22'!K151</f>
        <v>57020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2484300</v>
      </c>
      <c r="I169" s="1673"/>
      <c r="J169" s="1673"/>
      <c r="K169" s="1672">
        <f>SUM(C169:H169)</f>
        <v>2484300</v>
      </c>
      <c r="L169" s="1695">
        <v>2484300</v>
      </c>
    </row>
    <row r="170" spans="1:14" ht="33.75" customHeight="1" x14ac:dyDescent="0.2">
      <c r="A170" s="543" t="s">
        <v>1651</v>
      </c>
      <c r="B170" s="545" t="s">
        <v>31</v>
      </c>
      <c r="C170" s="1673"/>
      <c r="D170" s="1673"/>
      <c r="E170" s="1673"/>
      <c r="F170" s="1673"/>
      <c r="G170" s="1673"/>
      <c r="H170" s="1646">
        <v>0</v>
      </c>
      <c r="I170" s="1673"/>
      <c r="J170" s="1673"/>
      <c r="K170" s="1672">
        <f>SUM(C170:J170)</f>
        <v>0</v>
      </c>
      <c r="L170" s="1646"/>
    </row>
    <row r="171" spans="1:14" ht="15.75" customHeight="1" x14ac:dyDescent="0.2">
      <c r="A171" s="507" t="s">
        <v>761</v>
      </c>
      <c r="B171" s="546" t="s">
        <v>84</v>
      </c>
      <c r="C171" s="1673"/>
      <c r="D171" s="1673"/>
      <c r="E171" s="1573"/>
      <c r="F171" s="1673"/>
      <c r="G171" s="1673"/>
      <c r="H171" s="1646">
        <v>3350</v>
      </c>
      <c r="I171" s="1582"/>
      <c r="J171" s="1673"/>
      <c r="K171" s="1672">
        <f>SUM(C171:J171)</f>
        <v>3350</v>
      </c>
      <c r="L171" s="1646"/>
    </row>
    <row r="172" spans="1:14" ht="12.75" customHeight="1" thickBot="1" x14ac:dyDescent="0.25">
      <c r="A172" s="1380" t="s">
        <v>633</v>
      </c>
      <c r="B172" s="1381" t="s">
        <v>489</v>
      </c>
      <c r="C172" s="1673"/>
      <c r="D172" s="1673"/>
      <c r="E172" s="1681">
        <f>SUM(E168,E169,E170,E171)</f>
        <v>0</v>
      </c>
      <c r="F172" s="1673"/>
      <c r="G172" s="1673"/>
      <c r="H172" s="1681">
        <f>SUM(H168,H169,H170,H171)</f>
        <v>2487650</v>
      </c>
      <c r="I172" s="1684"/>
      <c r="J172" s="1673"/>
      <c r="K172" s="1681">
        <f>SUM(K168,K169,K170,K171)</f>
        <v>2487650</v>
      </c>
      <c r="L172" s="1681">
        <f>SUM(L168,L169,L170,L171)</f>
        <v>2484300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2487650</v>
      </c>
      <c r="I174" s="1684"/>
      <c r="J174" s="1673"/>
      <c r="K174" s="1681">
        <f>SUM(K160,K172,K173)</f>
        <v>2487650</v>
      </c>
      <c r="L174" s="1681">
        <f>SUM(L160,L172,L173)</f>
        <v>2484300</v>
      </c>
    </row>
    <row r="175" spans="1:14" ht="13.5" thickTop="1" x14ac:dyDescent="0.2">
      <c r="A175" s="2296" t="s">
        <v>989</v>
      </c>
      <c r="B175" s="2297"/>
      <c r="C175" s="1673"/>
      <c r="D175" s="1673"/>
      <c r="E175" s="1673"/>
      <c r="F175" s="1673"/>
      <c r="G175" s="1673"/>
      <c r="H175" s="1675"/>
      <c r="I175" s="1673"/>
      <c r="J175" s="1673"/>
      <c r="K175" s="1689">
        <f>'Revenues 9-14'!E268-'Expenditures 15-22'!K174</f>
        <v>-30942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430159</v>
      </c>
      <c r="D182" s="1573">
        <v>92321</v>
      </c>
      <c r="E182" s="1573">
        <v>629353</v>
      </c>
      <c r="F182" s="1573">
        <v>52917</v>
      </c>
      <c r="G182" s="1573">
        <v>0</v>
      </c>
      <c r="H182" s="1573">
        <v>205498</v>
      </c>
      <c r="I182" s="1574">
        <v>0</v>
      </c>
      <c r="J182" s="1574"/>
      <c r="K182" s="1672">
        <f>SUM(C182:J182)</f>
        <v>1410248</v>
      </c>
      <c r="L182" s="1573">
        <v>1250650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430159</v>
      </c>
      <c r="D184" s="1681">
        <f t="shared" ref="D184:J184" si="17">SUM(D180,D182,D183)</f>
        <v>92321</v>
      </c>
      <c r="E184" s="1681">
        <f t="shared" si="17"/>
        <v>629353</v>
      </c>
      <c r="F184" s="1681">
        <f t="shared" si="17"/>
        <v>52917</v>
      </c>
      <c r="G184" s="1681">
        <f t="shared" si="17"/>
        <v>0</v>
      </c>
      <c r="H184" s="1681">
        <f t="shared" si="17"/>
        <v>205498</v>
      </c>
      <c r="I184" s="1681">
        <f t="shared" si="17"/>
        <v>0</v>
      </c>
      <c r="J184" s="1681">
        <f t="shared" si="17"/>
        <v>0</v>
      </c>
      <c r="K184" s="1681">
        <f>SUM(K180,K182,K183)</f>
        <v>1410248</v>
      </c>
      <c r="L184" s="1681">
        <f>SUM(L180, L182:L183)</f>
        <v>1250650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430159</v>
      </c>
      <c r="D210" s="1674">
        <f>SUM(D184,D185)</f>
        <v>92321</v>
      </c>
      <c r="E210" s="1674">
        <f>SUM(E184,E185,E196)</f>
        <v>629353</v>
      </c>
      <c r="F210" s="1674">
        <f>SUM(F184,F185)</f>
        <v>52917</v>
      </c>
      <c r="G210" s="1674">
        <f>SUM(G184,G185)</f>
        <v>0</v>
      </c>
      <c r="H210" s="1674">
        <f>SUM(H184,H185,H196,H208,H209)</f>
        <v>205498</v>
      </c>
      <c r="I210" s="1674">
        <f>SUM(I184,I185)</f>
        <v>0</v>
      </c>
      <c r="J210" s="1674">
        <f>SUM(J184,J185)</f>
        <v>0</v>
      </c>
      <c r="K210" s="1672">
        <f>SUM(K184,K185,K196,K208,K209)</f>
        <v>1410248</v>
      </c>
      <c r="L210" s="1674">
        <f>SUM(L184,L185,L196,L208,L209)</f>
        <v>1250650</v>
      </c>
    </row>
    <row r="211" spans="1:14" ht="13.5" thickTop="1" x14ac:dyDescent="0.2">
      <c r="A211" s="2296" t="s">
        <v>989</v>
      </c>
      <c r="B211" s="2297"/>
      <c r="C211" s="1675"/>
      <c r="D211" s="1675"/>
      <c r="E211" s="1675"/>
      <c r="F211" s="1675"/>
      <c r="G211" s="1675"/>
      <c r="H211" s="1675"/>
      <c r="I211" s="1673"/>
      <c r="J211" s="1673"/>
      <c r="K211" s="1689">
        <f>'Revenues 9-14'!F268-'Expenditures 15-22'!K210</f>
        <v>-378818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551318</v>
      </c>
      <c r="E215" s="1673"/>
      <c r="F215" s="1673"/>
      <c r="G215" s="1673"/>
      <c r="H215" s="1673"/>
      <c r="I215" s="1673"/>
      <c r="J215" s="1673"/>
      <c r="K215" s="1672">
        <f>D215</f>
        <v>551318</v>
      </c>
      <c r="L215" s="1573">
        <v>548000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140142</v>
      </c>
      <c r="E217" s="1673"/>
      <c r="F217" s="1673"/>
      <c r="G217" s="1673"/>
      <c r="H217" s="1673"/>
      <c r="I217" s="1673"/>
      <c r="J217" s="1673"/>
      <c r="K217" s="1672">
        <f t="shared" si="19"/>
        <v>140142</v>
      </c>
      <c r="L217" s="1573">
        <v>105250</v>
      </c>
    </row>
    <row r="218" spans="1:14" x14ac:dyDescent="0.2">
      <c r="A218" s="1274" t="s">
        <v>276</v>
      </c>
      <c r="B218" s="503" t="s">
        <v>962</v>
      </c>
      <c r="C218" s="1673"/>
      <c r="D218" s="1574">
        <v>29</v>
      </c>
      <c r="E218" s="1673"/>
      <c r="F218" s="1673"/>
      <c r="G218" s="1673"/>
      <c r="H218" s="1673"/>
      <c r="I218" s="1673"/>
      <c r="J218" s="1673"/>
      <c r="K218" s="1672">
        <f t="shared" si="19"/>
        <v>29</v>
      </c>
      <c r="L218" s="1573">
        <v>750</v>
      </c>
    </row>
    <row r="219" spans="1:14" x14ac:dyDescent="0.2">
      <c r="A219" s="1274" t="s">
        <v>277</v>
      </c>
      <c r="B219" s="503">
        <v>1250</v>
      </c>
      <c r="C219" s="1673"/>
      <c r="D219" s="1573">
        <v>70033</v>
      </c>
      <c r="E219" s="1673"/>
      <c r="F219" s="1673"/>
      <c r="G219" s="1673"/>
      <c r="H219" s="1673"/>
      <c r="I219" s="1673"/>
      <c r="J219" s="1673"/>
      <c r="K219" s="1672">
        <f t="shared" si="19"/>
        <v>70033</v>
      </c>
      <c r="L219" s="1573">
        <v>50200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0</v>
      </c>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0</v>
      </c>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38345</v>
      </c>
      <c r="E227" s="1673"/>
      <c r="F227" s="1673"/>
      <c r="G227" s="1673"/>
      <c r="H227" s="1673"/>
      <c r="I227" s="1673"/>
      <c r="J227" s="1673"/>
      <c r="K227" s="1672">
        <f t="shared" si="19"/>
        <v>38345</v>
      </c>
      <c r="L227" s="1573">
        <v>30800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799867</v>
      </c>
      <c r="E229" s="1673"/>
      <c r="F229" s="1673"/>
      <c r="G229" s="1673"/>
      <c r="H229" s="1673"/>
      <c r="I229" s="1673"/>
      <c r="J229" s="1673"/>
      <c r="K229" s="1674">
        <f>SUM(K215:K228)</f>
        <v>799867</v>
      </c>
      <c r="L229" s="1674">
        <f>SUM(L215:L228)</f>
        <v>735000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7444</v>
      </c>
      <c r="E232" s="1673"/>
      <c r="F232" s="1673"/>
      <c r="G232" s="1673"/>
      <c r="H232" s="1673"/>
      <c r="I232" s="1673"/>
      <c r="J232" s="1673"/>
      <c r="K232" s="1672">
        <f t="shared" ref="K232:K237" si="20">D232</f>
        <v>7444</v>
      </c>
      <c r="L232" s="1573">
        <v>7500</v>
      </c>
    </row>
    <row r="233" spans="1:12" x14ac:dyDescent="0.2">
      <c r="A233" s="1274" t="s">
        <v>1081</v>
      </c>
      <c r="B233" s="503">
        <v>2120</v>
      </c>
      <c r="C233" s="1673"/>
      <c r="D233" s="1573">
        <v>1425</v>
      </c>
      <c r="E233" s="1673"/>
      <c r="F233" s="1673"/>
      <c r="G233" s="1673"/>
      <c r="H233" s="1673"/>
      <c r="I233" s="1673"/>
      <c r="J233" s="1673"/>
      <c r="K233" s="1672">
        <f t="shared" si="20"/>
        <v>1425</v>
      </c>
      <c r="L233" s="1573">
        <v>700</v>
      </c>
    </row>
    <row r="234" spans="1:12" x14ac:dyDescent="0.2">
      <c r="A234" s="1274" t="s">
        <v>196</v>
      </c>
      <c r="B234" s="503">
        <v>2130</v>
      </c>
      <c r="C234" s="1673"/>
      <c r="D234" s="1573">
        <v>0</v>
      </c>
      <c r="E234" s="1673"/>
      <c r="F234" s="1673"/>
      <c r="G234" s="1673"/>
      <c r="H234" s="1673"/>
      <c r="I234" s="1673"/>
      <c r="J234" s="1673"/>
      <c r="K234" s="1672">
        <f t="shared" si="20"/>
        <v>0</v>
      </c>
      <c r="L234" s="1573">
        <v>7150</v>
      </c>
    </row>
    <row r="235" spans="1:12" x14ac:dyDescent="0.2">
      <c r="A235" s="1274" t="s">
        <v>197</v>
      </c>
      <c r="B235" s="503">
        <v>2140</v>
      </c>
      <c r="C235" s="1673"/>
      <c r="D235" s="1573">
        <v>3906</v>
      </c>
      <c r="E235" s="1673"/>
      <c r="F235" s="1673"/>
      <c r="G235" s="1673"/>
      <c r="H235" s="1673"/>
      <c r="I235" s="1673"/>
      <c r="J235" s="1673"/>
      <c r="K235" s="1672">
        <f t="shared" si="20"/>
        <v>3906</v>
      </c>
      <c r="L235" s="1573">
        <v>3500</v>
      </c>
    </row>
    <row r="236" spans="1:12" x14ac:dyDescent="0.2">
      <c r="A236" s="1274" t="s">
        <v>198</v>
      </c>
      <c r="B236" s="503">
        <v>2150</v>
      </c>
      <c r="C236" s="1673"/>
      <c r="D236" s="1573">
        <v>4252</v>
      </c>
      <c r="E236" s="1673"/>
      <c r="F236" s="1673"/>
      <c r="G236" s="1673"/>
      <c r="H236" s="1673"/>
      <c r="I236" s="1673"/>
      <c r="J236" s="1673"/>
      <c r="K236" s="1672">
        <f t="shared" si="20"/>
        <v>4252</v>
      </c>
      <c r="L236" s="1573">
        <v>4300</v>
      </c>
    </row>
    <row r="237" spans="1:12" x14ac:dyDescent="0.2">
      <c r="A237" s="1274" t="s">
        <v>164</v>
      </c>
      <c r="B237" s="503">
        <v>2190</v>
      </c>
      <c r="C237" s="1673"/>
      <c r="D237" s="1573">
        <v>0</v>
      </c>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17027</v>
      </c>
      <c r="E238" s="1673"/>
      <c r="F238" s="1673"/>
      <c r="G238" s="1673"/>
      <c r="H238" s="1673"/>
      <c r="I238" s="1673"/>
      <c r="J238" s="1673"/>
      <c r="K238" s="1674">
        <f>SUM(K232:K237)</f>
        <v>17027</v>
      </c>
      <c r="L238" s="1674">
        <f>SUM(L232:L237)</f>
        <v>23150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8610</v>
      </c>
      <c r="E240" s="1673"/>
      <c r="F240" s="1673"/>
      <c r="G240" s="1673"/>
      <c r="H240" s="1673"/>
      <c r="I240" s="1673"/>
      <c r="J240" s="1673"/>
      <c r="K240" s="1678">
        <f>D240</f>
        <v>8610</v>
      </c>
      <c r="L240" s="1586">
        <v>18545</v>
      </c>
    </row>
    <row r="241" spans="1:12" x14ac:dyDescent="0.2">
      <c r="A241" s="1274" t="s">
        <v>810</v>
      </c>
      <c r="B241" s="503">
        <v>2220</v>
      </c>
      <c r="C241" s="1673"/>
      <c r="D241" s="1573">
        <v>6186</v>
      </c>
      <c r="E241" s="1673"/>
      <c r="F241" s="1673"/>
      <c r="G241" s="1673"/>
      <c r="H241" s="1673"/>
      <c r="I241" s="1673"/>
      <c r="J241" s="1673"/>
      <c r="K241" s="1678">
        <f>D241</f>
        <v>6186</v>
      </c>
      <c r="L241" s="1573">
        <v>5550</v>
      </c>
    </row>
    <row r="242" spans="1:12" x14ac:dyDescent="0.2">
      <c r="A242" s="1274" t="s">
        <v>811</v>
      </c>
      <c r="B242" s="503">
        <v>2230</v>
      </c>
      <c r="C242" s="1673"/>
      <c r="D242" s="1573">
        <v>0</v>
      </c>
      <c r="E242" s="1673"/>
      <c r="F242" s="1673"/>
      <c r="G242" s="1673"/>
      <c r="H242" s="1673"/>
      <c r="I242" s="1673"/>
      <c r="J242" s="1673"/>
      <c r="K242" s="1678">
        <f>D242</f>
        <v>0</v>
      </c>
      <c r="L242" s="1573">
        <v>200</v>
      </c>
    </row>
    <row r="243" spans="1:12" ht="12.75" customHeight="1" thickBot="1" x14ac:dyDescent="0.25">
      <c r="A243" s="1396" t="s">
        <v>557</v>
      </c>
      <c r="B243" s="1397">
        <v>2200</v>
      </c>
      <c r="C243" s="1673"/>
      <c r="D243" s="1674">
        <f>SUM(D240:D242)</f>
        <v>14796</v>
      </c>
      <c r="E243" s="1673"/>
      <c r="F243" s="1673"/>
      <c r="G243" s="1673"/>
      <c r="H243" s="1673"/>
      <c r="I243" s="1673"/>
      <c r="J243" s="1673"/>
      <c r="K243" s="1674">
        <f>SUM(K240:K242)</f>
        <v>14796</v>
      </c>
      <c r="L243" s="1674">
        <f>SUM(L240:L242)</f>
        <v>24295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10529</v>
      </c>
      <c r="E245" s="1673"/>
      <c r="F245" s="1673"/>
      <c r="G245" s="1673"/>
      <c r="H245" s="1673"/>
      <c r="I245" s="1673"/>
      <c r="J245" s="1673"/>
      <c r="K245" s="1678">
        <f>D245</f>
        <v>10529</v>
      </c>
      <c r="L245" s="1586">
        <v>47300</v>
      </c>
    </row>
    <row r="246" spans="1:12" x14ac:dyDescent="0.2">
      <c r="A246" s="1274" t="s">
        <v>813</v>
      </c>
      <c r="B246" s="503">
        <v>2320</v>
      </c>
      <c r="C246" s="1673"/>
      <c r="D246" s="1573">
        <v>22046</v>
      </c>
      <c r="E246" s="1673"/>
      <c r="F246" s="1673"/>
      <c r="G246" s="1673"/>
      <c r="H246" s="1673"/>
      <c r="I246" s="1673"/>
      <c r="J246" s="1673"/>
      <c r="K246" s="1678">
        <f t="shared" ref="K246:K256" si="21">D246</f>
        <v>22046</v>
      </c>
      <c r="L246" s="1573">
        <v>24450</v>
      </c>
    </row>
    <row r="247" spans="1:12" x14ac:dyDescent="0.2">
      <c r="A247" s="1274" t="s">
        <v>814</v>
      </c>
      <c r="B247" s="503">
        <v>2330</v>
      </c>
      <c r="C247" s="1673"/>
      <c r="D247" s="1573">
        <v>13332</v>
      </c>
      <c r="E247" s="1673"/>
      <c r="F247" s="1673"/>
      <c r="G247" s="1673"/>
      <c r="H247" s="1673"/>
      <c r="I247" s="1673"/>
      <c r="J247" s="1673"/>
      <c r="K247" s="1678">
        <f t="shared" si="21"/>
        <v>13332</v>
      </c>
      <c r="L247" s="1573">
        <v>13000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88149</v>
      </c>
      <c r="E254" s="1673"/>
      <c r="F254" s="1673"/>
      <c r="G254" s="1673"/>
      <c r="H254" s="1673"/>
      <c r="I254" s="1673"/>
      <c r="J254" s="1673"/>
      <c r="K254" s="1678">
        <f t="shared" si="21"/>
        <v>88149</v>
      </c>
      <c r="L254" s="1573">
        <v>67500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134056</v>
      </c>
      <c r="E257" s="1673"/>
      <c r="F257" s="1673"/>
      <c r="G257" s="1673"/>
      <c r="H257" s="1673"/>
      <c r="I257" s="1673"/>
      <c r="J257" s="1673"/>
      <c r="K257" s="1674">
        <f>SUM(K245:K256)</f>
        <v>134056</v>
      </c>
      <c r="L257" s="1674">
        <f>SUM(L245:L256)</f>
        <v>152250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77564</v>
      </c>
      <c r="E259" s="1673"/>
      <c r="F259" s="1673"/>
      <c r="G259" s="1673"/>
      <c r="H259" s="1673"/>
      <c r="I259" s="1673"/>
      <c r="J259" s="1673"/>
      <c r="K259" s="1678">
        <f>D259</f>
        <v>77564</v>
      </c>
      <c r="L259" s="1586">
        <v>69000</v>
      </c>
    </row>
    <row r="260" spans="1:14" s="493" customFormat="1" x14ac:dyDescent="0.2">
      <c r="A260" s="1292" t="s">
        <v>1780</v>
      </c>
      <c r="B260" s="512">
        <v>2490</v>
      </c>
      <c r="C260" s="1673"/>
      <c r="D260" s="1573">
        <v>0</v>
      </c>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77564</v>
      </c>
      <c r="E261" s="1673"/>
      <c r="F261" s="1673"/>
      <c r="G261" s="1673"/>
      <c r="H261" s="1673"/>
      <c r="I261" s="1673"/>
      <c r="J261" s="1673"/>
      <c r="K261" s="1674">
        <f>SUM(K259:K260)</f>
        <v>77564</v>
      </c>
      <c r="L261" s="1674">
        <f>SUM(L259:L260)</f>
        <v>69000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15329</v>
      </c>
      <c r="E263" s="1673"/>
      <c r="F263" s="1673"/>
      <c r="G263" s="1673"/>
      <c r="H263" s="1673"/>
      <c r="I263" s="1673"/>
      <c r="J263" s="1673"/>
      <c r="K263" s="1678">
        <f>D263</f>
        <v>15329</v>
      </c>
      <c r="L263" s="1586">
        <v>15600</v>
      </c>
    </row>
    <row r="264" spans="1:14" x14ac:dyDescent="0.2">
      <c r="A264" s="1274" t="s">
        <v>460</v>
      </c>
      <c r="B264" s="559">
        <v>2520</v>
      </c>
      <c r="C264" s="1673"/>
      <c r="D264" s="1573">
        <v>52340</v>
      </c>
      <c r="E264" s="1673"/>
      <c r="F264" s="1673"/>
      <c r="G264" s="1673"/>
      <c r="H264" s="1673"/>
      <c r="I264" s="1673"/>
      <c r="J264" s="1673"/>
      <c r="K264" s="1678">
        <f t="shared" ref="K264:K269" si="22">D264</f>
        <v>52340</v>
      </c>
      <c r="L264" s="1573">
        <v>48130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306407</v>
      </c>
      <c r="E266" s="1673"/>
      <c r="F266" s="1673"/>
      <c r="G266" s="1673"/>
      <c r="H266" s="1673"/>
      <c r="I266" s="1673"/>
      <c r="J266" s="1673"/>
      <c r="K266" s="1678">
        <f t="shared" si="22"/>
        <v>306407</v>
      </c>
      <c r="L266" s="1573">
        <v>340700</v>
      </c>
    </row>
    <row r="267" spans="1:14" x14ac:dyDescent="0.2">
      <c r="A267" s="1274" t="s">
        <v>947</v>
      </c>
      <c r="B267" s="503">
        <v>2550</v>
      </c>
      <c r="C267" s="1673"/>
      <c r="D267" s="1573">
        <v>74050</v>
      </c>
      <c r="E267" s="1673"/>
      <c r="F267" s="1673"/>
      <c r="G267" s="1673"/>
      <c r="H267" s="1673"/>
      <c r="I267" s="1673"/>
      <c r="J267" s="1673"/>
      <c r="K267" s="1678">
        <f t="shared" si="22"/>
        <v>74050</v>
      </c>
      <c r="L267" s="1573">
        <v>74820</v>
      </c>
    </row>
    <row r="268" spans="1:14" x14ac:dyDescent="0.2">
      <c r="A268" s="1274" t="s">
        <v>100</v>
      </c>
      <c r="B268" s="503">
        <v>2560</v>
      </c>
      <c r="C268" s="1673"/>
      <c r="D268" s="1573">
        <v>96751</v>
      </c>
      <c r="E268" s="1673"/>
      <c r="F268" s="1673"/>
      <c r="G268" s="1673"/>
      <c r="H268" s="1673"/>
      <c r="I268" s="1673"/>
      <c r="J268" s="1673"/>
      <c r="K268" s="1678">
        <f t="shared" si="22"/>
        <v>96751</v>
      </c>
      <c r="L268" s="1573">
        <v>99500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544877</v>
      </c>
      <c r="E270" s="1673"/>
      <c r="F270" s="1673"/>
      <c r="G270" s="1673"/>
      <c r="H270" s="1673"/>
      <c r="I270" s="1673"/>
      <c r="J270" s="1673"/>
      <c r="K270" s="1674">
        <f>SUM(K263:K269)</f>
        <v>544877</v>
      </c>
      <c r="L270" s="1674">
        <f>SUM(L263:L269)</f>
        <v>578750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0</v>
      </c>
      <c r="E274" s="1673"/>
      <c r="F274" s="1673"/>
      <c r="G274" s="1673"/>
      <c r="H274" s="1673"/>
      <c r="I274" s="1673"/>
      <c r="J274" s="1673"/>
      <c r="K274" s="1678">
        <f>D274</f>
        <v>0</v>
      </c>
      <c r="L274" s="1573"/>
    </row>
    <row r="275" spans="1:12" x14ac:dyDescent="0.2">
      <c r="A275" s="1274" t="s">
        <v>400</v>
      </c>
      <c r="B275" s="503">
        <v>2640</v>
      </c>
      <c r="C275" s="1673"/>
      <c r="D275" s="1573">
        <v>0</v>
      </c>
      <c r="E275" s="1673"/>
      <c r="F275" s="1673"/>
      <c r="G275" s="1673"/>
      <c r="H275" s="1673"/>
      <c r="I275" s="1673"/>
      <c r="J275" s="1673"/>
      <c r="K275" s="1678">
        <f>D275</f>
        <v>0</v>
      </c>
      <c r="L275" s="1573">
        <v>200</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200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788320</v>
      </c>
      <c r="E279" s="1673"/>
      <c r="F279" s="1673"/>
      <c r="G279" s="1673"/>
      <c r="H279" s="1673"/>
      <c r="I279" s="1673"/>
      <c r="J279" s="1673"/>
      <c r="K279" s="1681">
        <f>SUM(K238,K243,K257,K261,K270,K277,K278)</f>
        <v>788320</v>
      </c>
      <c r="L279" s="1681">
        <f>SUM(L238,L243,L257,L261,L270,L277,L278)</f>
        <v>847645</v>
      </c>
    </row>
    <row r="280" spans="1:12" ht="15.75" customHeight="1" thickTop="1" thickBot="1" x14ac:dyDescent="0.25">
      <c r="A280" s="1362" t="s">
        <v>870</v>
      </c>
      <c r="B280" s="1351">
        <v>3000</v>
      </c>
      <c r="C280" s="1673"/>
      <c r="D280" s="1651">
        <v>22266</v>
      </c>
      <c r="E280" s="1673"/>
      <c r="F280" s="1673"/>
      <c r="G280" s="1673"/>
      <c r="H280" s="1673"/>
      <c r="I280" s="1673"/>
      <c r="J280" s="1673"/>
      <c r="K280" s="1687">
        <f>D280</f>
        <v>22266</v>
      </c>
      <c r="L280" s="1651">
        <v>23550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7" t="s">
        <v>502</v>
      </c>
      <c r="B295" s="2288"/>
      <c r="C295" s="1673"/>
      <c r="D295" s="1674">
        <f>SUM(D229,D279,D280,D285)</f>
        <v>1610453</v>
      </c>
      <c r="E295" s="1673"/>
      <c r="F295" s="1673"/>
      <c r="G295" s="1673"/>
      <c r="H295" s="1674">
        <f>H293</f>
        <v>0</v>
      </c>
      <c r="I295" s="1673"/>
      <c r="J295" s="1673"/>
      <c r="K295" s="1674">
        <f>SUM(K229,K279,K280,K285,K293,K294)</f>
        <v>1610453</v>
      </c>
      <c r="L295" s="1674">
        <f>SUM(L229,L279,L280,L285,L293,L294)</f>
        <v>1606195</v>
      </c>
    </row>
    <row r="296" spans="1:14" ht="13.5" thickTop="1" x14ac:dyDescent="0.2">
      <c r="A296" s="2296" t="s">
        <v>989</v>
      </c>
      <c r="B296" s="2297"/>
      <c r="C296" s="1673"/>
      <c r="D296" s="1675"/>
      <c r="E296" s="1673"/>
      <c r="F296" s="1673"/>
      <c r="G296" s="1673"/>
      <c r="H296" s="1707"/>
      <c r="I296" s="1673"/>
      <c r="J296" s="1673"/>
      <c r="K296" s="1689">
        <f>'Revenues 9-14'!G268-'Expenditures 15-22'!K295</f>
        <v>-6273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53653</v>
      </c>
      <c r="F301" s="1573"/>
      <c r="G301" s="1573">
        <v>32908887</v>
      </c>
      <c r="H301" s="1573">
        <v>0</v>
      </c>
      <c r="I301" s="1574"/>
      <c r="J301" s="1574"/>
      <c r="K301" s="1672">
        <f>SUM(C301:J301)</f>
        <v>32962540</v>
      </c>
      <c r="L301" s="1574">
        <v>37196802</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53653</v>
      </c>
      <c r="F303" s="1681">
        <f t="shared" si="23"/>
        <v>0</v>
      </c>
      <c r="G303" s="1681">
        <f t="shared" si="23"/>
        <v>32908887</v>
      </c>
      <c r="H303" s="1681">
        <f t="shared" si="23"/>
        <v>0</v>
      </c>
      <c r="I303" s="1681">
        <f t="shared" si="23"/>
        <v>0</v>
      </c>
      <c r="J303" s="1681">
        <f t="shared" si="23"/>
        <v>0</v>
      </c>
      <c r="K303" s="1681">
        <f t="shared" si="23"/>
        <v>32962540</v>
      </c>
      <c r="L303" s="1681">
        <f t="shared" si="23"/>
        <v>37196802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4" t="s">
        <v>275</v>
      </c>
      <c r="B312" s="2285"/>
      <c r="C312" s="1674">
        <f>SUM(C303)</f>
        <v>0</v>
      </c>
      <c r="D312" s="1674">
        <f>SUM(D303)</f>
        <v>0</v>
      </c>
      <c r="E312" s="1674">
        <f>SUM(E303,E310)</f>
        <v>53653</v>
      </c>
      <c r="F312" s="1674">
        <f>SUM(F303)</f>
        <v>0</v>
      </c>
      <c r="G312" s="1674">
        <f>SUM(G303)</f>
        <v>32908887</v>
      </c>
      <c r="H312" s="1674">
        <f>SUM(H303,H310)</f>
        <v>0</v>
      </c>
      <c r="I312" s="1674">
        <f>SUM(I303)</f>
        <v>0</v>
      </c>
      <c r="J312" s="1674">
        <f>SUM(J303)</f>
        <v>0</v>
      </c>
      <c r="K312" s="1674">
        <f>SUM(K303,K310,K311)</f>
        <v>32962540</v>
      </c>
      <c r="L312" s="1674">
        <f>SUM(L303,L310,L311)</f>
        <v>37196802</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-32552222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0</v>
      </c>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0</v>
      </c>
      <c r="D325" s="1574">
        <v>0</v>
      </c>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15708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-132</v>
      </c>
      <c r="F349" s="1573"/>
      <c r="G349" s="1573"/>
      <c r="H349" s="1573">
        <v>0</v>
      </c>
      <c r="I349" s="1574"/>
      <c r="J349" s="1574"/>
      <c r="K349" s="1672">
        <f>SUM(C349:J349)</f>
        <v>-132</v>
      </c>
      <c r="L349" s="1573"/>
    </row>
    <row r="350" spans="1:14" ht="12.75" customHeight="1" thickBot="1" x14ac:dyDescent="0.25">
      <c r="A350" s="1380" t="s">
        <v>714</v>
      </c>
      <c r="B350" s="1381" t="s">
        <v>35</v>
      </c>
      <c r="C350" s="1674">
        <f>SUM(C348:C349)</f>
        <v>0</v>
      </c>
      <c r="D350" s="1674">
        <f t="shared" ref="D350:L350" si="26">SUM(D348:D349)</f>
        <v>0</v>
      </c>
      <c r="E350" s="1674">
        <f t="shared" si="26"/>
        <v>-132</v>
      </c>
      <c r="F350" s="1674">
        <f t="shared" si="26"/>
        <v>0</v>
      </c>
      <c r="G350" s="1674">
        <f t="shared" si="26"/>
        <v>0</v>
      </c>
      <c r="H350" s="1674">
        <f t="shared" si="26"/>
        <v>0</v>
      </c>
      <c r="I350" s="1674">
        <f t="shared" si="26"/>
        <v>0</v>
      </c>
      <c r="J350" s="1674">
        <f t="shared" si="26"/>
        <v>0</v>
      </c>
      <c r="K350" s="1674">
        <f t="shared" si="26"/>
        <v>-132</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-132</v>
      </c>
      <c r="F352" s="1674">
        <f t="shared" si="27"/>
        <v>0</v>
      </c>
      <c r="G352" s="1674">
        <f t="shared" si="27"/>
        <v>0</v>
      </c>
      <c r="H352" s="1674">
        <f t="shared" si="27"/>
        <v>0</v>
      </c>
      <c r="I352" s="1674">
        <f t="shared" si="27"/>
        <v>0</v>
      </c>
      <c r="J352" s="1674">
        <f t="shared" si="27"/>
        <v>0</v>
      </c>
      <c r="K352" s="1674">
        <f t="shared" si="27"/>
        <v>-132</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-132</v>
      </c>
      <c r="F367" s="1674">
        <f t="shared" si="28"/>
        <v>0</v>
      </c>
      <c r="G367" s="1674">
        <f t="shared" si="28"/>
        <v>0</v>
      </c>
      <c r="H367" s="1674">
        <f t="shared" si="28"/>
        <v>0</v>
      </c>
      <c r="I367" s="1674">
        <f t="shared" si="28"/>
        <v>0</v>
      </c>
      <c r="J367" s="1674">
        <f t="shared" si="28"/>
        <v>0</v>
      </c>
      <c r="K367" s="1674">
        <f t="shared" si="28"/>
        <v>-132</v>
      </c>
      <c r="L367" s="1674">
        <f t="shared" si="28"/>
        <v>0</v>
      </c>
    </row>
    <row r="368" spans="1:14" ht="13.5" thickTop="1" x14ac:dyDescent="0.2">
      <c r="A368" s="2296" t="s">
        <v>989</v>
      </c>
      <c r="B368" s="2297"/>
      <c r="C368" s="1694"/>
      <c r="D368" s="1694"/>
      <c r="E368" s="1677"/>
      <c r="F368" s="1677"/>
      <c r="G368" s="1677"/>
      <c r="H368" s="1677"/>
      <c r="I368" s="1677"/>
      <c r="J368" s="1676"/>
      <c r="K368" s="1672">
        <f>'Revenues 9-14'!K268-'Expenditures 15-22'!K367</f>
        <v>7465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terms/"/>
    <ds:schemaRef ds:uri="http://www.w3.org/XML/1998/namespace"/>
    <ds:schemaRef ds:uri="4d435f69-8686-490b-bd6d-b153bf22ab50"/>
    <ds:schemaRef ds:uri="http://schemas.microsoft.com/office/infopath/2007/PartnerControls"/>
    <ds:schemaRef ds:uri="http://purl.org/dc/dcmitype/"/>
    <ds:schemaRef ds:uri="http://schemas.microsoft.com/sharepoint/v3"/>
    <ds:schemaRef ds:uri="http://schemas.microsoft.com/office/2006/metadata/properties"/>
    <ds:schemaRef ds:uri="http://schemas.openxmlformats.org/package/2006/metadata/core-properties"/>
    <ds:schemaRef ds:uri="6ce3111e-7420-4802-b50a-75d4e9a0b980"/>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 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2020-12-16T03:38:47Z</cp:lastPrinted>
  <dcterms:created xsi:type="dcterms:W3CDTF">2003-10-29T19:06:34Z</dcterms:created>
  <dcterms:modified xsi:type="dcterms:W3CDTF">2020-12-18T02:22:03Z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3cf372e4-c01d-435e-88a9-9186a30f0917</vt:lpwstr>
  </property>
</Properties>
</file>