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8CF87DA-F092-4C12-BC89-B3CB5D093D1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SEFA'!$B$1:$M$43</definedName>
    <definedName name="_xlnm.Print_Area" localSheetId="28">' SEFA (2)'!$B$1:$M$48</definedName>
    <definedName name="_xlnm.Print_Area" localSheetId="29">'SEFA NOTES'!$A$1:$F$40</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6" i="169" l="1"/>
  <c r="Q39" i="127" l="1"/>
  <c r="Q24" i="127"/>
  <c r="G38" i="174" l="1"/>
  <c r="L22" i="185" l="1"/>
  <c r="L21" i="185"/>
  <c r="L20" i="185"/>
  <c r="L19" i="185"/>
  <c r="L18" i="185"/>
  <c r="L17" i="185"/>
  <c r="L16" i="185"/>
  <c r="L15" i="185"/>
  <c r="L14" i="185"/>
  <c r="L13" i="185"/>
  <c r="L12" i="185"/>
  <c r="K28" i="185"/>
  <c r="J28" i="185"/>
  <c r="I28" i="185"/>
  <c r="H28" i="185"/>
  <c r="G28" i="185"/>
  <c r="F28" i="185"/>
  <c r="E28" i="185"/>
  <c r="L27" i="185"/>
  <c r="L26" i="185"/>
  <c r="K23" i="185"/>
  <c r="J23" i="185"/>
  <c r="I23" i="185"/>
  <c r="H23" i="185"/>
  <c r="G23" i="185"/>
  <c r="F23" i="185"/>
  <c r="E23" i="185"/>
  <c r="K24" i="179"/>
  <c r="J24" i="179"/>
  <c r="I24" i="179"/>
  <c r="H24" i="179"/>
  <c r="G24" i="179"/>
  <c r="F24" i="179"/>
  <c r="E24" i="179"/>
  <c r="K17" i="179"/>
  <c r="J17" i="179"/>
  <c r="I17" i="179"/>
  <c r="H17" i="179"/>
  <c r="G17" i="179"/>
  <c r="F17" i="179"/>
  <c r="E17" i="179"/>
  <c r="I9" i="185"/>
  <c r="G9" i="185"/>
  <c r="F9" i="185"/>
  <c r="E9" i="185"/>
  <c r="J8" i="185"/>
  <c r="H8" i="185"/>
  <c r="I15" i="184"/>
  <c r="I13" i="184"/>
  <c r="I12" i="184"/>
  <c r="L23" i="185" l="1"/>
  <c r="F30" i="185"/>
  <c r="D35" i="171" s="1"/>
  <c r="J30" i="185"/>
  <c r="I30" i="185"/>
  <c r="D45" i="174" s="1"/>
  <c r="G30" i="185"/>
  <c r="K30" i="185"/>
  <c r="E30" i="185"/>
  <c r="H30" i="185"/>
  <c r="L2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0" i="183"/>
  <c r="F109" i="183"/>
  <c r="F107" i="183"/>
  <c r="F106" i="183"/>
  <c r="F105" i="183"/>
  <c r="F104" i="183"/>
  <c r="F102" i="183"/>
  <c r="F100" i="183"/>
  <c r="F99" i="183"/>
  <c r="F98" i="183"/>
  <c r="F97" i="183"/>
  <c r="F96" i="183"/>
  <c r="F95" i="183"/>
  <c r="F93" i="183"/>
  <c r="F92" i="183"/>
  <c r="F91" i="183"/>
  <c r="F90" i="183"/>
  <c r="F89" i="183"/>
  <c r="F87" i="183"/>
  <c r="F83" i="183"/>
  <c r="F82" i="183"/>
  <c r="F78" i="183"/>
  <c r="F77" i="183"/>
  <c r="F76" i="183"/>
  <c r="F75" i="183"/>
  <c r="F73" i="183"/>
  <c r="F71" i="183"/>
  <c r="F69" i="183"/>
  <c r="F68" i="183"/>
  <c r="F67" i="183"/>
  <c r="F66" i="183"/>
  <c r="F65" i="183"/>
  <c r="F64" i="183"/>
  <c r="F63" i="183"/>
  <c r="F62" i="183"/>
  <c r="F61" i="183"/>
  <c r="F60" i="183"/>
  <c r="F59" i="183"/>
  <c r="F58" i="183"/>
  <c r="F55" i="183"/>
  <c r="F54" i="183"/>
  <c r="F53" i="183"/>
  <c r="F52" i="183"/>
  <c r="F51" i="183"/>
  <c r="F50" i="183"/>
  <c r="F49" i="183"/>
  <c r="F48" i="183"/>
  <c r="F47" i="183"/>
  <c r="F45" i="183"/>
  <c r="F44" i="183"/>
  <c r="F43" i="183"/>
  <c r="F42" i="183"/>
  <c r="F41" i="183"/>
  <c r="F40" i="183"/>
  <c r="F39" i="183"/>
  <c r="F38" i="183"/>
  <c r="F37" i="183"/>
  <c r="F36" i="183"/>
  <c r="F35" i="183"/>
  <c r="F33" i="183"/>
  <c r="F31" i="183"/>
  <c r="F30" i="183"/>
  <c r="F28" i="183"/>
  <c r="F27" i="183"/>
  <c r="F26"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F111" i="183" s="1"/>
  <c r="E110" i="183"/>
  <c r="E109" i="183"/>
  <c r="E108" i="183"/>
  <c r="F108" i="183" s="1"/>
  <c r="E107" i="183"/>
  <c r="E106" i="183"/>
  <c r="E105" i="183"/>
  <c r="E104" i="183"/>
  <c r="E103" i="183"/>
  <c r="F103" i="183" s="1"/>
  <c r="E102" i="183"/>
  <c r="E101" i="183"/>
  <c r="F101" i="183" s="1"/>
  <c r="E100" i="183"/>
  <c r="E99" i="183"/>
  <c r="E98" i="183"/>
  <c r="E97" i="183"/>
  <c r="E96" i="183"/>
  <c r="E95" i="183"/>
  <c r="E94" i="183"/>
  <c r="F94" i="183" s="1"/>
  <c r="E93" i="183"/>
  <c r="E92" i="183"/>
  <c r="E91" i="183"/>
  <c r="E90" i="183"/>
  <c r="E89" i="183"/>
  <c r="E88" i="183"/>
  <c r="F88" i="183" s="1"/>
  <c r="E87" i="183"/>
  <c r="E86" i="183"/>
  <c r="F86" i="183" s="1"/>
  <c r="E85" i="183"/>
  <c r="F85" i="183" s="1"/>
  <c r="E84" i="183"/>
  <c r="F84" i="183" s="1"/>
  <c r="E83" i="183"/>
  <c r="E82" i="183"/>
  <c r="E81" i="183"/>
  <c r="F81" i="183" s="1"/>
  <c r="E80" i="183"/>
  <c r="F80" i="183" s="1"/>
  <c r="E79" i="183"/>
  <c r="F79" i="183" s="1"/>
  <c r="E78" i="183"/>
  <c r="E77" i="183"/>
  <c r="E76" i="183"/>
  <c r="E75" i="183"/>
  <c r="E74" i="183"/>
  <c r="F74" i="183" s="1"/>
  <c r="E73" i="183"/>
  <c r="E72" i="183"/>
  <c r="F72" i="183" s="1"/>
  <c r="E71" i="183"/>
  <c r="E70" i="183"/>
  <c r="F70" i="183" s="1"/>
  <c r="E69" i="183"/>
  <c r="E68" i="183"/>
  <c r="E67" i="183"/>
  <c r="E66" i="183"/>
  <c r="E65" i="183"/>
  <c r="E64" i="183"/>
  <c r="E63" i="183"/>
  <c r="E62" i="183"/>
  <c r="E61" i="183"/>
  <c r="E60" i="183"/>
  <c r="E59" i="183"/>
  <c r="E58" i="183"/>
  <c r="E57" i="183"/>
  <c r="F57" i="183" s="1"/>
  <c r="E56" i="183"/>
  <c r="F56" i="183" s="1"/>
  <c r="E55" i="183"/>
  <c r="E54" i="183"/>
  <c r="E53" i="183"/>
  <c r="E52" i="183"/>
  <c r="E51" i="183"/>
  <c r="E50" i="183"/>
  <c r="E49" i="183"/>
  <c r="E48" i="183"/>
  <c r="E47" i="183"/>
  <c r="E46" i="183"/>
  <c r="F46" i="183" s="1"/>
  <c r="E45" i="183"/>
  <c r="E44" i="183"/>
  <c r="E43" i="183"/>
  <c r="E42" i="183"/>
  <c r="E41" i="183"/>
  <c r="E40" i="183"/>
  <c r="E39" i="183"/>
  <c r="E38" i="183"/>
  <c r="E37" i="183"/>
  <c r="E36" i="183"/>
  <c r="E35" i="183"/>
  <c r="E34" i="183"/>
  <c r="F34" i="183" s="1"/>
  <c r="E33" i="183"/>
  <c r="E32" i="183"/>
  <c r="F32" i="183" s="1"/>
  <c r="E31" i="183"/>
  <c r="E30" i="183"/>
  <c r="E29" i="183"/>
  <c r="F29" i="183" s="1"/>
  <c r="E28" i="183"/>
  <c r="E27" i="183"/>
  <c r="E26" i="183"/>
  <c r="E25" i="183"/>
  <c r="F25" i="183" s="1"/>
  <c r="E24" i="183"/>
  <c r="F24" i="183" s="1"/>
  <c r="E23" i="183"/>
  <c r="E22" i="183"/>
  <c r="E21" i="183"/>
  <c r="E20" i="183"/>
  <c r="E19" i="183"/>
  <c r="F19" i="183" s="1"/>
  <c r="E18" i="183"/>
  <c r="F18" i="183" s="1"/>
  <c r="E17" i="183"/>
  <c r="F17" i="183" s="1"/>
  <c r="B7885" i="106" l="1"/>
  <c r="D7885" i="106" s="1"/>
  <c r="B7884" i="106"/>
  <c r="D7884" i="106" s="1"/>
  <c r="B7883" i="106"/>
  <c r="D7883" i="106" s="1"/>
  <c r="B7882" i="106"/>
  <c r="D7882" i="106" s="1"/>
  <c r="E10" i="108" l="1"/>
  <c r="B11" i="7"/>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2" i="179"/>
  <c r="L21" i="179"/>
  <c r="L20" i="179"/>
  <c r="L16" i="179"/>
  <c r="L15" i="179"/>
  <c r="L14" i="179"/>
  <c r="L13" i="179"/>
  <c r="L12" i="179"/>
  <c r="L24" i="179" l="1"/>
  <c r="L17" i="179"/>
  <c r="L30" i="185" s="1"/>
  <c r="D14" i="171"/>
  <c r="D12" i="171"/>
  <c r="A10" i="169"/>
  <c r="A14" i="169"/>
  <c r="K18" i="169"/>
  <c r="G18" i="169"/>
  <c r="G15" i="169"/>
  <c r="I13" i="169"/>
  <c r="G10" i="169"/>
  <c r="G9" i="169"/>
  <c r="G7" i="169"/>
  <c r="E7" i="169"/>
  <c r="A7" i="169"/>
  <c r="B1" i="185" s="1"/>
  <c r="B4" i="177"/>
  <c r="B4" i="176"/>
  <c r="B4" i="175"/>
  <c r="G43" i="174"/>
  <c r="D47"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43" i="127"/>
  <c r="B44" i="127"/>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H28" i="118" l="1"/>
  <c r="D24" i="37"/>
  <c r="B4270" i="106" s="1"/>
  <c r="D4270" i="106" s="1"/>
  <c r="L22" i="37"/>
  <c r="D69" i="36"/>
  <c r="H33" i="118"/>
  <c r="B7078" i="106"/>
  <c r="D7078" i="106" s="1"/>
  <c r="B7074" i="106"/>
  <c r="D7074" i="106" s="1"/>
  <c r="B2724" i="106"/>
  <c r="D2724" i="106" s="1"/>
  <c r="F34" i="34"/>
  <c r="B7826" i="106" s="1"/>
  <c r="D7826" i="106" s="1"/>
  <c r="C129" i="29"/>
  <c r="C151" i="29" s="1"/>
  <c r="B1226" i="106" s="1"/>
  <c r="D1226" i="106" s="1"/>
  <c r="F52" i="34"/>
  <c r="B7831" i="106" s="1"/>
  <c r="D7831" i="106" s="1"/>
  <c r="F50" i="34"/>
  <c r="F70" i="34"/>
  <c r="F42" i="34"/>
  <c r="G30" i="108"/>
  <c r="H76" i="4"/>
  <c r="B3298" i="106" s="1"/>
  <c r="D3298" i="106" s="1"/>
  <c r="B6289" i="106"/>
  <c r="D6289" i="106" s="1"/>
  <c r="J210" i="29"/>
  <c r="B7072" i="106" s="1"/>
  <c r="D7072" i="106" s="1"/>
  <c r="F77" i="4"/>
  <c r="B3255" i="106" s="1"/>
  <c r="D3255" i="106" s="1"/>
  <c r="C342" i="29"/>
  <c r="B7216" i="106" s="1"/>
  <c r="D7216" i="106" s="1"/>
  <c r="H15" i="184"/>
  <c r="H12" i="184"/>
  <c r="G39" i="108"/>
  <c r="F36" i="108"/>
  <c r="G26" i="108"/>
  <c r="H365" i="29"/>
  <c r="B7242" i="106" s="1"/>
  <c r="D7242" i="106" s="1"/>
  <c r="B1274" i="106"/>
  <c r="D1274" i="106" s="1"/>
  <c r="D31" i="108"/>
  <c r="E16" i="184"/>
  <c r="H16" i="184" s="1"/>
  <c r="G14" i="4"/>
  <c r="B2609" i="106" s="1"/>
  <c r="D2609" i="106" s="1"/>
  <c r="F72" i="34"/>
  <c r="F36" i="34"/>
  <c r="B7828" i="106" s="1"/>
  <c r="D7828" i="106" s="1"/>
  <c r="D36" i="108"/>
  <c r="B7126" i="106"/>
  <c r="D7126" i="106" s="1"/>
  <c r="E57" i="184"/>
  <c r="N57" i="184" s="1"/>
  <c r="B2836" i="106"/>
  <c r="D2836" i="106" s="1"/>
  <c r="G33" i="108"/>
  <c r="E17" i="184"/>
  <c r="H17" i="184" s="1"/>
  <c r="H342" i="29"/>
  <c r="B7221" i="106" s="1"/>
  <c r="D7221" i="106" s="1"/>
  <c r="C352" i="29"/>
  <c r="B3621" i="106" s="1"/>
  <c r="D3621" i="106" s="1"/>
  <c r="B7696" i="106"/>
  <c r="D7696" i="106" s="1"/>
  <c r="E66" i="184"/>
  <c r="N66" i="184" s="1"/>
  <c r="B7171" i="106"/>
  <c r="D7171" i="106" s="1"/>
  <c r="E62" i="184"/>
  <c r="N62" i="184" s="1"/>
  <c r="B7135" i="106"/>
  <c r="D7135" i="106" s="1"/>
  <c r="E58" i="184"/>
  <c r="I210" i="29"/>
  <c r="B7071" i="106" s="1"/>
  <c r="D7071" i="106" s="1"/>
  <c r="B7198" i="106"/>
  <c r="D7198" i="106" s="1"/>
  <c r="E65" i="184"/>
  <c r="N65" i="184" s="1"/>
  <c r="B7162" i="106"/>
  <c r="D7162" i="106" s="1"/>
  <c r="E61" i="184"/>
  <c r="N61" i="184" s="1"/>
  <c r="B7189" i="106"/>
  <c r="D7189" i="106" s="1"/>
  <c r="E64" i="184"/>
  <c r="N64" i="184" s="1"/>
  <c r="B7153" i="106"/>
  <c r="D7153" i="106" s="1"/>
  <c r="E60" i="184"/>
  <c r="N60" i="184" s="1"/>
  <c r="B7705" i="106"/>
  <c r="D7705" i="106" s="1"/>
  <c r="E67" i="184"/>
  <c r="N67" i="184" s="1"/>
  <c r="B7180" i="106"/>
  <c r="D7180" i="106" s="1"/>
  <c r="E63" i="184"/>
  <c r="N63"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K28" i="118" l="1"/>
  <c r="O27" i="118" s="1"/>
  <c r="O29" i="118" s="1"/>
  <c r="B1225" i="106"/>
  <c r="D1225" i="106" s="1"/>
  <c r="H151" i="29"/>
  <c r="B1273" i="106" s="1"/>
  <c r="D1273" i="106" s="1"/>
  <c r="L16" i="11"/>
  <c r="B2061" i="106" s="1"/>
  <c r="D2061" i="106" s="1"/>
  <c r="B1328" i="106"/>
  <c r="D1328" i="106" s="1"/>
  <c r="H77" i="4"/>
  <c r="B3299" i="106" s="1"/>
  <c r="D3299" i="106" s="1"/>
  <c r="F41" i="108"/>
  <c r="G43" i="108" s="1"/>
  <c r="C367" i="29"/>
  <c r="B3622" i="106" s="1"/>
  <c r="D3622" i="106" s="1"/>
  <c r="N23" i="3"/>
  <c r="B284" i="106" s="1"/>
  <c r="D284" i="106" s="1"/>
  <c r="K77" i="4"/>
  <c r="B3587" i="106" s="1"/>
  <c r="D3587" i="106" s="1"/>
  <c r="B4435" i="106"/>
  <c r="D4435" i="106" s="1"/>
  <c r="B5527" i="106"/>
  <c r="D5527" i="106" s="1"/>
  <c r="H19" i="184"/>
  <c r="L20" i="184" s="1"/>
  <c r="E19" i="184"/>
  <c r="B1381" i="106"/>
  <c r="D1381" i="106" s="1"/>
  <c r="K342" i="29"/>
  <c r="F13" i="34" s="1"/>
  <c r="F66" i="34"/>
  <c r="L114" i="29"/>
  <c r="G170" i="5"/>
  <c r="B5778" i="106" s="1"/>
  <c r="D5778" i="106" s="1"/>
  <c r="K365" i="29"/>
  <c r="K16" i="4" s="1"/>
  <c r="B7235" i="106"/>
  <c r="D7235" i="106" s="1"/>
  <c r="E367" i="29"/>
  <c r="B3636" i="106" s="1"/>
  <c r="D3636" i="106" s="1"/>
  <c r="B3635" i="106"/>
  <c r="D3635" i="106" s="1"/>
  <c r="N58" i="184"/>
  <c r="N68" i="184" s="1"/>
  <c r="E68" i="184"/>
  <c r="B7220" i="106"/>
  <c r="D7220" i="106" s="1"/>
  <c r="F75" i="34"/>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G6" i="4" l="1"/>
  <c r="B2604" i="106" s="1"/>
  <c r="D2604" i="106" s="1"/>
  <c r="B1145" i="106"/>
  <c r="D1145" i="106" s="1"/>
  <c r="B7243" i="106"/>
  <c r="D7243" i="106" s="1"/>
  <c r="B7224" i="106"/>
  <c r="D7224" i="106" s="1"/>
  <c r="K367" i="29"/>
  <c r="B7886" i="106"/>
  <c r="D7886"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J10" i="4"/>
  <c r="B6225" i="106" s="1"/>
  <c r="D6225" i="106" s="1"/>
  <c r="K17" i="4"/>
  <c r="B3575" i="106" s="1"/>
  <c r="D3575" i="106" s="1"/>
  <c r="F8" i="4"/>
  <c r="F10" i="4" s="1"/>
  <c r="B4125" i="106" s="1"/>
  <c r="D4125" i="106" s="1"/>
  <c r="B6227" i="106"/>
  <c r="D6227"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20" i="4" l="1"/>
  <c r="B3576" i="106" s="1"/>
  <c r="D3576" i="106" s="1"/>
  <c r="K19" i="4"/>
  <c r="B4144" i="106" s="1"/>
  <c r="D4144" i="106" s="1"/>
  <c r="D8" i="146"/>
  <c r="B2595" i="106"/>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K78" i="4" l="1"/>
  <c r="B3588" i="106" s="1"/>
  <c r="D3588" i="106" s="1"/>
  <c r="B6215" i="106"/>
  <c r="D6215" i="106" s="1"/>
  <c r="J41" i="3"/>
  <c r="D78" i="4"/>
  <c r="D81" i="4" s="1"/>
  <c r="D39" i="3" s="1"/>
  <c r="F78" i="34"/>
  <c r="F80" i="34" s="1"/>
  <c r="B7837" i="106" s="1"/>
  <c r="D7837" i="106" s="1"/>
  <c r="B7822" i="106"/>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K81" i="4" l="1"/>
  <c r="K39" i="3" s="1"/>
  <c r="B3239" i="106"/>
  <c r="D3239" i="106" s="1"/>
  <c r="B2912" i="106"/>
  <c r="D2912" i="106" s="1"/>
  <c r="I41" i="3"/>
  <c r="B3567" i="106"/>
  <c r="D3567" i="106" s="1"/>
  <c r="K41" i="3"/>
  <c r="B123" i="106"/>
  <c r="D123" i="106" s="1"/>
  <c r="D41" i="3"/>
  <c r="B212" i="106"/>
  <c r="D212" i="106" s="1"/>
  <c r="H41" i="3"/>
  <c r="D51" i="36"/>
  <c r="B6216" i="106"/>
  <c r="D6216" i="106" s="1"/>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B170" i="106"/>
  <c r="D170" i="106" s="1"/>
  <c r="F41" i="3"/>
  <c r="D76" i="36"/>
  <c r="B92" i="106"/>
  <c r="D92" i="106" s="1"/>
  <c r="C41" i="3"/>
  <c r="B3568" i="106"/>
  <c r="D3568" i="106" s="1"/>
  <c r="D52" i="36"/>
  <c r="B140" i="106"/>
  <c r="D140" i="106" s="1"/>
  <c r="E41" i="3"/>
  <c r="B124" i="106"/>
  <c r="D124" i="106" s="1"/>
  <c r="D45" i="36"/>
  <c r="B2913" i="106"/>
  <c r="D2913" i="106" s="1"/>
  <c r="D50" i="36"/>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93" i="106"/>
  <c r="D93" i="106" s="1"/>
  <c r="D44" i="36"/>
  <c r="B171" i="106"/>
  <c r="D171" i="106" s="1"/>
  <c r="D47" i="36"/>
  <c r="D48" i="36"/>
  <c r="B190" i="106"/>
  <c r="D190"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<sst xmlns="http://schemas.openxmlformats.org/spreadsheetml/2006/main" count="5536" uniqueCount="2276">
  <si>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</si>
  <si>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</si>
  <si>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</si>
  <si>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</si>
  <si>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</si>
  <si>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</si>
  <si>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</si>
  <si>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</si>
  <si>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</si>
  <si>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</si>
  <si>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</si>
  <si>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</si>
  <si>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</si>
  <si>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</si>
  <si>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</si>
  <si>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</si>
  <si>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</si>
  <si>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</si>
  <si>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</si>
  <si>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</si>
  <si>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</si>
  <si>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</si>
  <si>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</si>
  <si>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</si>
  <si>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</si>
  <si>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</si>
  <si>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</si>
  <si>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</si>
  <si>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</si>
  <si>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</si>
  <si>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</si>
  <si>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</si>
  <si>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</si>
  <si>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</si>
  <si>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</si>
  <si>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</si>
  <si>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</si>
  <si>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</si>
  <si>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</si>
  <si>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</si>
  <si>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</si>
  <si>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</si>
  <si>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</si>
  <si>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</si>
  <si>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</si>
  <si>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</si>
  <si>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</si>
  <si>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</si>
  <si>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</si>
  <si>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</si>
  <si>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</si>
  <si>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</si>
  <si>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</si>
  <si>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</si>
  <si>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</si>
  <si>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</si>
  <si>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</si>
  <si>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</si>
  <si>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</si>
  <si>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</si>
  <si>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</si>
  <si>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</si>
  <si>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</si>
  <si>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</si>
  <si>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</si>
  <si>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</si>
  <si>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</si>
  <si>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</si>
  <si>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</si>
  <si>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</si>
  <si>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</si>
  <si>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</si>
  <si>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</si>
  <si>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</si>
  <si>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</si>
  <si>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</si>
  <si>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</si>
  <si>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</si>
  <si>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</si>
  <si>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</si>
  <si>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</si>
  <si>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</si>
  <si>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</si>
  <si>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</si>
  <si>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</si>
  <si>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</si>
  <si>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</si>
  <si>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</si>
  <si>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</si>
  <si>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</si>
  <si>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</si>
  <si>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</si>
  <si>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</si>
  <si>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</si>
  <si>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</si>
  <si>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</si>
  <si>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</si>
  <si>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</si>
  <si>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</si>
  <si>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</si>
  <si>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</si>
  <si>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</si>
  <si>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</si>
  <si>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</si>
  <si>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</si>
  <si>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</si>
  <si>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</si>
  <si>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</si>
  <si>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</si>
  <si>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</si>
  <si>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</si>
  <si>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</si>
  <si>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</si>
  <si>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</si>
  <si>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</si>
  <si>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</si>
  <si>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</si>
  <si>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</si>
  <si>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</si>
  <si>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</si>
  <si>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</si>
  <si>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</si>
  <si>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</si>
  <si>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</si>
  <si>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</si>
  <si>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</si>
  <si>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</si>
  <si>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</si>
  <si>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</si>
  <si>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</si>
  <si>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</si>
  <si>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</si>
  <si>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</si>
  <si>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</si>
  <si>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</si>
  <si>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</si>
  <si>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</si>
  <si>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</si>
  <si>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</si>
  <si>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</si>
  <si>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</si>
  <si>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</si>
  <si>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</si>
  <si>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</si>
  <si>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</si>
  <si>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</si>
  <si>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</si>
  <si>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</si>
  <si>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</si>
  <si>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</si>
  <si>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</si>
  <si>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</si>
  <si>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</si>
  <si>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</si>
  <si>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</si>
  <si>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</si>
  <si>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</si>
  <si>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</si>
  <si>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</si>
  <si>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</si>
  <si>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</si>
  <si>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</si>
  <si>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</si>
  <si>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</si>
  <si>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</si>
  <si>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</si>
  <si>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</si>
  <si>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</si>
  <si>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</si>
  <si>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</si>
  <si>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</si>
  <si>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</si>
  <si>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</si>
  <si>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</si>
  <si>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</si>
  <si>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</si>
  <si>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</si>
  <si>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</si>
  <si>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</si>
  <si>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</si>
  <si>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</si>
  <si>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</si>
  <si>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</si>
  <si>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</si>
  <si>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</si>
  <si>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</si>
  <si>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</si>
  <si>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</si>
  <si>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</si>
  <si>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</si>
  <si>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</si>
  <si>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</si>
  <si>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</si>
  <si>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</si>
  <si>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</si>
  <si>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</si>
  <si>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</si>
  <si>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</si>
  <si>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</si>
  <si>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</si>
  <si>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</si>
  <si>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</si>
  <si>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</si>
  <si>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</si>
  <si>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</si>
  <si>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</si>
  <si>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</si>
  <si>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</si>
  <si>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</si>
  <si>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</si>
  <si>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</si>
  <si>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</si>
  <si>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</si>
  <si>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</si>
  <si>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</si>
  <si>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</si>
  <si>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</si>
  <si>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</si>
  <si>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</si>
  <si>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</si>
  <si>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</si>
  <si>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</si>
  <si>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</si>
  <si>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</si>
  <si>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</si>
  <si>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</si>
  <si>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</si>
  <si>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</si>
  <si>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</si>
  <si>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</si>
  <si>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</si>
  <si>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</si>
  <si>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</si>
  <si>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</si>
  <si>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</si>
  <si>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</si>
  <si>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</si>
  <si>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</si>
  <si>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</si>
  <si>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</si>
  <si>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</si>
  <si>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</si>
  <si>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</si>
  <si>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</si>
  <si>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</si>
  <si>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</si>
  <si>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</si>
  <si>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</si>
  <si>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</si>
  <si>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</si>
  <si>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</si>
  <si>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</si>
  <si>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</si>
  <si>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</si>
  <si>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</si>
  <si>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</si>
  <si>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</si>
  <si>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</si>
  <si>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</si>
  <si>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</si>
  <si>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</si>
  <si>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</si>
  <si>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</si>
  <si>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</si>
  <si>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</si>
  <si>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</si>
  <si>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</si>
  <si>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</si>
  <si>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</si>
  <si>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</si>
  <si>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</si>
  <si>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</si>
  <si>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</si>
  <si>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</si>
  <si>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</si>
  <si>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</si>
  <si>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</si>
  <si>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</si>
  <si>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</si>
  <si>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</si>
  <si>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</si>
  <si>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</si>
  <si>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</si>
  <si>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</si>
  <si>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</si>
  <si>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</si>
  <si>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</si>
  <si>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</si>
  <si>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</si>
  <si>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</si>
  <si>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</si>
  <si>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</si>
  <si>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</si>
  <si>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</si>
  <si>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</si>
  <si>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</si>
  <si>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</si>
  <si>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</si>
  <si>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</si>
  <si>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</si>
  <si>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</si>
  <si>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</si>
  <si>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</si>
  <si>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</si>
  <si>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</si>
  <si>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</si>
  <si>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</si>
  <si>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</si>
  <si>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</si>
  <si>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</si>
  <si>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</si>
  <si>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</si>
  <si>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</si>
  <si>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</si>
  <si>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</si>
  <si>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</si>
  <si>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</si>
  <si>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</si>
  <si>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</si>
  <si>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</si>
  <si>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</si>
  <si>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</si>
  <si>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</si>
  <si>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</si>
  <si>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</si>
  <si>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</si>
  <si>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</si>
  <si>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</si>
  <si>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</si>
  <si>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</si>
  <si>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</si>
  <si>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</si>
  <si>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</si>
  <si>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</si>
  <si>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</si>
  <si>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</si>
  <si>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</si>
  <si>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</si>
  <si>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</si>
  <si>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</si>
  <si>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</si>
  <si>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</si>
  <si>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</si>
  <si>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</si>
  <si>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</si>
  <si>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</si>
  <si>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</si>
  <si>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</si>
  <si>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</si>
  <si>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</si>
  <si>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</si>
  <si>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</si>
  <si>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</si>
  <si>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</si>
  <si>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</si>
  <si>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</si>
  <si>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</si>
  <si>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</si>
  <si>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</si>
  <si>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</si>
  <si>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</si>
  <si>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</si>
  <si>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</si>
  <si>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</si>
  <si>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</si>
  <si>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</si>
  <si>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</si>
  <si>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</si>
  <si>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</si>
  <si>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</si>
  <si>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</si>
  <si>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</si>
  <si>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</si>
  <si>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</si>
  <si>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</si>
  <si>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</si>
  <si>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</si>
  <si>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</si>
  <si>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</si>
  <si>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</si>
  <si>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</si>
  <si>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</si>
  <si>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</si>
  <si>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</si>
  <si>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</si>
  <si>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</si>
  <si>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</si>
  <si>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</si>
  <si>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</si>
  <si>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</si>
  <si>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</si>
  <si>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</si>
  <si>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</si>
  <si>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</si>
  <si>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</si>
  <si>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</si>
  <si>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</si>
  <si>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</si>
  <si>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</si>
  <si>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</si>
  <si>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</si>
  <si>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</si>
  <si>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</si>
  <si>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</si>
  <si>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</si>
  <si>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</si>
  <si>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</si>
  <si>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</si>
  <si>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</si>
  <si>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</si>
  <si>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</si>
  <si>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</si>
  <si>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</si>
  <si>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</si>
  <si>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</si>
  <si>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</si>
  <si>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</si>
  <si>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</si>
  <si>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</si>
  <si>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</si>
  <si>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</si>
  <si>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</si>
  <si>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</si>
  <si>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</si>
  <si>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</si>
  <si>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</si>
  <si>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</si>
  <si>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</si>
  <si>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</si>
  <si>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</si>
  <si>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</si>
  <si>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</si>
  <si>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</si>
  <si>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</si>
  <si>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</si>
  <si>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</si>
  <si>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</si>
  <si>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</si>
  <si>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</si>
  <si>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</si>
  <si>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</si>
  <si>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</si>
  <si>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</si>
  <si>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</si>
  <si>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</si>
  <si>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</si>
  <si>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</si>
  <si>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</si>
  <si>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</si>
  <si>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</si>
  <si>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</si>
  <si>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</si>
  <si>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</si>
  <si>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</si>
  <si>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</si>
  <si>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</si>
  <si>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</si>
  <si>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</si>
  <si>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</si>
  <si>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</si>
  <si>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</si>
  <si>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</si>
  <si>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</si>
  <si>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</si>
  <si>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</si>
  <si>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</si>
  <si>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</si>
  <si>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</si>
  <si>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</si>
  <si>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</si>
  <si>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</si>
  <si>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</si>
  <si>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</si>
  <si>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</si>
  <si>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</si>
  <si>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</si>
  <si>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</si>
  <si>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</si>
  <si>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</si>
  <si>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</si>
  <si>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</si>
  <si>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</si>
  <si>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</si>
  <si>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</si>
  <si>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</si>
  <si>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</si>
  <si>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</si>
  <si>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</si>
  <si>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</si>
  <si>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</si>
  <si>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</si>
  <si>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</si>
  <si>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</si>
  <si>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</si>
  <si>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</si>
  <si>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</si>
  <si>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</si>
  <si>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</si>
  <si>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</si>
  <si>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</si>
  <si>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</si>
  <si>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</si>
  <si>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</si>
  <si>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</si>
  <si>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</si>
  <si>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</si>
  <si>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</si>
  <si>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</si>
  <si>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</si>
  <si>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</si>
  <si>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</si>
  <si>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</si>
  <si>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</si>
  <si>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</si>
  <si>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</si>
  <si>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</si>
  <si>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</si>
  <si>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</si>
  <si>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</si>
  <si>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</si>
  <si>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</si>
  <si>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</si>
  <si>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</si>
  <si>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</si>
  <si>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</si>
  <si>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</si>
  <si>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</si>
  <si>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</si>
  <si>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</si>
  <si>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</si>
  <si>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</si>
  <si>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</si>
  <si>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</si>
  <si>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</si>
  <si>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</si>
  <si>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</si>
  <si>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</si>
  <si>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</si>
  <si>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</si>
  <si>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</si>
  <si>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</si>
  <si>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</si>
  <si>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</si>
  <si>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</si>
  <si>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</si>
  <si>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</si>
  <si>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</si>
  <si>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</si>
  <si>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</si>
  <si>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</si>
  <si>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</si>
  <si>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</si>
  <si>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</si>
  <si>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</si>
  <si>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</si>
  <si>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</si>
  <si>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</si>
  <si>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</si>
  <si>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</si>
  <si>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</si>
  <si>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</si>
  <si>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</si>
  <si>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</si>
  <si>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</si>
  <si>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</si>
  <si>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</si>
  <si>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</si>
  <si>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</si>
  <si>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</si>
  <si>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</si>
  <si>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</si>
  <si>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</si>
  <si>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</si>
  <si>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</si>
  <si>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</si>
  <si>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</si>
  <si>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</si>
  <si>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</si>
  <si>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</si>
  <si>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</si>
  <si>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</si>
  <si>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</si>
  <si>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</si>
  <si>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</si>
  <si>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</si>
  <si>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</si>
  <si>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</si>
  <si>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</si>
  <si>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</si>
  <si>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</si>
  <si>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</si>
  <si>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</si>
  <si>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</si>
  <si>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</si>
  <si>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</si>
  <si>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</si>
  <si>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</si>
  <si>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</si>
  <si>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</si>
  <si>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</si>
  <si>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</si>
  <si>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</si>
  <si>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</si>
  <si>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</si>
  <si>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</si>
  <si>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</si>
  <si>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</si>
  <si>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</si>
  <si>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</si>
  <si>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</si>
  <si>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</si>
  <si>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</si>
  <si>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</si>
  <si>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</si>
  <si>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</si>
  <si>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</si>
  <si>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</si>
  <si>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</si>
  <si>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</si>
  <si>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</si>
  <si>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</si>
  <si>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</si>
  <si>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</si>
  <si>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</si>
  <si>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</si>
  <si>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</si>
  <si>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</si>
  <si>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</si>
  <si>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</si>
  <si>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</si>
  <si>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</si>
  <si>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</si>
  <si>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</si>
  <si>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</si>
  <si>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</si>
  <si>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</si>
  <si>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</si>
  <si>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</si>
  <si>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</si>
  <si>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</si>
  <si>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</si>
  <si>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</si>
  <si>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</si>
  <si>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</si>
  <si>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</si>
  <si>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</si>
  <si>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</si>
  <si>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</si>
  <si>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</si>
  <si>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</si>
  <si>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</si>
  <si>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</si>
  <si>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</si>
  <si>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</si>
  <si>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</si>
  <si>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</si>
  <si>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</si>
  <si>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</si>
  <si>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</si>
  <si>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</si>
  <si>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</si>
  <si>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</si>
  <si>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</si>
  <si>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</si>
  <si>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</si>
  <si>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</si>
  <si>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</si>
  <si>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</si>
  <si>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</si>
  <si>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</si>
  <si>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</si>
  <si>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</si>
  <si>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</si>
  <si>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</si>
  <si>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</si>
  <si>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</si>
  <si>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</si>
  <si>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</si>
  <si>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</si>
  <si>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</si>
  <si>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</si>
  <si>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</si>
  <si>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</si>
  <si>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</si>
  <si>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</si>
  <si>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</si>
  <si>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</si>
  <si>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</si>
  <si>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</si>
  <si>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</si>
  <si>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</si>
  <si>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</si>
  <si>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</si>
  <si>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</si>
  <si>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</si>
  <si>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</si>
  <si>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</si>
  <si>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</si>
  <si>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</si>
  <si>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</si>
  <si>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</si>
  <si>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</si>
  <si>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</si>
  <si>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</si>
  <si>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</si>
  <si>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</si>
  <si>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</si>
  <si>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</si>
  <si>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</si>
  <si>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</si>
  <si>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</si>
  <si>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</si>
  <si>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</si>
  <si>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</si>
  <si>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</si>
  <si>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</si>
  <si>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</si>
  <si>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</si>
  <si>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</si>
  <si>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</si>
  <si>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</si>
  <si>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</si>
  <si>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</si>
  <si>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</si>
  <si>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</si>
  <si>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</si>
  <si>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</si>
  <si>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</si>
  <si>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</si>
  <si>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</si>
  <si>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</si>
  <si>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</si>
  <si>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</si>
  <si>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</si>
  <si>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</si>
  <si>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</si>
  <si>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</si>
  <si>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</si>
  <si>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</si>
  <si>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</si>
  <si>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</si>
  <si>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</si>
  <si>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</si>
  <si>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</si>
  <si>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</si>
  <si>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</si>
  <si>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</si>
  <si>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</si>
  <si>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</si>
  <si>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</si>
  <si>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</si>
  <si>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</si>
  <si>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</si>
  <si>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</si>
  <si>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</si>
  <si>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</si>
  <si>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</si>
  <si>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</si>
  <si>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</si>
  <si>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</si>
  <si>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</si>
  <si>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</si>
  <si>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</si>
  <si>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</si>
  <si>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</si>
  <si>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</si>
  <si>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</si>
  <si>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</si>
  <si>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</si>
  <si>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</si>
  <si>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</si>
  <si>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</si>
  <si>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</si>
  <si>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</si>
  <si>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</si>
  <si>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</si>
  <si>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</si>
  <si>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</si>
  <si>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</si>
  <si>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</si>
  <si>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</si>
  <si>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</si>
  <si>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</si>
  <si>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</si>
  <si>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</si>
  <si>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</si>
  <si>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</si>
  <si>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</si>
  <si>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</si>
  <si>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</si>
  <si>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</si>
  <si>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</si>
  <si>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</si>
  <si>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</si>
  <si>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</si>
  <si>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</si>
  <si>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</si>
  <si>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</si>
  <si>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</si>
  <si>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</si>
  <si>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</si>
  <si>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</si>
  <si>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</si>
  <si>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</si>
  <si>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</si>
  <si>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</si>
  <si>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</si>
  <si>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</si>
  <si>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</si>
  <si>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</si>
  <si>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</si>
  <si>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</si>
  <si>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</si>
  <si>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</si>
  <si>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</si>
  <si>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</si>
  <si>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</si>
  <si>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</si>
  <si>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</si>
  <si>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</si>
  <si>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</si>
  <si>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</si>
  <si>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</si>
  <si>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</si>
  <si>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</si>
  <si>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</si>
  <si>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</si>
  <si>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</si>
  <si>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</si>
  <si>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</si>
  <si>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</si>
  <si>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</si>
  <si>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</si>
  <si>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</si>
  <si>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</si>
  <si>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</si>
  <si>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</si>
  <si>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</si>
  <si>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</si>
  <si>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</si>
  <si>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</si>
  <si>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</si>
  <si>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</si>
  <si>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</si>
  <si>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</si>
  <si>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</si>
  <si>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</si>
  <si>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</si>
  <si>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</si>
  <si>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</si>
  <si>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</si>
  <si>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</si>
  <si>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</si>
  <si>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</si>
  <si>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</si>
  <si>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</si>
  <si>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</si>
  <si>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</si>
  <si>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</si>
  <si>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</si>
  <si>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</si>
  <si>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</si>
  <si>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</si>
  <si>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</si>
  <si>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</si>
  <si>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</si>
  <si>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</si>
  <si>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</si>
  <si>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</si>
  <si>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</si>
  <si>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</si>
  <si>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</si>
  <si>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</si>
  <si>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</si>
  <si>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</si>
  <si>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</si>
  <si>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</si>
  <si>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</si>
  <si>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</si>
  <si>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</si>
  <si>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</si>
  <si>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</si>
  <si>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</si>
  <si>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</si>
  <si>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</si>
  <si>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</si>
  <si>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</si>
  <si>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</si>
  <si>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</si>
  <si>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</si>
  <si>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</si>
  <si>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</si>
  <si>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</si>
  <si>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</si>
  <si>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</si>
  <si>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</si>
  <si>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</si>
  <si>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</si>
  <si>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</si>
  <si>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</si>
  <si>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</si>
  <si>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</si>
  <si>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</si>
  <si>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</si>
  <si>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</si>
  <si>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</si>
  <si>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</si>
  <si>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</si>
  <si>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</si>
  <si>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</si>
  <si>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</si>
  <si>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</si>
  <si>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</si>
  <si>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</si>
  <si>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</si>
  <si>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</si>
  <si>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</si>
  <si>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</si>
  <si>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</si>
  <si>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</si>
  <si>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</si>
  <si>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</si>
  <si>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</si>
  <si>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</si>
  <si>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</si>
  <si>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</si>
  <si>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</si>
  <si>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</si>
  <si>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</si>
  <si>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</si>
  <si>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</si>
  <si>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</si>
  <si>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</si>
  <si>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</si>
  <si>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</si>
  <si>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</si>
  <si>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</si>
  <si>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</si>
  <si>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</si>
  <si>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</si>
  <si>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</si>
  <si>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</si>
  <si>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</si>
  <si>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</si>
  <si>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</si>
  <si>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</si>
  <si>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</si>
  <si>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</si>
  <si>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</si>
  <si>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</si>
  <si>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</si>
  <si>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</si>
  <si>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</si>
  <si>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</si>
  <si>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</si>
  <si>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</si>
  <si>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</si>
  <si>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</si>
  <si>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</si>
  <si>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</si>
  <si>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</si>
  <si>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</si>
  <si>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</si>
  <si>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</si>
  <si>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</si>
  <si>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</si>
  <si>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</si>
  <si>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</si>
  <si>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</si>
  <si>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</si>
  <si>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</si>
  <si>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</si>
  <si>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</si>
  <si>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</si>
  <si>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</si>
  <si>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</si>
  <si>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</si>
  <si>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</si>
  <si>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</si>
  <si>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</si>
  <si>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</si>
  <si>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</si>
  <si>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</si>
  <si>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</si>
  <si>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</si>
  <si>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</si>
  <si>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</si>
  <si>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</si>
  <si>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</si>
  <si>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</si>
  <si>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</si>
  <si>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</si>
  <si>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</si>
  <si>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</si>
  <si>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</si>
  <si>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</si>
  <si>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</si>
  <si>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</si>
  <si>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</si>
  <si>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</si>
  <si>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</si>
  <si>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</si>
  <si>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</si>
  <si>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</si>
  <si>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</si>
  <si>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</si>
  <si>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</si>
  <si>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</si>
  <si>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</si>
  <si>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</si>
  <si>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</si>
  <si>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</si>
  <si>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</si>
  <si>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</si>
  <si>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</si>
  <si>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</si>
  <si>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</si>
  <si>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</si>
  <si>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</si>
  <si>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</si>
  <si>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</si>
  <si>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</si>
  <si>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</si>
  <si>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</si>
  <si>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</si>
  <si>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</si>
  <si>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</si>
  <si>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</si>
  <si>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</si>
  <si>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</si>
  <si>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</si>
  <si>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</si>
  <si>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</si>
  <si>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</si>
  <si>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</si>
  <si>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</si>
  <si>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</si>
  <si>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</si>
  <si>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</si>
  <si>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</si>
  <si>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</si>
  <si>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</si>
  <si>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</si>
  <si>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</si>
  <si>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</si>
  <si>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</si>
  <si>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</si>
  <si>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</si>
  <si>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</si>
  <si>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</si>
  <si>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</si>
  <si>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</si>
  <si>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</si>
  <si>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</si>
  <si>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</si>
  <si>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</si>
  <si>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</si>
  <si>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</si>
  <si>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</si>
  <si>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</si>
  <si>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</si>
  <si>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</si>
  <si>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</si>
  <si>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</si>
  <si>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</si>
  <si>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</si>
  <si>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</si>
  <si>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</si>
  <si>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</si>
  <si>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</si>
  <si>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</si>
  <si>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</si>
  <si>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</si>
  <si>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</si>
  <si>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</si>
  <si>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</si>
  <si>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</si>
  <si>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</si>
  <si>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</si>
  <si>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</si>
  <si>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</si>
  <si>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</si>
  <si>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</si>
  <si>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</si>
  <si>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</si>
  <si>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</si>
  <si>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</si>
  <si>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</si>
  <si>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</si>
  <si>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</si>
  <si>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</si>
  <si>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</si>
  <si>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</si>
  <si>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</si>
  <si>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</si>
  <si>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</si>
  <si>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</si>
  <si>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</si>
  <si>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</si>
  <si>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</si>
  <si>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</si>
  <si>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</si>
  <si>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</si>
  <si>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</si>
  <si>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</si>
  <si>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</si>
  <si>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</si>
  <si>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</si>
  <si>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</si>
  <si>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</si>
  <si>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</si>
  <si>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</si>
  <si>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</si>
  <si>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</si>
  <si>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</si>
  <si>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</si>
  <si>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</si>
  <si>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</si>
  <si>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</si>
  <si>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</si>
  <si>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</si>
  <si>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</si>
  <si>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</si>
  <si>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</si>
  <si>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</si>
  <si>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</si>
  <si>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</si>
  <si>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</si>
  <si>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</si>
  <si>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</si>
  <si>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</si>
  <si>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</si>
  <si>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</si>
  <si>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</si>
  <si>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</si>
  <si>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</si>
  <si>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</si>
  <si>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</si>
  <si>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</si>
  <si>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</si>
  <si>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</si>
  <si>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</si>
  <si>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</si>
  <si>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</si>
  <si>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</si>
  <si>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</si>
  <si>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</si>
  <si>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</si>
  <si>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</si>
  <si>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</si>
  <si>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</si>
  <si>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</si>
  <si>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</si>
  <si>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</si>
  <si>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</si>
  <si>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</si>
  <si>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</si>
  <si>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</si>
  <si>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</si>
  <si>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</si>
  <si>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</si>
  <si>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</si>
  <si>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</si>
  <si>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</si>
  <si>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</si>
  <si>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</si>
  <si>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</si>
  <si>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</si>
  <si>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</si>
  <si>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</si>
  <si>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</si>
  <si>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</si>
  <si>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</si>
  <si>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</si>
  <si>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</si>
  <si>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</si>
  <si>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</si>
  <si>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</si>
  <si>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</si>
  <si>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</si>
  <si>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</si>
  <si>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</si>
  <si>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</si>
  <si>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</si>
  <si>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</si>
  <si>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</si>
  <si>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</si>
  <si>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</si>
  <si>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</si>
  <si>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</si>
  <si>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</si>
  <si>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</si>
  <si>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</si>
  <si>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</si>
  <si>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</si>
  <si>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</si>
  <si>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</si>
  <si>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</si>
  <si>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</si>
  <si>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</si>
  <si>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</si>
  <si>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</si>
  <si>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</si>
  <si>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</si>
  <si>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</si>
  <si>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</si>
  <si>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</si>
  <si>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</si>
  <si>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</si>
  <si>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</si>
  <si>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</si>
  <si>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</si>
  <si>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</si>
  <si>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</si>
  <si>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</si>
  <si>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</si>
  <si>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</si>
  <si>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</si>
  <si>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</si>
  <si>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</si>
  <si>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</si>
  <si>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</si>
  <si>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</si>
  <si>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</si>
  <si>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</si>
  <si>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</si>
  <si>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</si>
  <si>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</si>
  <si>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</si>
  <si>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</si>
  <si>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</si>
  <si>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</si>
  <si>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</si>
  <si>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</si>
  <si>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</si>
  <si>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</si>
  <si>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</si>
  <si>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</si>
  <si>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</si>
  <si>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</si>
  <si>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</si>
  <si>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</si>
  <si>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</si>
  <si>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</si>
  <si>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</si>
  <si>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</si>
  <si>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</si>
  <si>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</si>
  <si>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</si>
  <si>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</si>
  <si>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</si>
  <si>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</si>
  <si>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</si>
  <si>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</si>
  <si>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</si>
  <si>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</si>
  <si>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</si>
  <si>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</si>
  <si>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</si>
  <si>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</si>
  <si>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</si>
  <si>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</si>
  <si>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</si>
  <si>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</si>
  <si>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</si>
  <si>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</si>
  <si>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</si>
  <si>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</si>
  <si>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</si>
  <si>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</si>
  <si>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</si>
  <si>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</si>
  <si>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</si>
  <si>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</si>
  <si>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</si>
  <si>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</si>
  <si>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</si>
  <si>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</si>
  <si>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</si>
  <si>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</si>
  <si>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</si>
  <si>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</si>
  <si>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</si>
  <si>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</si>
  <si>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</si>
  <si>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</si>
  <si>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</si>
  <si>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</si>
  <si>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</si>
  <si>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</si>
  <si>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</si>
  <si>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</si>
  <si>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</si>
  <si>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</si>
  <si>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</si>
  <si>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</si>
  <si>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</si>
  <si>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</si>
  <si>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</si>
  <si>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</si>
  <si>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</si>
  <si>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</si>
  <si>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</si>
  <si>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</si>
  <si>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</si>
  <si>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</si>
  <si>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</si>
  <si>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</si>
  <si>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</si>
  <si>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</si>
  <si>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</si>
  <si>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</si>
  <si>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</si>
  <si>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</si>
  <si>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</si>
  <si>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</si>
  <si>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</si>
  <si>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</si>
  <si>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</si>
  <si>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</si>
  <si>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</si>
  <si>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</si>
  <si>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</si>
  <si>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</si>
  <si>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</si>
  <si>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</si>
  <si>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</si>
  <si>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</si>
  <si>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</si>
  <si>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</si>
  <si>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</si>
  <si>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</si>
  <si>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</si>
  <si>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</si>
  <si>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</si>
  <si>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</si>
  <si>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</si>
  <si>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</si>
  <si>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</si>
  <si>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</si>
  <si>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</si>
  <si>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</si>
  <si>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</si>
  <si>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</si>
  <si>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</si>
  <si>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</si>
  <si>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</si>
  <si>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</si>
  <si>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</si>
  <si>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</si>
  <si>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</si>
  <si>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</si>
  <si>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</si>
  <si>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</si>
  <si>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</si>
  <si>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</si>
  <si>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</si>
  <si>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</si>
  <si>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</si>
  <si>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</si>
  <si>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</si>
  <si>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</si>
  <si>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</si>
  <si>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</si>
  <si>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</si>
  <si>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</si>
  <si>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</si>
  <si>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</si>
  <si>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</si>
  <si>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</si>
  <si>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</si>
  <si>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</si>
  <si>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</si>
  <si>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</si>
  <si>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</si>
  <si>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</si>
  <si>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</si>
  <si>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</si>
  <si>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</si>
  <si>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</si>
  <si>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</si>
  <si>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</si>
  <si>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</si>
  <si>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</si>
  <si>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</si>
  <si>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</si>
  <si>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</si>
  <si>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</si>
  <si>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</si>
  <si>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</si>
  <si>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</si>
  <si>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</si>
  <si>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</si>
  <si>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</si>
  <si>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</si>
  <si>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</si>
  <si>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</si>
  <si>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</si>
  <si>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</si>
  <si>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</si>
  <si>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</si>
  <si>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</si>
  <si>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</si>
  <si>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</si>
  <si>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</si>
  <si>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</si>
  <si>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</si>
  <si>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</si>
  <si>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</si>
  <si>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</si>
  <si>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</si>
  <si>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</si>
  <si>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</si>
  <si>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</si>
  <si>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</si>
  <si>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</si>
  <si>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</si>
  <si>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</si>
  <si>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</si>
  <si>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</si>
  <si>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</si>
  <si>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</si>
  <si>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</si>
  <si>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</si>
  <si>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</si>
  <si>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</si>
  <si>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</si>
  <si>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</si>
  <si>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</si>
  <si>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</si>
  <si>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</si>
  <si>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</si>
  <si>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</si>
  <si>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</si>
  <si>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</si>
  <si>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</si>
  <si>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</si>
  <si>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</si>
  <si>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</si>
  <si>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</si>
  <si>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</si>
  <si>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</si>
  <si>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</si>
  <si>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</si>
  <si>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</si>
  <si>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</si>
  <si>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</si>
  <si>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</si>
  <si>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</si>
  <si>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</si>
  <si>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</si>
  <si>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</si>
  <si>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</si>
  <si>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</si>
  <si>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</si>
  <si>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</si>
  <si>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</si>
  <si>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</si>
  <si>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</si>
  <si>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</si>
  <si>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</si>
  <si>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</si>
  <si>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</si>
  <si>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</si>
  <si>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</si>
  <si>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</si>
  <si>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</si>
  <si>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</si>
  <si>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</si>
  <si>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</si>
  <si>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</si>
  <si>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</si>
  <si>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</si>
  <si>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</si>
  <si>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</si>
  <si>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</si>
  <si>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</si>
  <si>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</si>
  <si>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</si>
  <si>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</si>
  <si>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</si>
  <si>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</si>
  <si>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</si>
  <si>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</si>
  <si>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</si>
  <si>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</si>
  <si>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</si>
  <si>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</si>
  <si>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</si>
  <si>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</si>
  <si>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</si>
  <si>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</si>
  <si>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</si>
  <si>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</si>
  <si>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</si>
  <si>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</si>
  <si>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</si>
  <si>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</si>
  <si>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</si>
  <si>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</si>
  <si>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</si>
  <si>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</si>
  <si>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</si>
  <si>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</si>
  <si>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</si>
  <si>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</si>
  <si>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</si>
  <si>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</si>
  <si>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</si>
  <si>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</si>
  <si>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</si>
  <si>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</si>
  <si>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</si>
  <si>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</si>
  <si>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</si>
  <si>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</si>
  <si>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</si>
  <si>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</si>
  <si>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</si>
  <si>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</si>
  <si>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</si>
  <si>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</si>
  <si>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</si>
  <si>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</si>
  <si>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</si>
  <si>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</si>
  <si>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</si>
  <si>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</si>
  <si>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</si>
  <si>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</si>
  <si>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</si>
  <si>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</si>
  <si>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</si>
  <si>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</si>
  <si>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</si>
  <si>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</si>
  <si>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</si>
  <si>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</si>
  <si>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</si>
  <si>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</si>
  <si>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</si>
  <si>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</si>
  <si>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</si>
  <si>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</si>
  <si>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</si>
  <si>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</si>
  <si>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</si>
  <si>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</si>
  <si>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</si>
  <si>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</si>
  <si>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</si>
  <si>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</si>
  <si>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</si>
  <si>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</si>
  <si>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</si>
  <si>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</si>
  <si>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</si>
  <si>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</si>
  <si>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</si>
  <si>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</si>
  <si>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</si>
  <si>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</si>
  <si>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</si>
  <si>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</si>
  <si>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</si>
  <si>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</si>
  <si>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</si>
  <si>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</si>
  <si>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</si>
  <si>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</si>
  <si>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</si>
  <si>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</si>
  <si>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</si>
  <si>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</si>
  <si>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</si>
  <si>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</si>
  <si>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</si>
  <si>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</si>
  <si>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</si>
  <si>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</si>
  <si>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</si>
  <si>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</si>
  <si>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</si>
  <si>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</si>
  <si>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</si>
  <si>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</si>
  <si>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</si>
  <si>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</si>
  <si>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</si>
  <si>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</si>
  <si>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</si>
  <si>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</si>
  <si>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</si>
  <si>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</si>
  <si>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</si>
  <si>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</si>
  <si>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</si>
  <si>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</si>
  <si>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</si>
  <si>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</si>
  <si>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</si>
  <si>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</si>
  <si>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</si>
  <si>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</si>
  <si>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</si>
  <si>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</si>
  <si>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</si>
  <si>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</si>
  <si>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</si>
  <si>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</si>
  <si>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</si>
  <si>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</si>
  <si>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</si>
  <si>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</si>
  <si>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</si>
  <si>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</si>
  <si>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</si>
  <si>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</si>
  <si>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</si>
  <si>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</si>
  <si>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</si>
  <si>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</si>
  <si>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</si>
  <si>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</si>
  <si>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</si>
  <si>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</si>
  <si>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</si>
  <si>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</si>
  <si>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</si>
  <si>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</si>
  <si>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</si>
  <si>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</si>
  <si>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</si>
  <si>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</si>
  <si>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</si>
  <si>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</si>
  <si>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</si>
  <si>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</si>
  <si>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</si>
  <si>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</si>
  <si>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</si>
  <si>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</si>
  <si>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</si>
  <si>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</si>
  <si>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</si>
  <si>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</si>
  <si>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</si>
  <si>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</si>
  <si>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</si>
  <si>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</si>
  <si>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</si>
  <si>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</si>
  <si>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</si>
  <si>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</si>
  <si>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</si>
  <si>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</si>
  <si>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</si>
  <si>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</si>
  <si>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</si>
  <si>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</si>
  <si>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</si>
  <si>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</si>
  <si>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</si>
  <si>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</si>
  <si>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</si>
  <si>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</si>
  <si>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</si>
  <si>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</si>
  <si>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</si>
  <si>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</si>
  <si>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</si>
  <si>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</si>
  <si>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</si>
  <si>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</si>
  <si>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</si>
  <si>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</si>
  <si>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</si>
  <si>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</si>
  <si>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</si>
  <si>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</si>
  <si>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</si>
  <si>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</si>
  <si>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</si>
  <si>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</si>
  <si>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</si>
  <si>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</si>
  <si>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</si>
  <si>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</si>
  <si>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</si>
  <si>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</si>
  <si>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</si>
  <si>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</si>
  <si>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</si>
  <si>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</si>
  <si>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</si>
  <si>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</si>
  <si>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</si>
  <si>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</si>
  <si>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</si>
  <si>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</si>
  <si>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</si>
  <si>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</si>
  <si>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</si>
  <si>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</si>
  <si>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</si>
  <si>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</si>
  <si>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</si>
  <si>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</si>
  <si>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</si>
  <si>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</si>
  <si>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</si>
  <si>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</si>
  <si>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</si>
  <si>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</si>
  <si>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</si>
  <si>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</si>
  <si>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</si>
  <si>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</si>
  <si>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</si>
  <si>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</si>
  <si>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</si>
  <si>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</si>
  <si>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</si>
  <si>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</si>
  <si>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</si>
  <si>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</si>
  <si>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</si>
  <si>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</si>
  <si>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</si>
  <si>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</si>
  <si>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</si>
  <si>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</si>
  <si>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</si>
  <si>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</si>
  <si>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</si>
  <si>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</si>
  <si>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</si>
  <si>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</si>
  <si>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</si>
  <si>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</si>
  <si>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</si>
  <si>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</si>
  <si>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</si>
  <si>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</si>
  <si>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</si>
  <si>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</si>
  <si>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</si>
  <si>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</si>
  <si>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</si>
  <si>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</si>
  <si>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</si>
  <si>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</si>
  <si>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</si>
  <si>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</si>
  <si>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</si>
  <si>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</si>
  <si>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</si>
  <si>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</si>
  <si>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</si>
  <si>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</si>
  <si>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</si>
  <si>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</si>
  <si>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</si>
  <si>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</si>
  <si>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</si>
  <si>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</si>
  <si>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</si>
  <si>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</si>
  <si>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</si>
  <si>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</si>
  <si>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</si>
  <si>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</si>
  <si>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</si>
  <si>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</si>
  <si>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</si>
  <si>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</si>
  <si>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</si>
  <si>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</si>
  <si>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</si>
  <si>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</si>
  <si>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</si>
  <si>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</si>
  <si>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</si>
  <si>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</si>
  <si>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</si>
  <si>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</si>
  <si>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</si>
  <si>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</si>
  <si>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</si>
  <si>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</si>
  <si>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</si>
  <si>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</si>
  <si>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</si>
  <si>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</si>
  <si>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</si>
  <si>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</si>
  <si>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</si>
  <si>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</si>
  <si>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</si>
  <si>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</si>
  <si>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</si>
  <si>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</si>
  <si>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</si>
  <si>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</si>
  <si>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</si>
  <si>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</si>
  <si>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</si>
  <si>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</si>
  <si>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</si>
  <si>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</si>
  <si>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</si>
  <si>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</si>
  <si>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</si>
  <si>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</si>
  <si>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</si>
  <si>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</si>
  <si>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</si>
  <si>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</si>
  <si>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</si>
  <si>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</si>
  <si>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</si>
  <si>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</si>
  <si>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</si>
  <si>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</si>
  <si>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</si>
  <si>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</si>
  <si>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</si>
  <si>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</si>
  <si>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</si>
  <si>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</si>
  <si>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</si>
  <si>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</si>
  <si>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</si>
  <si>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</si>
  <si>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</si>
  <si>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</si>
  <si>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</si>
  <si>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</si>
  <si>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</si>
  <si>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</si>
  <si>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</si>
  <si>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</si>
  <si>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</si>
  <si>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</si>
  <si>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</si>
  <si>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</si>
  <si>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</si>
  <si>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</si>
  <si>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</si>
  <si>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</si>
  <si>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</si>
  <si>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</si>
  <si>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</si>
  <si>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</si>
  <si>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</si>
  <si>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</si>
  <si>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</si>
  <si>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</si>
  <si>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</si>
  <si>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</si>
  <si>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</si>
  <si>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</si>
  <si>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</si>
  <si>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</si>
  <si>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</si>
  <si>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</si>
  <si>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</si>
  <si>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</si>
  <si>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</si>
  <si>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</si>
  <si>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</si>
  <si>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</si>
  <si>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</si>
  <si>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</si>
  <si>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</si>
  <si>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</si>
  <si>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</si>
  <si>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</si>
  <si>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</si>
  <si>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</si>
  <si>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</si>
  <si>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</si>
  <si>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</si>
  <si>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</si>
  <si>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</si>
  <si>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</si>
  <si>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</si>
  <si>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</si>
  <si>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</si>
  <si>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</si>
  <si>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</si>
  <si>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</si>
  <si>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</si>
  <si>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</si>
  <si>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</si>
  <si>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</si>
  <si>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</si>
  <si>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</si>
  <si>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</si>
  <si>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</si>
  <si>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</si>
  <si>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</si>
  <si>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</si>
  <si>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</si>
  <si>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</si>
  <si>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</si>
  <si>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</si>
  <si>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</si>
  <si>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</si>
  <si>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</si>
  <si>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</si>
  <si>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</si>
  <si>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</si>
  <si>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</si>
  <si>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</si>
  <si>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</si>
  <si>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</si>
  <si>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</si>
  <si>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</si>
  <si>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</si>
  <si>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</si>
  <si>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</si>
  <si>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</si>
  <si>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</si>
  <si>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</si>
  <si>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</si>
  <si>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</si>
  <si>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</si>
  <si>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</si>
  <si>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</si>
  <si>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</si>
  <si>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</si>
  <si>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</si>
  <si>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</si>
  <si>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</si>
  <si>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</si>
  <si>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</si>
  <si>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</si>
  <si>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</si>
  <si>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</si>
  <si>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</si>
  <si>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</si>
  <si>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</si>
  <si>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</si>
  <si>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</si>
  <si>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</si>
  <si>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</si>
  <si>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</si>
  <si>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</si>
  <si>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</si>
  <si>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</si>
  <si>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</si>
  <si>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</si>
  <si>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</si>
  <si>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</si>
  <si>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</si>
  <si>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</si>
  <si>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</si>
  <si>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</si>
  <si>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</si>
  <si>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</si>
  <si>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</si>
  <si>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</si>
  <si>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</si>
  <si>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</si>
  <si>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</si>
  <si>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</si>
  <si>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</si>
  <si>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</si>
  <si>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</si>
  <si>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</si>
  <si>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</si>
  <si>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</si>
  <si>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</si>
  <si>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</si>
  <si>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</si>
  <si>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</si>
  <si>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</si>
  <si>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</si>
  <si>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</si>
  <si>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</si>
  <si>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</si>
  <si>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</si>
  <si>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</si>
  <si>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</si>
  <si>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</si>
  <si>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</si>
  <si>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</si>
  <si>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</si>
  <si>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</si>
  <si>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</si>
  <si>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</si>
  <si>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</si>
  <si>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</si>
  <si>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</si>
  <si>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</si>
  <si>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</si>
  <si>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</si>
  <si>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</si>
  <si>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</si>
  <si>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</si>
  <si>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</si>
  <si>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</si>
  <si>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</si>
  <si>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</si>
  <si>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</si>
  <si>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</si>
  <si>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</si>
  <si>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</si>
  <si>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</si>
  <si>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</si>
  <si>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</si>
  <si>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</si>
  <si>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</si>
  <si>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</si>
  <si>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</si>
  <si>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</si>
  <si>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</si>
  <si>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</si>
  <si>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</si>
  <si>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</si>
  <si>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</si>
  <si>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</si>
  <si>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</si>
  <si>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</si>
  <si>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</si>
  <si>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</si>
  <si>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</si>
  <si>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</si>
  <si>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</si>
  <si>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</si>
  <si>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</si>
  <si>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</si>
  <si>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</si>
  <si>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</si>
  <si>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</si>
  <si>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</si>
  <si>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</si>
  <si>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</si>
  <si>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</si>
  <si>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</si>
  <si>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</si>
  <si>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</si>
  <si>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</si>
  <si>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</si>
  <si>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</si>
  <si>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</si>
  <si>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</si>
  <si>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</si>
  <si>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</si>
  <si>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1910 West 170th Street</t>
  </si>
  <si>
    <t>Hazel Crest</t>
  </si>
  <si>
    <t>Dr. Kenneth Spells</t>
  </si>
  <si>
    <t>kspells@sd1525.org</t>
  </si>
  <si>
    <t>(708) 335-0790</t>
  </si>
  <si>
    <t>(708) 335-3520</t>
  </si>
  <si>
    <t>Thornton</t>
  </si>
  <si>
    <t>Eugene C. Varnado</t>
  </si>
  <si>
    <t>(708) 225-0225</t>
  </si>
  <si>
    <t>(708) 225-0665</t>
  </si>
  <si>
    <t>Legacy Professionals LLP</t>
  </si>
  <si>
    <t>Colin Thompson</t>
  </si>
  <si>
    <t>4 Westbrook Corporate Center, Suite 700</t>
  </si>
  <si>
    <t>Westchester</t>
  </si>
  <si>
    <t>IL</t>
  </si>
  <si>
    <t>(312) 368-0500</t>
  </si>
  <si>
    <t>(312) 368-0746</t>
  </si>
  <si>
    <t>006-003925</t>
  </si>
  <si>
    <t>cthompson@legacycpas.com</t>
  </si>
  <si>
    <t>Dr. Vanessa Kinder (ISC#4)</t>
  </si>
  <si>
    <t>vkinder@s-cook.org</t>
  </si>
  <si>
    <t>(708) 754-6600</t>
  </si>
  <si>
    <t>(708) 754-8687</t>
  </si>
  <si>
    <t>Issue of October 9, 2002</t>
  </si>
  <si>
    <t>Issue of August 15, 2013 - Series A</t>
  </si>
  <si>
    <t>N/A</t>
  </si>
  <si>
    <t>1 of 11 participants - Thornton Township School Treasurer</t>
  </si>
  <si>
    <t>1 of 17 participants - ECHO Joint Agreement</t>
  </si>
  <si>
    <t>U.S. Department of Education / Illinois State Board of Education</t>
  </si>
  <si>
    <t>84.010A</t>
  </si>
  <si>
    <t>84.367A</t>
  </si>
  <si>
    <t>20-4300-00</t>
  </si>
  <si>
    <t>19-4300-00</t>
  </si>
  <si>
    <t>20-4932-00</t>
  </si>
  <si>
    <t>19-4932-00</t>
  </si>
  <si>
    <t>Title IVA - Student Support &amp; Academic Enrichment</t>
  </si>
  <si>
    <t>84.424A</t>
  </si>
  <si>
    <t>20-4400-00</t>
  </si>
  <si>
    <t>Total Funding</t>
  </si>
  <si>
    <t>U.S. Department of Education / Illinois State Board of Education / Passed through ECHO</t>
  </si>
  <si>
    <t>IDEA Preschool Flow Through</t>
  </si>
  <si>
    <t>IDEA Flow Through / Low Incident</t>
  </si>
  <si>
    <t>20-4600-00</t>
  </si>
  <si>
    <t>19-4600-00</t>
  </si>
  <si>
    <t>20-4620-00</t>
  </si>
  <si>
    <t>19-4620-00</t>
  </si>
  <si>
    <t>U.S. Department of Agriculture / Illinois State Board of Education</t>
  </si>
  <si>
    <t>National School Lunch Program (M)</t>
  </si>
  <si>
    <t>School Breakfast Program (M)</t>
  </si>
  <si>
    <t>Child &amp; Adult Care Food Program</t>
  </si>
  <si>
    <t>National School Lunch Commodities (M)</t>
  </si>
  <si>
    <t>National School Lunch Commodities</t>
  </si>
  <si>
    <t>Department of Defense Commodities (M)</t>
  </si>
  <si>
    <t>Department of Defense Commodities</t>
  </si>
  <si>
    <t>Summer Food Service Program (M)</t>
  </si>
  <si>
    <t>20-4210-00</t>
  </si>
  <si>
    <t>19-4210-00</t>
  </si>
  <si>
    <t>20-4220-00</t>
  </si>
  <si>
    <t>19-4220-00</t>
  </si>
  <si>
    <t>20-4226-00</t>
  </si>
  <si>
    <t>19-4226-00</t>
  </si>
  <si>
    <t>07016152502A1</t>
  </si>
  <si>
    <t>20-4225-00</t>
  </si>
  <si>
    <t>U.S. Department of Health &amp; Human Services / State of IL Healthcare &amp; Family Services</t>
  </si>
  <si>
    <t>Medicaid Matching - Administrative Outreach</t>
  </si>
  <si>
    <t>20-4991-00</t>
  </si>
  <si>
    <t>19-4991-00</t>
  </si>
  <si>
    <t>Total Federal Funding</t>
  </si>
  <si>
    <t>The accompanying Schedule of Expenditures of Federal Awards includes the federal grant activity of Hazel Crest School District 152.5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</si>
  <si>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Hazel Crest School District 152.5 provided federal awards to subrecipients as follows:</t>
  </si>
  <si>
    <t>The following amounts were expended in the form of non-cash assistance by Hazel Crest School District 152.5 and should be included in the Schedule of Expenditures of Federal Awards:</t>
  </si>
  <si>
    <t>Unmodified</t>
  </si>
  <si>
    <t>Child Nutrition Cluster</t>
  </si>
  <si>
    <t>10.553  10.555  10.559</t>
  </si>
  <si>
    <t>None</t>
  </si>
  <si>
    <t>2019-001</t>
  </si>
  <si>
    <t>While select District management personnel</t>
  </si>
  <si>
    <t>fully understand the District's financial</t>
  </si>
  <si>
    <t>statements and related footnotes they do not</t>
  </si>
  <si>
    <t>necessarily stay current with all new accounting</t>
  </si>
  <si>
    <t>pronouncements that could impact the District's</t>
  </si>
  <si>
    <t>financial statement reporting.</t>
  </si>
  <si>
    <t>No finding noted in 2020.</t>
  </si>
  <si>
    <t>1.800MD, LLC</t>
  </si>
  <si>
    <t>Accelerate Learning, Inc.</t>
  </si>
  <si>
    <t>Accutrain Corporation</t>
  </si>
  <si>
    <t>All-Right Sign, Inc.</t>
  </si>
  <si>
    <t>Alternative Academic</t>
  </si>
  <si>
    <t>Amber Mechanical Contractors, Inc.</t>
  </si>
  <si>
    <t>American School Bus Co.</t>
  </si>
  <si>
    <t xml:space="preserve">Anderson Lawn &amp; Landscaping </t>
  </si>
  <si>
    <t>Anitra Scott</t>
  </si>
  <si>
    <t>AP Private Detective Agency</t>
  </si>
  <si>
    <t>Aramark Chicago</t>
  </si>
  <si>
    <t>Arbor Management, Inc.</t>
  </si>
  <si>
    <t>Associated Property Counselors, Ltd</t>
  </si>
  <si>
    <t>AT&amp;T</t>
  </si>
  <si>
    <t>Barrett Keithley</t>
  </si>
  <si>
    <t>Benita Whitfield</t>
  </si>
  <si>
    <t>Bomar Construction</t>
  </si>
  <si>
    <t>Brandy's Safe and Lock, Inc.</t>
  </si>
  <si>
    <t>Brave Dialogue</t>
  </si>
  <si>
    <t>Bureau of Education &amp; Research</t>
  </si>
  <si>
    <t>Calumet City Plumbing</t>
  </si>
  <si>
    <t>Cater II You</t>
  </si>
  <si>
    <t>Chicago Backflow, Inc.</t>
  </si>
  <si>
    <t>Chicago Heights SD #170</t>
  </si>
  <si>
    <t>Citadel Information</t>
  </si>
  <si>
    <t>City of Markham</t>
  </si>
  <si>
    <t>CKR Contracting Group, LLC</t>
  </si>
  <si>
    <t>CLIC/School Board Legal Co-Op</t>
  </si>
  <si>
    <t>Companion Corporation</t>
  </si>
  <si>
    <t>Continuing Academic Training</t>
  </si>
  <si>
    <t>Convention Management Resources</t>
  </si>
  <si>
    <t>Convergent Technologies LLC</t>
  </si>
  <si>
    <t>Danel Koonce</t>
  </si>
  <si>
    <t>David A. Gethers Speaks LLC</t>
  </si>
  <si>
    <t>Davis Staffing, Inc.</t>
  </si>
  <si>
    <t>Discovery Education</t>
  </si>
  <si>
    <t>E2 Services</t>
  </si>
  <si>
    <t>ECRA Group Inc.</t>
  </si>
  <si>
    <t>Edmentum</t>
  </si>
  <si>
    <t>Educators Publishing Service</t>
  </si>
  <si>
    <t>EMS Linq Inc.</t>
  </si>
  <si>
    <t>Eternally Green Lawn Care Inc.</t>
  </si>
  <si>
    <t>Federal Companies</t>
  </si>
  <si>
    <t>First Impression of Chicago</t>
  </si>
  <si>
    <t>Ford Heights SD #169</t>
  </si>
  <si>
    <t>Frontline Technologies Group, LLC</t>
  </si>
  <si>
    <t>Gatlin Plumbing and Heating, Inc.</t>
  </si>
  <si>
    <t>GoGuardian</t>
  </si>
  <si>
    <t>H-O-H Water Technology, Inc.</t>
  </si>
  <si>
    <t>Health Resource Service Manage</t>
  </si>
  <si>
    <t>HM Receivables Co. LLC</t>
  </si>
  <si>
    <t>Holland Printing</t>
  </si>
  <si>
    <t>Illinois School Bus Company</t>
  </si>
  <si>
    <t>Interim Healthcare</t>
  </si>
  <si>
    <t>Jive Communications</t>
  </si>
  <si>
    <t>K12 Insight LLC</t>
  </si>
  <si>
    <t>Johnson Controls</t>
  </si>
  <si>
    <t xml:space="preserve">Johnson Controls </t>
  </si>
  <si>
    <t>KBT Enterprises</t>
  </si>
  <si>
    <t>Krystal Dairy</t>
  </si>
  <si>
    <t>Liberatore Electric Company, Inc.</t>
  </si>
  <si>
    <t>Literacy Resources, Inc.</t>
  </si>
  <si>
    <t>Maxim Healthcare Services, Inc.</t>
  </si>
  <si>
    <t>McCauley Mechanical Construction</t>
  </si>
  <si>
    <t>Milestone Therapy, LLC</t>
  </si>
  <si>
    <t>Navigate Prepared</t>
  </si>
  <si>
    <t>Organic Life</t>
  </si>
  <si>
    <t>Orkin</t>
  </si>
  <si>
    <t>Orland SD #135</t>
  </si>
  <si>
    <t>Otis Elevator Co.</t>
  </si>
  <si>
    <t>Pitney Bowes Purchase Power</t>
  </si>
  <si>
    <t>Pitney Bowes, Inc.</t>
  </si>
  <si>
    <t>Powerschool Group LLC</t>
  </si>
  <si>
    <t>Pure Health Solutions, Inc.</t>
  </si>
  <si>
    <t>Quality Alarm Systems, Inc.</t>
  </si>
  <si>
    <t>Raindance Aqua-Tec Irrigation</t>
  </si>
  <si>
    <t>Raptor Technologies, Inc.</t>
  </si>
  <si>
    <t>Refrigeration Systems of Illinois</t>
  </si>
  <si>
    <t>Reliable Fire &amp; Security</t>
  </si>
  <si>
    <t>Renaissance Learning, Inc.</t>
  </si>
  <si>
    <t>Renzi &amp; Associates, Inc.</t>
  </si>
  <si>
    <t>Robbins, Schwartz, et. al.</t>
  </si>
  <si>
    <t>Silver Strong &amp; Associates LLC</t>
  </si>
  <si>
    <t>Superintendent's Commission</t>
  </si>
  <si>
    <t>Syncb/Amazon</t>
  </si>
  <si>
    <t>T-Mobile</t>
  </si>
  <si>
    <t>Total Automation Concepts, Inc.</t>
  </si>
  <si>
    <t>TSA Consulting Group, Inc.</t>
  </si>
  <si>
    <t>U.S. Bank Equipment Finance</t>
  </si>
  <si>
    <t xml:space="preserve">U.S. Bank  </t>
  </si>
  <si>
    <t>Van Drunen Ford Company</t>
  </si>
  <si>
    <t>Vista Learning, NFP</t>
  </si>
  <si>
    <t>Vital Records Control</t>
  </si>
  <si>
    <t>Webb Communications, Inc.</t>
  </si>
  <si>
    <t>ED-Educational Media Services-Purchased Services</t>
  </si>
  <si>
    <t>ED-Regular Programs-Purchased Services</t>
  </si>
  <si>
    <t>ED-Improvement of Instruction Services-Purch Services</t>
  </si>
  <si>
    <t>O&amp;M-Operation &amp; Maint of Plan Serv-Purch Services</t>
  </si>
  <si>
    <t>ED-Board of Education Services-Purchased Services</t>
  </si>
  <si>
    <t>ED-Other Support Services-Pupils-Purchased Services</t>
  </si>
  <si>
    <t>ED-Food Services-Purchased Services</t>
  </si>
  <si>
    <t>Tort-Legal Services-Purchased Services</t>
  </si>
  <si>
    <t>Tort-Workers' Compensation-Purchased Services</t>
  </si>
  <si>
    <t>ED-Psychological Services-Purchased Services</t>
  </si>
  <si>
    <t>ED-Direction of Business Support-Purchased Services</t>
  </si>
  <si>
    <t>ED-Health Services-Purchased Services</t>
  </si>
  <si>
    <t>Tort-Risk Management-Purchased Services</t>
  </si>
  <si>
    <t>ED-Assessment &amp; Testing-Purchased Services</t>
  </si>
  <si>
    <t>Transportations-Pupil Transportation Services-Purch Serv</t>
  </si>
  <si>
    <t>Transportation-Pupil Transportation Services-Purch Serv</t>
  </si>
  <si>
    <t>REVENUES RECEIVED:</t>
  </si>
  <si>
    <t>23 - Our opinion was adverse because the financial statements are presented in accordance with the regulatory basis of accounting as prescribed by ISBE and not in conformity with accounting principles generally accepted in the United States of America.</t>
  </si>
  <si>
    <t>Account 1999:</t>
  </si>
  <si>
    <t>Miscellaneous receipts</t>
  </si>
  <si>
    <t>Operations &amp; Maintenance Fund:</t>
  </si>
  <si>
    <t>E-rate reimbursements</t>
  </si>
  <si>
    <t>Account 3999:</t>
  </si>
  <si>
    <t>Educational Fund:</t>
  </si>
  <si>
    <t>State library grant</t>
  </si>
  <si>
    <t>EXPENDITURES DISBURSED:</t>
  </si>
  <si>
    <t>Account 2190:</t>
  </si>
  <si>
    <t>Salaries - security and crossing guards</t>
  </si>
  <si>
    <t>Other employee benefits - life, health, and dental insurance</t>
  </si>
  <si>
    <t>Other purchased services - security</t>
  </si>
  <si>
    <t>Debt Services Fund:</t>
  </si>
  <si>
    <t>Account 5400:</t>
  </si>
  <si>
    <t>Bank fees</t>
  </si>
  <si>
    <t>Municipal Retirement/Social Security Fund:</t>
  </si>
  <si>
    <t>Other employee benefits</t>
  </si>
  <si>
    <t>Balance - 7/1/19</t>
  </si>
  <si>
    <t>Additions</t>
  </si>
  <si>
    <t>Disbursements</t>
  </si>
  <si>
    <t>Balance - 6/30/20</t>
  </si>
  <si>
    <t>AGENCY FUND:</t>
  </si>
  <si>
    <t xml:space="preserve">                        12/11/2020</t>
  </si>
  <si>
    <t>1 of 185 participants - Collective Liability Insurance Co-Op</t>
  </si>
  <si>
    <t>The District has obtained the necessary skills,</t>
  </si>
  <si>
    <t>statements and are current with all new accounting</t>
  </si>
  <si>
    <t>pronouncements.</t>
  </si>
  <si>
    <t>knowledge, and experience to prepare the financial</t>
  </si>
  <si>
    <t>Hazel Crest, IL</t>
  </si>
  <si>
    <t>Westchester, IL 60154</t>
  </si>
  <si>
    <t>Hazel Crest SD 152-5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</si>
</sst>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7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0" fontId="72" fillId="0" borderId="0" xfId="3" applyFont="1" applyFill="1" applyAlignment="1" applyProtection="1">
      <alignment horizontal="center" vertic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40" xfId="3" applyFont="1" applyFill="1" applyBorder="1" applyAlignment="1" applyProtection="1">
      <alignment horizontal="centerContinuous"/>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0" fontId="57" fillId="0" borderId="0" xfId="3" applyFont="1" applyFill="1" applyAlignment="1" applyProtection="1">
      <alignment textRotation="180" wrapText="1"/>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0" fontId="119" fillId="0" borderId="0" xfId="3" applyFont="1" applyFill="1" applyAlignment="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Alignment="1" applyProtection="1">
      <alignment horizontal="left"/>
    </xf>
    <xf numFmtId="0" fontId="62" fillId="0" borderId="0" xfId="3" applyFont="1" applyFill="1" applyProtection="1"/>
    <xf numFmtId="169" fontId="62" fillId="0" borderId="0" xfId="3" applyNumberFormat="1" applyFont="1" applyFill="1" applyProtection="1"/>
    <xf numFmtId="1" fontId="62" fillId="0" borderId="0" xfId="3" applyNumberFormat="1" applyFont="1" applyFill="1" applyProtection="1"/>
    <xf numFmtId="0" fontId="62" fillId="0" borderId="0" xfId="3" applyFont="1" applyFill="1" applyAlignment="1" applyProtection="1">
      <alignment horizontal="center"/>
    </xf>
    <xf numFmtId="0" fontId="119" fillId="0" borderId="0" xfId="3" applyFont="1" applyFill="1" applyAlignment="1" applyProtection="1">
      <alignment vertical="center"/>
    </xf>
    <xf numFmtId="0" fontId="65" fillId="0" borderId="0" xfId="3" applyFont="1" applyFill="1" applyAlignment="1" applyProtection="1">
      <alignment vertical="center"/>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horizontal="left"/>
      <protection locked="0"/>
    </xf>
    <xf numFmtId="0" fontId="57" fillId="0" borderId="0" xfId="3" applyFont="1" applyAlignment="1" applyProtection="1">
      <alignment horizontal="left"/>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7" fillId="0" borderId="0" xfId="1" applyNumberFormat="1" applyFont="1"/>
    <xf numFmtId="186" fontId="57" fillId="0" borderId="0" xfId="21" applyNumberFormat="1" applyFont="1"/>
    <xf numFmtId="186" fontId="57" fillId="0" borderId="196" xfId="21" applyNumberFormat="1" applyFont="1" applyBorder="1"/>
    <xf numFmtId="185" fontId="57" fillId="0" borderId="78" xfId="1" applyNumberFormat="1" applyFont="1" applyBorder="1"/>
    <xf numFmtId="0" fontId="57" fillId="0" borderId="159" xfId="3" quotePrefix="1" applyFont="1" applyBorder="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0</xdr:row>
          <xdr:rowOff>19050</xdr:rowOff>
        </xdr:from>
        <xdr:to>
          <xdr:col>1</xdr:col>
          <xdr:colOff>1752600</xdr:colOff>
          <xdr:row>4</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0</xdr:row>
          <xdr:rowOff>38100</xdr:rowOff>
        </xdr:from>
        <xdr:to>
          <xdr:col>1</xdr:col>
          <xdr:colOff>2781300</xdr:colOff>
          <xdr:row>4</xdr:row>
          <xdr:rowOff>76200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133350</xdr:rowOff>
        </xdr:from>
        <xdr:to>
          <xdr:col>1</xdr:col>
          <xdr:colOff>828675</xdr:colOff>
          <xdr:row>9</xdr:row>
          <xdr:rowOff>9525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4</xdr:row>
          <xdr:rowOff>123825</xdr:rowOff>
        </xdr:from>
        <xdr:to>
          <xdr:col>1</xdr:col>
          <xdr:colOff>1752600</xdr:colOff>
          <xdr:row>9</xdr:row>
          <xdr:rowOff>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4</xdr:row>
          <xdr:rowOff>133350</xdr:rowOff>
        </xdr:from>
        <xdr:to>
          <xdr:col>1</xdr:col>
          <xdr:colOff>2771775</xdr:colOff>
          <xdr:row>9</xdr:row>
          <xdr:rowOff>9525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86">
        <f>+'AFR20'!E4</f>
        <v>44119</v>
      </c>
      <c r="C1" s="2086"/>
      <c r="D1" s="2087"/>
      <c r="I1" s="2165" t="s">
        <v>402</v>
      </c>
      <c r="J1" s="2166"/>
      <c r="K1" s="2166"/>
      <c r="L1" s="2166"/>
      <c r="M1" s="2166"/>
      <c r="N1" s="2166"/>
      <c r="O1" s="2166"/>
      <c r="P1" s="2166"/>
      <c r="Q1" s="2166"/>
      <c r="R1" s="2166"/>
      <c r="S1" s="2166"/>
    </row>
    <row r="2" spans="1:32" ht="12" customHeight="1" x14ac:dyDescent="0.2">
      <c r="A2" s="1819" t="str">
        <f>"Due to ISBE on "</f>
        <v xml:space="preserve">Due to ISBE on </v>
      </c>
      <c r="B2" s="2088">
        <f>+'AFR20'!F4</f>
        <v>44151</v>
      </c>
      <c r="C2" s="2088"/>
      <c r="D2" s="2089"/>
      <c r="I2" s="2167" t="s">
        <v>2000</v>
      </c>
      <c r="J2" s="2166"/>
      <c r="K2" s="2166"/>
      <c r="L2" s="2166"/>
      <c r="M2" s="2166"/>
      <c r="N2" s="2166"/>
      <c r="O2" s="2166"/>
      <c r="P2" s="2166"/>
      <c r="Q2" s="2166"/>
      <c r="R2" s="2166"/>
      <c r="S2" s="2166"/>
    </row>
    <row r="3" spans="1:32" ht="12" customHeight="1" x14ac:dyDescent="0.2">
      <c r="A3" s="1822" t="str">
        <f>"SD/JA"&amp;MID('AFR20'!E2,3,2)</f>
        <v>SD/JA20</v>
      </c>
      <c r="B3" s="150"/>
      <c r="C3" s="150"/>
      <c r="D3" s="151"/>
      <c r="I3" s="2167" t="s">
        <v>52</v>
      </c>
      <c r="J3" s="2166"/>
      <c r="K3" s="2166"/>
      <c r="L3" s="2166"/>
      <c r="M3" s="2166"/>
      <c r="N3" s="2166"/>
      <c r="O3" s="2166"/>
      <c r="P3" s="2166"/>
      <c r="Q3" s="2166"/>
      <c r="R3" s="2166"/>
      <c r="S3" s="2166"/>
    </row>
    <row r="4" spans="1:32" ht="12" customHeight="1" x14ac:dyDescent="0.2">
      <c r="A4" s="37"/>
      <c r="I4" s="2167" t="s">
        <v>521</v>
      </c>
      <c r="J4" s="2166"/>
      <c r="K4" s="2166"/>
      <c r="L4" s="2166"/>
      <c r="M4" s="2166"/>
      <c r="N4" s="2166"/>
      <c r="O4" s="2166"/>
      <c r="P4" s="2166"/>
      <c r="Q4" s="2166"/>
      <c r="R4" s="2166"/>
      <c r="S4" s="2166"/>
    </row>
    <row r="5" spans="1:32" ht="14.1" customHeight="1" x14ac:dyDescent="0.2">
      <c r="B5" s="100" t="s">
        <v>2048</v>
      </c>
      <c r="C5" s="26" t="s">
        <v>904</v>
      </c>
      <c r="D5" s="81"/>
      <c r="E5" s="81"/>
      <c r="H5" s="38"/>
      <c r="I5" s="2174" t="s">
        <v>675</v>
      </c>
      <c r="J5" s="2119"/>
      <c r="K5" s="2119"/>
      <c r="L5" s="2119"/>
      <c r="M5" s="2119"/>
      <c r="N5" s="2119"/>
      <c r="O5" s="2119"/>
      <c r="P5" s="2119"/>
      <c r="Q5" s="2119"/>
      <c r="R5" s="2119"/>
      <c r="S5" s="2119"/>
      <c r="AF5" s="1815"/>
    </row>
    <row r="6" spans="1:32" ht="14.1" customHeight="1" x14ac:dyDescent="0.2">
      <c r="B6" s="100"/>
      <c r="C6" s="26" t="s">
        <v>905</v>
      </c>
      <c r="D6" s="81"/>
      <c r="E6" s="81"/>
      <c r="I6" s="2173" t="s">
        <v>877</v>
      </c>
      <c r="J6" s="2119"/>
      <c r="K6" s="2119"/>
      <c r="L6" s="2119"/>
      <c r="M6" s="2119"/>
      <c r="N6" s="2119"/>
      <c r="O6" s="2119"/>
      <c r="P6" s="2119"/>
      <c r="Q6" s="2119"/>
      <c r="R6" s="2119"/>
      <c r="S6" s="2119"/>
    </row>
    <row r="7" spans="1:32" ht="12.2" customHeight="1" x14ac:dyDescent="0.2">
      <c r="I7" s="2168" t="str">
        <f>"June 30, "&amp;'AFR20'!E2</f>
        <v>June 30, 2020</v>
      </c>
      <c r="J7" s="2169"/>
      <c r="K7" s="2169"/>
      <c r="L7" s="2169"/>
      <c r="M7" s="2169"/>
      <c r="N7" s="2169"/>
      <c r="O7" s="2169"/>
      <c r="P7" s="2169"/>
      <c r="Q7" s="2169"/>
      <c r="R7" s="2169"/>
      <c r="S7" s="216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0" t="s">
        <v>669</v>
      </c>
      <c r="J9" s="2171"/>
      <c r="K9" s="2171"/>
      <c r="L9" s="2171"/>
      <c r="M9" s="2171"/>
      <c r="N9" s="2171"/>
      <c r="O9" s="2171"/>
      <c r="P9" s="2171"/>
      <c r="Q9" s="2171"/>
      <c r="R9" s="2171"/>
      <c r="S9" s="2172"/>
      <c r="T9" s="2115" t="s">
        <v>530</v>
      </c>
      <c r="U9" s="2116"/>
      <c r="V9" s="2116"/>
      <c r="W9" s="2116"/>
      <c r="X9" s="2116"/>
      <c r="Y9" s="2116"/>
      <c r="Z9" s="2116"/>
      <c r="AA9" s="2117"/>
    </row>
    <row r="10" spans="1:32" ht="13.5" customHeight="1" x14ac:dyDescent="0.2">
      <c r="A10" s="2124" t="s">
        <v>670</v>
      </c>
      <c r="B10" s="2125"/>
      <c r="C10" s="2125"/>
      <c r="D10" s="2125"/>
      <c r="E10" s="2125"/>
      <c r="F10" s="2125"/>
      <c r="G10" s="2125"/>
      <c r="H10" s="2126"/>
      <c r="I10" s="29"/>
      <c r="J10" s="30"/>
      <c r="K10" s="28"/>
      <c r="R10" s="30"/>
      <c r="S10" s="30"/>
      <c r="T10" s="2118"/>
      <c r="U10" s="2119"/>
      <c r="V10" s="2119"/>
      <c r="W10" s="2119"/>
      <c r="X10" s="2119"/>
      <c r="Y10" s="2119"/>
      <c r="Z10" s="2119"/>
      <c r="AA10" s="2120"/>
    </row>
    <row r="11" spans="1:32" ht="14.25" customHeight="1" x14ac:dyDescent="0.2">
      <c r="A11" s="2127" t="s">
        <v>949</v>
      </c>
      <c r="B11" s="2128"/>
      <c r="C11" s="2128"/>
      <c r="D11" s="2128"/>
      <c r="E11" s="2128"/>
      <c r="F11" s="2128"/>
      <c r="G11" s="2128"/>
      <c r="H11" s="2129"/>
      <c r="I11" s="27"/>
      <c r="J11" s="71"/>
      <c r="K11" s="27"/>
      <c r="O11" s="143" t="s">
        <v>2048</v>
      </c>
      <c r="P11" s="97" t="s">
        <v>199</v>
      </c>
      <c r="Q11" s="30"/>
      <c r="R11" s="28"/>
      <c r="S11" s="27"/>
      <c r="T11" s="2121"/>
      <c r="U11" s="2122"/>
      <c r="V11" s="2122"/>
      <c r="W11" s="2122"/>
      <c r="X11" s="2122"/>
      <c r="Y11" s="2122"/>
      <c r="Z11" s="2122"/>
      <c r="AA11" s="2123"/>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135">
        <v>7016152502</v>
      </c>
      <c r="B13" s="2136"/>
      <c r="C13" s="2136"/>
      <c r="D13" s="2136"/>
      <c r="E13" s="2136"/>
      <c r="F13" s="2136"/>
      <c r="G13" s="2136"/>
      <c r="H13" s="2137"/>
      <c r="I13" s="31"/>
      <c r="J13" s="30"/>
      <c r="K13" s="28"/>
      <c r="L13" s="30"/>
      <c r="M13" s="30"/>
      <c r="N13" s="30"/>
      <c r="O13" s="30"/>
      <c r="P13" s="30"/>
      <c r="Q13" s="30"/>
      <c r="R13" s="30"/>
      <c r="S13" s="30"/>
      <c r="T13" s="2140" t="s">
        <v>2060</v>
      </c>
      <c r="U13" s="2141"/>
      <c r="V13" s="2141"/>
      <c r="W13" s="2141"/>
      <c r="X13" s="2141"/>
      <c r="Y13" s="2142"/>
      <c r="Z13" s="2142"/>
      <c r="AA13" s="2143"/>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33" t="s">
        <v>2049</v>
      </c>
      <c r="B15" s="2138"/>
      <c r="C15" s="2138"/>
      <c r="D15" s="2138"/>
      <c r="E15" s="2138"/>
      <c r="F15" s="2138"/>
      <c r="G15" s="2138"/>
      <c r="H15" s="2139"/>
      <c r="T15" s="2101" t="s">
        <v>2061</v>
      </c>
      <c r="U15" s="2102"/>
      <c r="V15" s="2102"/>
      <c r="W15" s="2102"/>
      <c r="X15" s="2102"/>
      <c r="Y15" s="2144"/>
      <c r="Z15" s="2144"/>
      <c r="AA15" s="214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2275</v>
      </c>
      <c r="B17" s="2163"/>
      <c r="C17" s="2163"/>
      <c r="D17" s="2163"/>
      <c r="E17" s="2163"/>
      <c r="F17" s="2163"/>
      <c r="G17" s="2163"/>
      <c r="H17" s="2164"/>
      <c r="T17" s="2150" t="s">
        <v>2062</v>
      </c>
      <c r="U17" s="2151"/>
      <c r="V17" s="2151"/>
      <c r="W17" s="2151"/>
      <c r="X17" s="2151"/>
      <c r="Y17" s="2151"/>
      <c r="Z17" s="2151"/>
      <c r="AA17" s="2152"/>
    </row>
    <row r="18" spans="1:27" ht="13.5" customHeight="1" x14ac:dyDescent="0.2">
      <c r="A18" s="82" t="s">
        <v>527</v>
      </c>
      <c r="B18" s="73"/>
      <c r="C18" s="69"/>
      <c r="D18" s="73"/>
      <c r="E18" s="73"/>
      <c r="F18" s="73"/>
      <c r="G18" s="73"/>
      <c r="H18" s="53"/>
      <c r="I18" s="2160" t="s">
        <v>671</v>
      </c>
      <c r="J18" s="2161"/>
      <c r="K18" s="2161"/>
      <c r="L18" s="2161"/>
      <c r="M18" s="2161"/>
      <c r="N18" s="2161"/>
      <c r="O18" s="2161"/>
      <c r="P18" s="2161"/>
      <c r="Q18" s="2161"/>
      <c r="R18" s="2161"/>
      <c r="S18" s="2162"/>
      <c r="T18" s="82" t="s">
        <v>706</v>
      </c>
      <c r="U18" s="48"/>
      <c r="V18" s="69"/>
      <c r="W18" s="47"/>
      <c r="X18" s="82" t="s">
        <v>264</v>
      </c>
      <c r="Y18" s="78"/>
      <c r="Z18" s="153" t="s">
        <v>672</v>
      </c>
      <c r="AA18" s="44"/>
    </row>
    <row r="19" spans="1:27" ht="13.5" customHeight="1" x14ac:dyDescent="0.2">
      <c r="A19" s="2133" t="s">
        <v>2050</v>
      </c>
      <c r="B19" s="2134"/>
      <c r="C19" s="2134"/>
      <c r="D19" s="2134"/>
      <c r="E19" s="2134"/>
      <c r="F19" s="2134"/>
      <c r="G19" s="2134"/>
      <c r="H19" s="2132"/>
      <c r="I19" s="30"/>
      <c r="J19" s="96"/>
      <c r="K19" s="40"/>
      <c r="L19" s="38"/>
      <c r="M19" s="108" t="s">
        <v>312</v>
      </c>
      <c r="P19" s="27"/>
      <c r="Q19" s="27"/>
      <c r="R19" s="27"/>
      <c r="S19" s="31"/>
      <c r="T19" s="2133" t="s">
        <v>2063</v>
      </c>
      <c r="U19" s="2131"/>
      <c r="V19" s="2131"/>
      <c r="W19" s="2132"/>
      <c r="X19" s="2148" t="s">
        <v>2064</v>
      </c>
      <c r="Y19" s="2149"/>
      <c r="Z19" s="2146">
        <v>60154</v>
      </c>
      <c r="AA19" s="214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130" t="s">
        <v>2051</v>
      </c>
      <c r="B21" s="2131"/>
      <c r="C21" s="2131"/>
      <c r="D21" s="2131"/>
      <c r="E21" s="2131"/>
      <c r="F21" s="2131"/>
      <c r="G21" s="2131"/>
      <c r="H21" s="2132"/>
      <c r="I21" s="2156" t="s">
        <v>673</v>
      </c>
      <c r="J21" s="2119"/>
      <c r="K21" s="2119"/>
      <c r="L21" s="2119"/>
      <c r="M21" s="2119"/>
      <c r="N21" s="2119"/>
      <c r="O21" s="2119"/>
      <c r="P21" s="2119"/>
      <c r="Q21" s="2119"/>
      <c r="R21" s="2119"/>
      <c r="S21" s="2120"/>
      <c r="T21" s="2098" t="s">
        <v>2065</v>
      </c>
      <c r="U21" s="2099"/>
      <c r="V21" s="2099"/>
      <c r="W21" s="2099"/>
      <c r="X21" s="2112" t="s">
        <v>2066</v>
      </c>
      <c r="Y21" s="2113"/>
      <c r="Z21" s="2113"/>
      <c r="AA21" s="2114"/>
    </row>
    <row r="22" spans="1:27" ht="13.5" customHeight="1" x14ac:dyDescent="0.2">
      <c r="A22" s="84" t="s">
        <v>528</v>
      </c>
      <c r="B22" s="56"/>
      <c r="C22" s="56"/>
      <c r="D22" s="56"/>
      <c r="E22" s="56"/>
      <c r="F22" s="56"/>
      <c r="G22" s="56"/>
      <c r="H22" s="57"/>
      <c r="I22" s="2157" t="s">
        <v>1412</v>
      </c>
      <c r="J22" s="2158"/>
      <c r="K22" s="2158"/>
      <c r="L22" s="2158"/>
      <c r="M22" s="2158"/>
      <c r="N22" s="2158"/>
      <c r="O22" s="2158"/>
      <c r="P22" s="2158"/>
      <c r="Q22" s="2158"/>
      <c r="R22" s="2158"/>
      <c r="S22" s="2159"/>
      <c r="T22" s="82" t="s">
        <v>1499</v>
      </c>
      <c r="U22" s="48"/>
      <c r="V22" s="69"/>
      <c r="W22" s="48"/>
      <c r="X22" s="154" t="s">
        <v>1307</v>
      </c>
      <c r="Z22" s="43"/>
      <c r="AA22" s="44"/>
    </row>
    <row r="23" spans="1:27" ht="13.5" customHeight="1" x14ac:dyDescent="0.2">
      <c r="A23" s="2153"/>
      <c r="B23" s="2154"/>
      <c r="C23" s="2154"/>
      <c r="D23" s="2154"/>
      <c r="E23" s="2154"/>
      <c r="F23" s="2154"/>
      <c r="G23" s="2154"/>
      <c r="H23" s="2155"/>
      <c r="T23" s="2093" t="s">
        <v>2067</v>
      </c>
      <c r="U23" s="2094"/>
      <c r="V23" s="2094"/>
      <c r="W23" s="2094"/>
      <c r="X23" s="2109">
        <v>44530</v>
      </c>
      <c r="Y23" s="2110"/>
      <c r="Z23" s="2110"/>
      <c r="AA23" s="2111"/>
    </row>
    <row r="24" spans="1:27" ht="14.1" customHeight="1" x14ac:dyDescent="0.2">
      <c r="A24" s="85" t="s">
        <v>672</v>
      </c>
      <c r="B24" s="46"/>
      <c r="C24" s="46"/>
      <c r="D24" s="46"/>
      <c r="E24" s="46"/>
      <c r="F24" s="46"/>
      <c r="G24" s="46"/>
      <c r="H24" s="58"/>
      <c r="J24" s="2195">
        <f>IF(B5="x",IF(AUDITCHECK!D29="AFR form Incomplete.","",IF(AUDITCHECK!D29="Deficit reduction plan is required.","School District must complete a deficit reduction plan in the 2020-2021 Budget",)),"")</f>
        <v>0</v>
      </c>
      <c r="K24" s="2195"/>
      <c r="L24" s="2195"/>
      <c r="M24" s="2195"/>
      <c r="N24" s="2195"/>
      <c r="O24" s="2195"/>
      <c r="P24" s="2195"/>
      <c r="Q24" s="2195"/>
      <c r="R24" s="2195"/>
      <c r="S24" s="2196"/>
      <c r="T24" s="101" t="s">
        <v>528</v>
      </c>
      <c r="U24" s="102"/>
      <c r="V24" s="102"/>
      <c r="W24" s="102"/>
      <c r="X24" s="103"/>
      <c r="Y24" s="103"/>
      <c r="Z24" s="103"/>
      <c r="AA24" s="104"/>
    </row>
    <row r="25" spans="1:27" ht="14.1" customHeight="1" x14ac:dyDescent="0.2">
      <c r="A25" s="2130">
        <v>60429</v>
      </c>
      <c r="B25" s="2131"/>
      <c r="C25" s="2131"/>
      <c r="D25" s="2131"/>
      <c r="E25" s="2131"/>
      <c r="F25" s="2131"/>
      <c r="G25" s="2131"/>
      <c r="H25" s="2132"/>
      <c r="I25" s="109"/>
      <c r="J25" s="2197"/>
      <c r="K25" s="2197"/>
      <c r="L25" s="2197"/>
      <c r="M25" s="2197"/>
      <c r="N25" s="2197"/>
      <c r="O25" s="2197"/>
      <c r="P25" s="2197"/>
      <c r="Q25" s="2197"/>
      <c r="R25" s="2197"/>
      <c r="S25" s="2198"/>
      <c r="T25" s="2090" t="s">
        <v>2068</v>
      </c>
      <c r="U25" s="2091"/>
      <c r="V25" s="2091"/>
      <c r="W25" s="2091"/>
      <c r="X25" s="2091"/>
      <c r="Y25" s="2091"/>
      <c r="Z25" s="2091"/>
      <c r="AA25" s="209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88" t="s">
        <v>1494</v>
      </c>
      <c r="J27" s="2161"/>
      <c r="K27" s="2161"/>
      <c r="L27" s="2161"/>
      <c r="M27" s="2161"/>
      <c r="N27" s="2161"/>
      <c r="O27" s="2161"/>
      <c r="P27" s="2161"/>
      <c r="Q27" s="2161"/>
      <c r="R27" s="2161"/>
      <c r="S27" s="2162"/>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x14ac:dyDescent="0.2">
      <c r="A30" s="148"/>
      <c r="B30" s="132" t="s">
        <v>2048</v>
      </c>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2048</v>
      </c>
      <c r="C34" s="32" t="s">
        <v>539</v>
      </c>
      <c r="D34" s="31"/>
      <c r="E34" s="31"/>
      <c r="F34" s="31"/>
      <c r="G34" s="31"/>
      <c r="H34" s="31"/>
      <c r="I34" s="51"/>
      <c r="J34" s="80"/>
      <c r="L34" s="144" t="s">
        <v>2048</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4" t="s">
        <v>2056</v>
      </c>
      <c r="Q35" s="2131"/>
      <c r="R35" s="213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93" t="s">
        <v>2052</v>
      </c>
      <c r="B38" s="2163"/>
      <c r="C38" s="2163"/>
      <c r="D38" s="2163"/>
      <c r="E38" s="2163"/>
      <c r="F38" s="2131"/>
      <c r="G38" s="2131"/>
      <c r="H38" s="2132"/>
      <c r="I38" s="2182" t="s">
        <v>2057</v>
      </c>
      <c r="J38" s="2102"/>
      <c r="K38" s="2102"/>
      <c r="L38" s="2102"/>
      <c r="M38" s="2102"/>
      <c r="N38" s="2102"/>
      <c r="O38" s="2102"/>
      <c r="P38" s="2103"/>
      <c r="Q38" s="2103"/>
      <c r="R38" s="2103"/>
      <c r="S38" s="2104"/>
      <c r="T38" s="2101" t="s">
        <v>2069</v>
      </c>
      <c r="U38" s="2102"/>
      <c r="V38" s="2102"/>
      <c r="W38" s="2102"/>
      <c r="X38" s="2103"/>
      <c r="Y38" s="2103"/>
      <c r="Z38" s="2103"/>
      <c r="AA38" s="2104"/>
    </row>
    <row r="39" spans="1:27" ht="12" customHeight="1" x14ac:dyDescent="0.2">
      <c r="A39" s="2186" t="s">
        <v>528</v>
      </c>
      <c r="B39" s="2187"/>
      <c r="C39" s="69"/>
      <c r="D39" s="66"/>
      <c r="E39" s="66"/>
      <c r="F39" s="76"/>
      <c r="G39" s="66"/>
      <c r="H39" s="53"/>
      <c r="I39" s="2186" t="s">
        <v>528</v>
      </c>
      <c r="J39" s="2187"/>
      <c r="K39" s="2187"/>
      <c r="L39" s="2187"/>
      <c r="M39" s="2187"/>
      <c r="N39" s="64"/>
      <c r="O39" s="69"/>
      <c r="P39" s="69"/>
      <c r="Q39" s="75"/>
      <c r="R39" s="69"/>
      <c r="S39" s="53"/>
      <c r="T39" s="69" t="s">
        <v>528</v>
      </c>
      <c r="U39" s="48"/>
      <c r="V39" s="69"/>
      <c r="W39" s="47"/>
      <c r="X39" s="75"/>
      <c r="Y39" s="43"/>
      <c r="Z39" s="43"/>
      <c r="AA39" s="44"/>
    </row>
    <row r="40" spans="1:27" ht="13.5" customHeight="1" x14ac:dyDescent="0.2">
      <c r="A40" s="2189" t="s">
        <v>2053</v>
      </c>
      <c r="B40" s="2190"/>
      <c r="C40" s="2191"/>
      <c r="D40" s="2191"/>
      <c r="E40" s="2191"/>
      <c r="F40" s="2192"/>
      <c r="G40" s="2192"/>
      <c r="H40" s="2193"/>
      <c r="I40" s="2105"/>
      <c r="J40" s="2107"/>
      <c r="K40" s="2107"/>
      <c r="L40" s="2107"/>
      <c r="M40" s="2107"/>
      <c r="N40" s="2107"/>
      <c r="O40" s="2107"/>
      <c r="P40" s="2107"/>
      <c r="Q40" s="2107"/>
      <c r="R40" s="2107"/>
      <c r="S40" s="2108"/>
      <c r="T40" s="2105" t="s">
        <v>2070</v>
      </c>
      <c r="U40" s="2106"/>
      <c r="V40" s="2107"/>
      <c r="W40" s="2107"/>
      <c r="X40" s="2107"/>
      <c r="Y40" s="2107"/>
      <c r="Z40" s="2107"/>
      <c r="AA40" s="210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9" t="s">
        <v>2054</v>
      </c>
      <c r="B42" s="2180"/>
      <c r="C42" s="2181"/>
      <c r="D42" s="2194" t="s">
        <v>2055</v>
      </c>
      <c r="E42" s="2180"/>
      <c r="F42" s="2180"/>
      <c r="G42" s="2180"/>
      <c r="H42" s="2181"/>
      <c r="I42" s="2100" t="s">
        <v>2058</v>
      </c>
      <c r="J42" s="2096"/>
      <c r="K42" s="2096"/>
      <c r="L42" s="2096"/>
      <c r="M42" s="2096"/>
      <c r="N42" s="2096"/>
      <c r="O42" s="2097"/>
      <c r="P42" s="2095" t="s">
        <v>2059</v>
      </c>
      <c r="Q42" s="2096"/>
      <c r="R42" s="2096"/>
      <c r="S42" s="2097"/>
      <c r="T42" s="2100" t="s">
        <v>2071</v>
      </c>
      <c r="U42" s="2096"/>
      <c r="V42" s="2096"/>
      <c r="W42" s="2097"/>
      <c r="X42" s="2095" t="s">
        <v>2072</v>
      </c>
      <c r="Y42" s="2096"/>
      <c r="Z42" s="2096"/>
      <c r="AA42" s="209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3"/>
      <c r="B44" s="2184"/>
      <c r="C44" s="2184"/>
      <c r="D44" s="2184"/>
      <c r="E44" s="2184"/>
      <c r="F44" s="2184"/>
      <c r="G44" s="2184"/>
      <c r="H44" s="2185"/>
      <c r="I44" s="2175"/>
      <c r="J44" s="2177"/>
      <c r="K44" s="2177"/>
      <c r="L44" s="2177"/>
      <c r="M44" s="2177"/>
      <c r="N44" s="2177"/>
      <c r="O44" s="2177"/>
      <c r="P44" s="2177"/>
      <c r="Q44" s="2177"/>
      <c r="R44" s="2177"/>
      <c r="S44" s="2178"/>
      <c r="T44" s="2175"/>
      <c r="U44" s="2176"/>
      <c r="V44" s="2176"/>
      <c r="W44" s="2176"/>
      <c r="X44" s="2176"/>
      <c r="Y44" s="2176"/>
      <c r="Z44" s="2177"/>
      <c r="AA44" s="217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23" t="str">
        <f>"ISBE Form SD50-35/JA50-60 (05/"&amp;MID('AFR20'!E2,3,2)&amp;"-version"&amp;'AFR20'!F2&amp;")"</f>
        <v>ISBE Form SD50-35/JA50-60 (05/20-version1)</v>
      </c>
      <c r="B46" s="111"/>
      <c r="C46" s="111"/>
      <c r="D46" s="1824"/>
      <c r="E46" s="41"/>
      <c r="F46" s="41"/>
      <c r="G46" s="41"/>
      <c r="Q46" s="29" t="s">
        <v>1403</v>
      </c>
      <c r="R46" s="41"/>
      <c r="S46" s="41"/>
      <c r="T46" s="41"/>
      <c r="U46" s="41"/>
      <c r="V46" s="41"/>
      <c r="W46" s="41"/>
      <c r="X46" s="41"/>
      <c r="Y46" s="41"/>
      <c r="Z46" s="41"/>
      <c r="AA46" s="41"/>
    </row>
    <row r="47" spans="1:27" x14ac:dyDescent="0.2">
      <c r="A47" s="133"/>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4" sqref="B14"/>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02" t="s">
        <v>104</v>
      </c>
      <c r="B1" s="306"/>
      <c r="C1" s="306"/>
      <c r="D1" s="306"/>
      <c r="E1" s="306"/>
    </row>
    <row r="2" spans="1:8" ht="39.75" customHeight="1" x14ac:dyDescent="0.2">
      <c r="A2" s="2337" t="s">
        <v>1776</v>
      </c>
      <c r="B2" s="1720" t="str">
        <f>"Taxes Received 7-1-"&amp;MID('AFR20'!E2,3,2)-1&amp;" thru 6-30-"&amp;MID('AFR20'!E2,3,2)&amp;" (from "&amp;'AFR20'!E2-2&amp;" Levy &amp; Prior Levies)  *"</f>
        <v>Taxes Received 7-1-19 thru 6-30-20 (from 2018 Levy &amp; Prior Levies)  *</v>
      </c>
      <c r="C2" s="1721" t="str">
        <f>"Taxes Received            (from the "&amp;'AFR20'!E2-1&amp;" Levy)"</f>
        <v>Taxes Received            (from the 2019 Levy)</v>
      </c>
      <c r="D2" s="1721" t="str">
        <f>"Taxes Received (from "&amp;'AFR20'!E2-2&amp;" &amp; Prior Levies)"</f>
        <v>Taxes Received (from 2018 &amp; Prior Levies)</v>
      </c>
      <c r="E2" s="1721" t="str">
        <f>"Total Estimated Taxes (from the "&amp;'AFR20'!E2-1&amp;" Levy)   "</f>
        <v xml:space="preserve">Total Estimated Taxes (from the 2019 Levy)   </v>
      </c>
      <c r="F2" s="1721" t="str">
        <f>"Estimated Taxes Due (from the "&amp;'AFR20'!E2-1&amp;" Levy)"</f>
        <v>Estimated Taxes Due (from the 2019 Levy)</v>
      </c>
      <c r="H2" s="547"/>
    </row>
    <row r="3" spans="1:8" ht="12" customHeight="1" x14ac:dyDescent="0.2">
      <c r="A3" s="2338"/>
      <c r="B3" s="1284"/>
      <c r="C3" s="1285"/>
      <c r="D3" s="1286" t="s">
        <v>254</v>
      </c>
      <c r="E3" s="1285"/>
      <c r="F3" s="1286" t="s">
        <v>255</v>
      </c>
    </row>
    <row r="4" spans="1:8" ht="13.7" customHeight="1" x14ac:dyDescent="0.2">
      <c r="A4" s="578" t="s">
        <v>1145</v>
      </c>
      <c r="B4" s="1711">
        <f>'Revenues 9-14'!C5</f>
        <v>3481575</v>
      </c>
      <c r="C4" s="1712">
        <v>1497185</v>
      </c>
      <c r="D4" s="1713">
        <f>B4-C4</f>
        <v>1984390</v>
      </c>
      <c r="E4" s="1712">
        <v>3360997</v>
      </c>
      <c r="F4" s="1713">
        <f>E4-C4</f>
        <v>1863812</v>
      </c>
    </row>
    <row r="5" spans="1:8" ht="13.7" customHeight="1" x14ac:dyDescent="0.2">
      <c r="A5" s="578" t="s">
        <v>865</v>
      </c>
      <c r="B5" s="1714">
        <f>'Revenues 9-14'!D5</f>
        <v>366430</v>
      </c>
      <c r="C5" s="1654">
        <v>152283</v>
      </c>
      <c r="D5" s="1715">
        <f t="shared" ref="D5:D18" si="0">B5-C5</f>
        <v>214147</v>
      </c>
      <c r="E5" s="1654">
        <v>341856</v>
      </c>
      <c r="F5" s="1715">
        <f>E5-C5</f>
        <v>189573</v>
      </c>
    </row>
    <row r="6" spans="1:8" ht="13.7" customHeight="1" x14ac:dyDescent="0.2">
      <c r="A6" s="578" t="s">
        <v>408</v>
      </c>
      <c r="B6" s="1714">
        <f>'Revenues 9-14'!E5</f>
        <v>1081778</v>
      </c>
      <c r="C6" s="1654">
        <v>488246</v>
      </c>
      <c r="D6" s="1715">
        <f t="shared" si="0"/>
        <v>593532</v>
      </c>
      <c r="E6" s="1654">
        <v>1096054</v>
      </c>
      <c r="F6" s="1715">
        <f t="shared" ref="F6:F18" si="1">E6-C6</f>
        <v>607808</v>
      </c>
    </row>
    <row r="7" spans="1:8" ht="13.7" customHeight="1" x14ac:dyDescent="0.2">
      <c r="A7" s="578" t="s">
        <v>154</v>
      </c>
      <c r="B7" s="1714">
        <f>'Revenues 9-14'!F5</f>
        <v>954209</v>
      </c>
      <c r="C7" s="1654">
        <v>417077</v>
      </c>
      <c r="D7" s="1715">
        <f t="shared" si="0"/>
        <v>537132</v>
      </c>
      <c r="E7" s="1654">
        <v>936286</v>
      </c>
      <c r="F7" s="1715">
        <f t="shared" si="1"/>
        <v>519209</v>
      </c>
    </row>
    <row r="8" spans="1:8" ht="13.7" customHeight="1" x14ac:dyDescent="0.2">
      <c r="A8" s="578" t="s">
        <v>1169</v>
      </c>
      <c r="B8" s="1714">
        <f>'Revenues 9-14'!G5</f>
        <v>44076</v>
      </c>
      <c r="C8" s="1654">
        <v>15961</v>
      </c>
      <c r="D8" s="1715">
        <f t="shared" si="0"/>
        <v>28115</v>
      </c>
      <c r="E8" s="1654">
        <v>35830</v>
      </c>
      <c r="F8" s="1715">
        <f t="shared" si="1"/>
        <v>19869</v>
      </c>
    </row>
    <row r="9" spans="1:8" ht="13.7" customHeight="1" x14ac:dyDescent="0.2">
      <c r="A9" s="578" t="s">
        <v>405</v>
      </c>
      <c r="B9" s="1714">
        <f>'Revenues 9-14'!H5</f>
        <v>0</v>
      </c>
      <c r="C9" s="1654">
        <v>0</v>
      </c>
      <c r="D9" s="1715">
        <f t="shared" si="0"/>
        <v>0</v>
      </c>
      <c r="E9" s="1654">
        <v>0</v>
      </c>
      <c r="F9" s="1715">
        <f t="shared" si="1"/>
        <v>0</v>
      </c>
    </row>
    <row r="10" spans="1:8" ht="13.7" customHeight="1" x14ac:dyDescent="0.2">
      <c r="A10" s="578" t="s">
        <v>404</v>
      </c>
      <c r="B10" s="1714">
        <f>'Revenues 9-14'!I5</f>
        <v>33578</v>
      </c>
      <c r="C10" s="1654">
        <v>13868</v>
      </c>
      <c r="D10" s="1715">
        <f t="shared" si="0"/>
        <v>19710</v>
      </c>
      <c r="E10" s="1654">
        <v>31131</v>
      </c>
      <c r="F10" s="1715">
        <f t="shared" si="1"/>
        <v>17263</v>
      </c>
    </row>
    <row r="11" spans="1:8" x14ac:dyDescent="0.2">
      <c r="A11" s="578" t="s">
        <v>406</v>
      </c>
      <c r="B11" s="1714">
        <f>'Revenues 9-14'!J5</f>
        <v>42050</v>
      </c>
      <c r="C11" s="1654">
        <v>15961</v>
      </c>
      <c r="D11" s="1715">
        <f t="shared" si="0"/>
        <v>26089</v>
      </c>
      <c r="E11" s="1654">
        <v>35830</v>
      </c>
      <c r="F11" s="1715">
        <f t="shared" si="1"/>
        <v>19869</v>
      </c>
    </row>
    <row r="12" spans="1:8" ht="13.7" customHeight="1" x14ac:dyDescent="0.2">
      <c r="A12" s="578" t="s">
        <v>156</v>
      </c>
      <c r="B12" s="1714">
        <f>'Revenues 9-14'!K5</f>
        <v>-2271</v>
      </c>
      <c r="C12" s="1654">
        <v>0</v>
      </c>
      <c r="D12" s="1715">
        <f t="shared" si="0"/>
        <v>-2271</v>
      </c>
      <c r="E12" s="1654">
        <v>0</v>
      </c>
      <c r="F12" s="1715">
        <f t="shared" si="1"/>
        <v>0</v>
      </c>
    </row>
    <row r="13" spans="1:8" ht="13.7" customHeight="1" x14ac:dyDescent="0.2">
      <c r="A13" s="578" t="s">
        <v>930</v>
      </c>
      <c r="B13" s="1714">
        <f>SUM('Revenues 9-14'!C6:D6)</f>
        <v>-1302</v>
      </c>
      <c r="C13" s="1654">
        <v>0</v>
      </c>
      <c r="D13" s="1715">
        <f t="shared" si="0"/>
        <v>-1302</v>
      </c>
      <c r="E13" s="1654">
        <v>0</v>
      </c>
      <c r="F13" s="1715">
        <f t="shared" si="1"/>
        <v>0</v>
      </c>
    </row>
    <row r="14" spans="1:8" ht="13.7" customHeight="1" x14ac:dyDescent="0.2">
      <c r="A14" s="578" t="s">
        <v>407</v>
      </c>
      <c r="B14" s="1714">
        <f>SUM('Revenues 9-14'!C7:D7,'Revenues 9-14'!F7:H7)</f>
        <v>-10960</v>
      </c>
      <c r="C14" s="1654">
        <v>0</v>
      </c>
      <c r="D14" s="1715">
        <f t="shared" si="0"/>
        <v>-10960</v>
      </c>
      <c r="E14" s="1654">
        <v>0</v>
      </c>
      <c r="F14" s="1715">
        <f t="shared" si="1"/>
        <v>0</v>
      </c>
    </row>
    <row r="15" spans="1:8" ht="13.7" customHeight="1" x14ac:dyDescent="0.2">
      <c r="A15" s="578" t="s">
        <v>1148</v>
      </c>
      <c r="B15" s="1714">
        <f>SUM('Revenues 9-14'!D9:E9,'Revenues 9-14'!H9)</f>
        <v>0</v>
      </c>
      <c r="C15" s="1654">
        <v>0</v>
      </c>
      <c r="D15" s="1715">
        <f t="shared" si="0"/>
        <v>0</v>
      </c>
      <c r="E15" s="1654">
        <v>0</v>
      </c>
      <c r="F15" s="1715">
        <f t="shared" si="1"/>
        <v>0</v>
      </c>
    </row>
    <row r="16" spans="1:8" ht="13.7" customHeight="1" x14ac:dyDescent="0.2">
      <c r="A16" s="578" t="s">
        <v>1149</v>
      </c>
      <c r="B16" s="1714">
        <f>'Revenues 9-14'!G8</f>
        <v>42843</v>
      </c>
      <c r="C16" s="1654">
        <v>15961</v>
      </c>
      <c r="D16" s="1715">
        <f t="shared" si="0"/>
        <v>26882</v>
      </c>
      <c r="E16" s="1654">
        <v>35830</v>
      </c>
      <c r="F16" s="1715">
        <f t="shared" si="1"/>
        <v>19869</v>
      </c>
    </row>
    <row r="17" spans="1:6" ht="13.7" customHeight="1" x14ac:dyDescent="0.2">
      <c r="A17" s="578" t="s">
        <v>1150</v>
      </c>
      <c r="B17" s="1714">
        <f>'Revenues 9-14'!C10</f>
        <v>0</v>
      </c>
      <c r="C17" s="1654">
        <v>0</v>
      </c>
      <c r="D17" s="1715">
        <f t="shared" si="0"/>
        <v>0</v>
      </c>
      <c r="E17" s="1654"/>
      <c r="F17" s="1715">
        <f t="shared" si="1"/>
        <v>0</v>
      </c>
    </row>
    <row r="18" spans="1:6" ht="13.7" customHeight="1" x14ac:dyDescent="0.2">
      <c r="A18" s="578" t="s">
        <v>757</v>
      </c>
      <c r="B18" s="1714">
        <f>SUM('Revenues 9-14'!C11:K11)</f>
        <v>0</v>
      </c>
      <c r="C18" s="1654">
        <v>0</v>
      </c>
      <c r="D18" s="1715">
        <f t="shared" si="0"/>
        <v>0</v>
      </c>
      <c r="E18" s="1654"/>
      <c r="F18" s="1715">
        <f t="shared" si="1"/>
        <v>0</v>
      </c>
    </row>
    <row r="19" spans="1:6" ht="13.7" customHeight="1" thickBot="1" x14ac:dyDescent="0.25">
      <c r="A19" s="1422" t="s">
        <v>1151</v>
      </c>
      <c r="B19" s="1716">
        <f>SUM(B4:B18)</f>
        <v>6032006</v>
      </c>
      <c r="C19" s="1716">
        <f>SUM(C4:C18)</f>
        <v>2616542</v>
      </c>
      <c r="D19" s="1716">
        <f>SUM(D4:D18)</f>
        <v>3415464</v>
      </c>
      <c r="E19" s="1716">
        <f>SUM(E4:E18)</f>
        <v>5873814</v>
      </c>
      <c r="F19" s="1716">
        <f>SUM(F4:F18)</f>
        <v>3257272</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42" sqref="H42"/>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43" t="s">
        <v>625</v>
      </c>
      <c r="B1" s="2344"/>
      <c r="C1" s="584"/>
    </row>
    <row r="2" spans="1:7" ht="33.75" x14ac:dyDescent="0.2">
      <c r="A2" s="2352" t="s">
        <v>1776</v>
      </c>
      <c r="B2" s="2353"/>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56" t="s">
        <v>1104</v>
      </c>
      <c r="B3" s="2357"/>
      <c r="C3" s="2345"/>
      <c r="D3" s="2346"/>
      <c r="E3" s="2346"/>
      <c r="F3" s="2347"/>
    </row>
    <row r="4" spans="1:7" ht="12.75" customHeight="1" thickBot="1" x14ac:dyDescent="0.25">
      <c r="A4" s="2354" t="s">
        <v>626</v>
      </c>
      <c r="B4" s="2355"/>
      <c r="C4" s="1646"/>
      <c r="D4" s="1646"/>
      <c r="E4" s="1646"/>
      <c r="F4" s="1722">
        <f>SUM(C4+D4)-E4</f>
        <v>0</v>
      </c>
    </row>
    <row r="5" spans="1:7" ht="15.75" customHeight="1" thickTop="1" x14ac:dyDescent="0.2">
      <c r="A5" s="2339" t="s">
        <v>1101</v>
      </c>
      <c r="B5" s="2340"/>
      <c r="C5" s="2348"/>
      <c r="D5" s="2349"/>
      <c r="E5" s="2349"/>
      <c r="F5" s="2350"/>
    </row>
    <row r="6" spans="1:7" ht="12.75" customHeight="1" thickBot="1" x14ac:dyDescent="0.25">
      <c r="A6" s="586" t="s">
        <v>64</v>
      </c>
      <c r="B6" s="587"/>
      <c r="C6" s="1723"/>
      <c r="D6" s="1654"/>
      <c r="E6" s="1723"/>
      <c r="F6" s="1722">
        <f t="shared" ref="F6:F14" si="0">SUM(C6+D6)-E6</f>
        <v>0</v>
      </c>
    </row>
    <row r="7" spans="1:7" ht="12.75" customHeight="1" thickTop="1" thickBot="1" x14ac:dyDescent="0.25">
      <c r="A7" s="586" t="s">
        <v>6</v>
      </c>
      <c r="B7" s="587"/>
      <c r="C7" s="1723"/>
      <c r="D7" s="1654"/>
      <c r="E7" s="1723"/>
      <c r="F7" s="1722">
        <f t="shared" si="0"/>
        <v>0</v>
      </c>
    </row>
    <row r="8" spans="1:7" ht="12.75" customHeight="1" thickTop="1" thickBot="1" x14ac:dyDescent="0.25">
      <c r="A8" s="586" t="s">
        <v>505</v>
      </c>
      <c r="B8" s="587"/>
      <c r="C8" s="1723"/>
      <c r="D8" s="1654"/>
      <c r="E8" s="1723"/>
      <c r="F8" s="1722">
        <f t="shared" si="0"/>
        <v>0</v>
      </c>
    </row>
    <row r="9" spans="1:7" ht="12.75" customHeight="1" thickTop="1" thickBot="1" x14ac:dyDescent="0.25">
      <c r="A9" s="586" t="s">
        <v>506</v>
      </c>
      <c r="B9" s="587"/>
      <c r="C9" s="1723"/>
      <c r="D9" s="1654"/>
      <c r="E9" s="1723"/>
      <c r="F9" s="1722">
        <f t="shared" si="0"/>
        <v>0</v>
      </c>
    </row>
    <row r="10" spans="1:7" ht="12.75" customHeight="1" thickTop="1" thickBot="1" x14ac:dyDescent="0.25">
      <c r="A10" s="586" t="s">
        <v>507</v>
      </c>
      <c r="B10" s="587"/>
      <c r="C10" s="1723"/>
      <c r="D10" s="1654"/>
      <c r="E10" s="1723"/>
      <c r="F10" s="1722">
        <f t="shared" si="0"/>
        <v>0</v>
      </c>
    </row>
    <row r="11" spans="1:7" ht="12.75" customHeight="1" thickTop="1" thickBot="1" x14ac:dyDescent="0.25">
      <c r="A11" s="586" t="s">
        <v>338</v>
      </c>
      <c r="B11" s="587"/>
      <c r="C11" s="1723"/>
      <c r="D11" s="1654"/>
      <c r="E11" s="1723"/>
      <c r="F11" s="1722">
        <f t="shared" si="0"/>
        <v>0</v>
      </c>
    </row>
    <row r="12" spans="1:7" ht="12.75" customHeight="1" thickTop="1" thickBot="1" x14ac:dyDescent="0.25">
      <c r="A12" s="586" t="s">
        <v>1147</v>
      </c>
      <c r="B12" s="587"/>
      <c r="C12" s="1723"/>
      <c r="D12" s="1654"/>
      <c r="E12" s="1723"/>
      <c r="F12" s="1722">
        <f t="shared" si="0"/>
        <v>0</v>
      </c>
    </row>
    <row r="13" spans="1:7" ht="12.75" customHeight="1" thickTop="1" thickBot="1" x14ac:dyDescent="0.25">
      <c r="A13" s="586" t="s">
        <v>385</v>
      </c>
      <c r="B13" s="587"/>
      <c r="C13" s="1723"/>
      <c r="D13" s="1654"/>
      <c r="E13" s="1723"/>
      <c r="F13" s="1722">
        <f t="shared" si="0"/>
        <v>0</v>
      </c>
    </row>
    <row r="14" spans="1:7" ht="12.75" customHeight="1" thickTop="1" thickBot="1" x14ac:dyDescent="0.25">
      <c r="A14" s="586" t="s">
        <v>445</v>
      </c>
      <c r="B14" s="587"/>
      <c r="C14" s="1723"/>
      <c r="D14" s="1654"/>
      <c r="E14" s="1723"/>
      <c r="F14" s="1722">
        <f t="shared" si="0"/>
        <v>0</v>
      </c>
    </row>
    <row r="15" spans="1:7" ht="14.25" thickTop="1" thickBot="1" x14ac:dyDescent="0.25">
      <c r="A15" s="2341" t="s">
        <v>627</v>
      </c>
      <c r="B15" s="2342"/>
      <c r="C15" s="1722">
        <f>SUM(C6:C14)</f>
        <v>0</v>
      </c>
      <c r="D15" s="1722">
        <f>SUM(D6:D14)</f>
        <v>0</v>
      </c>
      <c r="E15" s="1722">
        <f>SUM(E6:E14)</f>
        <v>0</v>
      </c>
      <c r="F15" s="1722">
        <f>SUM(F6:F14)</f>
        <v>0</v>
      </c>
      <c r="G15" s="472"/>
    </row>
    <row r="16" spans="1:7" s="196" customFormat="1" ht="15.75" customHeight="1" thickTop="1" x14ac:dyDescent="0.2">
      <c r="A16" s="2351" t="s">
        <v>1102</v>
      </c>
      <c r="B16" s="2340"/>
      <c r="C16" s="2348"/>
      <c r="D16" s="2349"/>
      <c r="E16" s="2349"/>
      <c r="F16" s="2350"/>
    </row>
    <row r="17" spans="1:11" ht="12.75" customHeight="1" thickBot="1" x14ac:dyDescent="0.25">
      <c r="A17" s="2364" t="s">
        <v>64</v>
      </c>
      <c r="B17" s="2365"/>
      <c r="C17" s="1723"/>
      <c r="D17" s="1654"/>
      <c r="E17" s="1723"/>
      <c r="F17" s="1722">
        <f>SUM(C17+D17)-E17</f>
        <v>0</v>
      </c>
    </row>
    <row r="18" spans="1:11" ht="12.75" customHeight="1" thickTop="1" thickBot="1" x14ac:dyDescent="0.25">
      <c r="A18" s="2364" t="s">
        <v>6</v>
      </c>
      <c r="B18" s="2365"/>
      <c r="C18" s="1723"/>
      <c r="D18" s="1654"/>
      <c r="E18" s="1723"/>
      <c r="F18" s="1722">
        <f>SUM(C18+D18)-E18</f>
        <v>0</v>
      </c>
    </row>
    <row r="19" spans="1:11" ht="12.75" customHeight="1" thickTop="1" thickBot="1" x14ac:dyDescent="0.25">
      <c r="A19" s="2364" t="s">
        <v>385</v>
      </c>
      <c r="B19" s="2365"/>
      <c r="C19" s="1723"/>
      <c r="D19" s="1654"/>
      <c r="E19" s="1723"/>
      <c r="F19" s="1722">
        <f>SUM(C19+D19)-E19</f>
        <v>0</v>
      </c>
    </row>
    <row r="20" spans="1:11" ht="12.75" customHeight="1" thickTop="1" thickBot="1" x14ac:dyDescent="0.25">
      <c r="A20" s="2364" t="s">
        <v>445</v>
      </c>
      <c r="B20" s="2365"/>
      <c r="C20" s="1723"/>
      <c r="D20" s="1654"/>
      <c r="E20" s="1723"/>
      <c r="F20" s="1722">
        <f>SUM(C20+D20)-E20</f>
        <v>0</v>
      </c>
    </row>
    <row r="21" spans="1:11" ht="14.25" thickTop="1" thickBot="1" x14ac:dyDescent="0.25">
      <c r="A21" s="2341" t="s">
        <v>628</v>
      </c>
      <c r="B21" s="2342"/>
      <c r="C21" s="1722">
        <f>SUM(C17:C20)</f>
        <v>0</v>
      </c>
      <c r="D21" s="1722">
        <f>SUM(D17:D20)</f>
        <v>0</v>
      </c>
      <c r="E21" s="1722">
        <f>SUM(E17:E20)</f>
        <v>0</v>
      </c>
      <c r="F21" s="1722">
        <f>SUM(F17:F20)</f>
        <v>0</v>
      </c>
      <c r="G21" s="472"/>
    </row>
    <row r="22" spans="1:11" ht="15.75" customHeight="1" thickTop="1" x14ac:dyDescent="0.2">
      <c r="A22" s="2366" t="s">
        <v>1103</v>
      </c>
      <c r="B22" s="2340"/>
      <c r="C22" s="2348"/>
      <c r="D22" s="2349"/>
      <c r="E22" s="2349"/>
      <c r="F22" s="2350"/>
    </row>
    <row r="23" spans="1:11" ht="13.5" thickBot="1" x14ac:dyDescent="0.25">
      <c r="A23" s="2354" t="s">
        <v>629</v>
      </c>
      <c r="B23" s="2355"/>
      <c r="C23" s="1646"/>
      <c r="D23" s="1646"/>
      <c r="E23" s="1646"/>
      <c r="F23" s="1722">
        <f>SUM(C23+D23)-E23</f>
        <v>0</v>
      </c>
      <c r="G23" s="472"/>
    </row>
    <row r="24" spans="1:11" ht="15.75" customHeight="1" thickTop="1" x14ac:dyDescent="0.2">
      <c r="A24" s="2366" t="s">
        <v>2003</v>
      </c>
      <c r="B24" s="2340"/>
      <c r="C24" s="2348"/>
      <c r="D24" s="2349"/>
      <c r="E24" s="2349"/>
      <c r="F24" s="2350"/>
    </row>
    <row r="25" spans="1:11" ht="13.5" thickBot="1" x14ac:dyDescent="0.25">
      <c r="A25" s="2354" t="s">
        <v>2004</v>
      </c>
      <c r="B25" s="2355"/>
      <c r="C25" s="1646"/>
      <c r="D25" s="1646"/>
      <c r="E25" s="1646"/>
      <c r="F25" s="1722">
        <f>SUM(C25+D25)-E25</f>
        <v>0</v>
      </c>
      <c r="G25" s="472"/>
    </row>
    <row r="26" spans="1:11" ht="15.75" customHeight="1" thickTop="1" x14ac:dyDescent="0.2">
      <c r="A26" s="2339" t="s">
        <v>652</v>
      </c>
      <c r="B26" s="2340"/>
      <c r="C26" s="588"/>
      <c r="D26" s="588"/>
      <c r="E26" s="588"/>
      <c r="F26" s="589"/>
    </row>
    <row r="27" spans="1:11" ht="13.5" thickBot="1" x14ac:dyDescent="0.25">
      <c r="A27" s="2341" t="s">
        <v>1061</v>
      </c>
      <c r="B27" s="2342"/>
      <c r="C27" s="1654"/>
      <c r="D27" s="1654"/>
      <c r="E27" s="1654"/>
      <c r="F27" s="1722">
        <f>SUM(C27+D27)-E27</f>
        <v>0</v>
      </c>
      <c r="G27" s="472"/>
    </row>
    <row r="28" spans="1:11" ht="7.5" customHeight="1" thickTop="1" x14ac:dyDescent="0.2">
      <c r="A28" s="488"/>
    </row>
    <row r="29" spans="1:11" ht="23.25" customHeight="1" x14ac:dyDescent="0.2">
      <c r="A29" s="2367" t="s">
        <v>578</v>
      </c>
      <c r="B29" s="2344"/>
      <c r="C29" s="590"/>
      <c r="D29" s="590"/>
      <c r="E29" s="590"/>
      <c r="F29" s="590"/>
      <c r="G29" s="590"/>
      <c r="H29" s="590"/>
      <c r="I29" s="590"/>
      <c r="J29" s="590"/>
    </row>
    <row r="30" spans="1:11" ht="33.75" x14ac:dyDescent="0.2">
      <c r="A30" s="1287" t="s">
        <v>1062</v>
      </c>
      <c r="B30" s="591" t="s">
        <v>1114</v>
      </c>
      <c r="C30" s="591" t="s">
        <v>579</v>
      </c>
      <c r="D30" s="591" t="s">
        <v>1654</v>
      </c>
      <c r="E30" s="1833" t="str">
        <f>"Outstanding        Beginning July 1, "&amp;'AFR20'!$E$2-1</f>
        <v>Outstanding        Beginning July 1, 2019</v>
      </c>
      <c r="F30" s="1833" t="str">
        <f>"Issued                                        July 1, "&amp;'AFR20'!$E$2-1&amp;" thru           June 30, "&amp;'AFR20'!$E$2</f>
        <v>Issued                                        July 1, 2019 thru           June 30, 2020</v>
      </c>
      <c r="G30" s="591" t="s">
        <v>1874</v>
      </c>
      <c r="H30" s="1833" t="str">
        <f>"Retired                                        July 1, "&amp;'AFR20'!$E$2-1&amp;" thru           June 30, "&amp;'AFR20'!$E$2</f>
        <v>Retired                                        July 1, 2019 thru           June 30, 2020</v>
      </c>
      <c r="I30" s="1833" t="str">
        <f>"Outstanding Ending                     June 30, "&amp;'AFR20'!$E$2</f>
        <v>Outstanding Ending                     June 30, 2020</v>
      </c>
      <c r="J30" s="1733" t="s">
        <v>2</v>
      </c>
      <c r="K30" s="592"/>
    </row>
    <row r="31" spans="1:11" ht="12" customHeight="1" x14ac:dyDescent="0.2">
      <c r="A31" s="593" t="s">
        <v>2073</v>
      </c>
      <c r="B31" s="594">
        <v>37538</v>
      </c>
      <c r="C31" s="1724">
        <v>1174792</v>
      </c>
      <c r="D31" s="1725">
        <v>2</v>
      </c>
      <c r="E31" s="1724">
        <v>494288</v>
      </c>
      <c r="F31" s="1724"/>
      <c r="G31" s="1724"/>
      <c r="H31" s="1724">
        <v>176260</v>
      </c>
      <c r="I31" s="1726">
        <f>((E31+F31)-H31)+G31</f>
        <v>318028</v>
      </c>
      <c r="J31" s="1724">
        <v>318028</v>
      </c>
      <c r="K31" s="595"/>
    </row>
    <row r="32" spans="1:11" ht="12" customHeight="1" x14ac:dyDescent="0.2">
      <c r="A32" s="593" t="s">
        <v>2074</v>
      </c>
      <c r="B32" s="594">
        <v>41501</v>
      </c>
      <c r="C32" s="1724">
        <v>4880000</v>
      </c>
      <c r="D32" s="1725">
        <v>2</v>
      </c>
      <c r="E32" s="1724">
        <v>4055000</v>
      </c>
      <c r="F32" s="1724"/>
      <c r="G32" s="1724"/>
      <c r="H32" s="1724">
        <v>595000</v>
      </c>
      <c r="I32" s="1726">
        <f>((E32+F32)-H32)+G32</f>
        <v>3460000</v>
      </c>
      <c r="J32" s="1724">
        <v>3460000</v>
      </c>
      <c r="K32" s="595"/>
    </row>
    <row r="33" spans="1:11" ht="12" customHeight="1" x14ac:dyDescent="0.2">
      <c r="A33" s="593"/>
      <c r="B33" s="594"/>
      <c r="C33" s="1724"/>
      <c r="D33" s="1725"/>
      <c r="E33" s="1724"/>
      <c r="F33" s="1724"/>
      <c r="G33" s="1724"/>
      <c r="H33" s="1724"/>
      <c r="I33" s="1726">
        <f t="shared" ref="I33:I48" si="1">((E33+F33)-H33)+G33</f>
        <v>0</v>
      </c>
      <c r="J33" s="1724"/>
      <c r="K33" s="595"/>
    </row>
    <row r="34" spans="1:11" ht="12" customHeight="1" x14ac:dyDescent="0.2">
      <c r="A34" s="593"/>
      <c r="B34" s="594"/>
      <c r="C34" s="1724"/>
      <c r="D34" s="1725"/>
      <c r="E34" s="1724"/>
      <c r="F34" s="1724"/>
      <c r="G34" s="1724"/>
      <c r="H34" s="1724"/>
      <c r="I34" s="1726">
        <f t="shared" si="1"/>
        <v>0</v>
      </c>
      <c r="J34" s="1724"/>
      <c r="K34" s="596"/>
    </row>
    <row r="35" spans="1:11" ht="12" customHeight="1" x14ac:dyDescent="0.2">
      <c r="A35" s="593"/>
      <c r="B35" s="594"/>
      <c r="C35" s="1727"/>
      <c r="D35" s="1725"/>
      <c r="E35" s="1727"/>
      <c r="F35" s="1727"/>
      <c r="G35" s="1727"/>
      <c r="H35" s="1727"/>
      <c r="I35" s="1726">
        <f t="shared" si="1"/>
        <v>0</v>
      </c>
      <c r="J35" s="1727"/>
      <c r="K35" s="596"/>
    </row>
    <row r="36" spans="1:11" ht="12" customHeight="1" x14ac:dyDescent="0.2">
      <c r="A36" s="593"/>
      <c r="B36" s="594"/>
      <c r="C36" s="1724"/>
      <c r="D36" s="1725"/>
      <c r="E36" s="1724"/>
      <c r="F36" s="1724"/>
      <c r="G36" s="1724"/>
      <c r="H36" s="1724"/>
      <c r="I36" s="1726">
        <f t="shared" si="1"/>
        <v>0</v>
      </c>
      <c r="J36" s="1724"/>
      <c r="K36" s="597"/>
    </row>
    <row r="37" spans="1:11" ht="12" customHeight="1" x14ac:dyDescent="0.2">
      <c r="A37" s="593"/>
      <c r="B37" s="594"/>
      <c r="C37" s="1564"/>
      <c r="D37" s="1728"/>
      <c r="E37" s="1564"/>
      <c r="F37" s="1564"/>
      <c r="G37" s="1564"/>
      <c r="H37" s="1564"/>
      <c r="I37" s="1726">
        <f t="shared" si="1"/>
        <v>0</v>
      </c>
      <c r="J37" s="1564"/>
      <c r="K37" s="596"/>
    </row>
    <row r="38" spans="1:11" ht="12" customHeight="1" x14ac:dyDescent="0.2">
      <c r="A38" s="593"/>
      <c r="B38" s="594"/>
      <c r="C38" s="1724"/>
      <c r="D38" s="1729"/>
      <c r="E38" s="1730"/>
      <c r="F38" s="1730"/>
      <c r="G38" s="1730"/>
      <c r="H38" s="1730"/>
      <c r="I38" s="1726">
        <f t="shared" si="1"/>
        <v>0</v>
      </c>
      <c r="J38" s="1731" t="s">
        <v>262</v>
      </c>
      <c r="K38" s="598"/>
    </row>
    <row r="39" spans="1:11" ht="12" customHeight="1" x14ac:dyDescent="0.2">
      <c r="A39" s="593"/>
      <c r="B39" s="594"/>
      <c r="C39" s="1724"/>
      <c r="D39" s="1729"/>
      <c r="E39" s="1730"/>
      <c r="F39" s="1730"/>
      <c r="G39" s="1730"/>
      <c r="H39" s="1730"/>
      <c r="I39" s="1726">
        <f t="shared" si="1"/>
        <v>0</v>
      </c>
      <c r="J39" s="1731"/>
      <c r="K39" s="598"/>
    </row>
    <row r="40" spans="1:11" ht="12" customHeight="1" x14ac:dyDescent="0.2">
      <c r="A40" s="593"/>
      <c r="B40" s="594"/>
      <c r="C40" s="1724"/>
      <c r="D40" s="1729"/>
      <c r="E40" s="1730"/>
      <c r="F40" s="1730"/>
      <c r="G40" s="1730"/>
      <c r="H40" s="1730"/>
      <c r="I40" s="1726">
        <f t="shared" si="1"/>
        <v>0</v>
      </c>
      <c r="J40" s="1731"/>
      <c r="K40" s="598"/>
    </row>
    <row r="41" spans="1:11" ht="12" customHeight="1" x14ac:dyDescent="0.2">
      <c r="A41" s="593"/>
      <c r="B41" s="594"/>
      <c r="C41" s="1724"/>
      <c r="D41" s="1729"/>
      <c r="E41" s="1730"/>
      <c r="F41" s="1730"/>
      <c r="G41" s="1730"/>
      <c r="H41" s="1730"/>
      <c r="I41" s="1726">
        <f t="shared" si="1"/>
        <v>0</v>
      </c>
      <c r="J41" s="1731"/>
      <c r="K41" s="598"/>
    </row>
    <row r="42" spans="1:11" ht="12" customHeight="1" x14ac:dyDescent="0.2">
      <c r="A42" s="593"/>
      <c r="B42" s="594"/>
      <c r="C42" s="1724"/>
      <c r="D42" s="1729"/>
      <c r="E42" s="1730"/>
      <c r="F42" s="1730"/>
      <c r="G42" s="1730"/>
      <c r="H42" s="1730"/>
      <c r="I42" s="1726">
        <f t="shared" si="1"/>
        <v>0</v>
      </c>
      <c r="J42" s="1731"/>
      <c r="K42" s="598"/>
    </row>
    <row r="43" spans="1:11" ht="12" customHeight="1" x14ac:dyDescent="0.2">
      <c r="A43" s="593"/>
      <c r="B43" s="594"/>
      <c r="C43" s="1724"/>
      <c r="D43" s="1729"/>
      <c r="E43" s="1730"/>
      <c r="F43" s="1730"/>
      <c r="G43" s="1730"/>
      <c r="H43" s="1730"/>
      <c r="I43" s="1726">
        <f t="shared" si="1"/>
        <v>0</v>
      </c>
      <c r="J43" s="1731"/>
      <c r="K43" s="598"/>
    </row>
    <row r="44" spans="1:11" ht="12" customHeight="1" x14ac:dyDescent="0.2">
      <c r="A44" s="593"/>
      <c r="B44" s="594"/>
      <c r="C44" s="1724"/>
      <c r="D44" s="1725"/>
      <c r="E44" s="1724"/>
      <c r="F44" s="1724"/>
      <c r="G44" s="1724"/>
      <c r="H44" s="1724"/>
      <c r="I44" s="1726">
        <f t="shared" si="1"/>
        <v>0</v>
      </c>
      <c r="J44" s="1724"/>
      <c r="K44" s="596"/>
    </row>
    <row r="45" spans="1:11" ht="12" customHeight="1" x14ac:dyDescent="0.2">
      <c r="A45" s="593"/>
      <c r="B45" s="594"/>
      <c r="C45" s="1724"/>
      <c r="D45" s="1725"/>
      <c r="E45" s="1724"/>
      <c r="F45" s="1724"/>
      <c r="G45" s="1724"/>
      <c r="H45" s="1724"/>
      <c r="I45" s="1726">
        <f t="shared" si="1"/>
        <v>0</v>
      </c>
      <c r="J45" s="1724"/>
      <c r="K45" s="596"/>
    </row>
    <row r="46" spans="1:11" ht="12" customHeight="1" x14ac:dyDescent="0.2">
      <c r="A46" s="593"/>
      <c r="B46" s="594"/>
      <c r="C46" s="1724"/>
      <c r="D46" s="1725"/>
      <c r="E46" s="1724"/>
      <c r="F46" s="1724"/>
      <c r="G46" s="1724"/>
      <c r="H46" s="1724"/>
      <c r="I46" s="1726">
        <f t="shared" si="1"/>
        <v>0</v>
      </c>
      <c r="J46" s="1724"/>
      <c r="K46" s="596"/>
    </row>
    <row r="47" spans="1:11" ht="12" customHeight="1" x14ac:dyDescent="0.2">
      <c r="A47" s="593"/>
      <c r="B47" s="594"/>
      <c r="C47" s="1727"/>
      <c r="D47" s="1725"/>
      <c r="E47" s="1727"/>
      <c r="F47" s="1727"/>
      <c r="G47" s="1727"/>
      <c r="H47" s="1727"/>
      <c r="I47" s="1726">
        <f t="shared" si="1"/>
        <v>0</v>
      </c>
      <c r="J47" s="1727"/>
      <c r="K47" s="596"/>
    </row>
    <row r="48" spans="1:11" ht="12" customHeight="1" x14ac:dyDescent="0.2">
      <c r="A48" s="593"/>
      <c r="B48" s="594"/>
      <c r="C48" s="1724"/>
      <c r="D48" s="1725"/>
      <c r="E48" s="1724"/>
      <c r="F48" s="1724"/>
      <c r="G48" s="1724"/>
      <c r="H48" s="1724"/>
      <c r="I48" s="1726">
        <f t="shared" si="1"/>
        <v>0</v>
      </c>
      <c r="J48" s="1724"/>
      <c r="K48" s="596"/>
    </row>
    <row r="49" spans="1:11" ht="12" customHeight="1" x14ac:dyDescent="0.2">
      <c r="A49" s="593"/>
      <c r="B49" s="594"/>
      <c r="C49" s="1726">
        <f>SUM(C31:C48)</f>
        <v>6054792</v>
      </c>
      <c r="D49" s="1732"/>
      <c r="E49" s="1726">
        <f t="shared" ref="E49:J49" si="2">SUM(E31:E48)</f>
        <v>4549288</v>
      </c>
      <c r="F49" s="1726">
        <f t="shared" si="2"/>
        <v>0</v>
      </c>
      <c r="G49" s="1726">
        <f t="shared" si="2"/>
        <v>0</v>
      </c>
      <c r="H49" s="1726">
        <f t="shared" si="2"/>
        <v>771260</v>
      </c>
      <c r="I49" s="1726">
        <f t="shared" si="2"/>
        <v>3778028</v>
      </c>
      <c r="J49" s="1726">
        <f t="shared" si="2"/>
        <v>3778028</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358" t="s">
        <v>580</v>
      </c>
      <c r="C52" s="2359"/>
      <c r="D52" s="2359"/>
      <c r="E52" s="602" t="s">
        <v>840</v>
      </c>
      <c r="F52" s="2360"/>
      <c r="G52" s="2361"/>
      <c r="H52" s="595"/>
      <c r="I52" s="595"/>
      <c r="J52" s="599"/>
    </row>
    <row r="53" spans="1:11" ht="11.25" customHeight="1" x14ac:dyDescent="0.2">
      <c r="A53" s="603" t="s">
        <v>907</v>
      </c>
      <c r="B53" s="604" t="s">
        <v>945</v>
      </c>
      <c r="C53" s="599"/>
      <c r="D53" s="596"/>
      <c r="E53" s="602" t="s">
        <v>494</v>
      </c>
      <c r="F53" s="2362"/>
      <c r="G53" s="2363"/>
      <c r="H53" s="595"/>
      <c r="I53" s="595"/>
      <c r="J53" s="599"/>
    </row>
    <row r="54" spans="1:11" ht="11.25" customHeight="1" x14ac:dyDescent="0.2">
      <c r="A54" s="605" t="s">
        <v>908</v>
      </c>
      <c r="B54" s="600" t="s">
        <v>946</v>
      </c>
      <c r="C54" s="599"/>
      <c r="D54" s="596"/>
      <c r="E54" s="602" t="s">
        <v>495</v>
      </c>
      <c r="F54" s="2362"/>
      <c r="G54" s="2363"/>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6" sqref="H1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94" t="s">
        <v>851</v>
      </c>
      <c r="B1" s="2395"/>
      <c r="C1" s="2395"/>
      <c r="D1" s="2395"/>
      <c r="E1" s="2395"/>
      <c r="F1" s="2395"/>
      <c r="G1" s="2396"/>
      <c r="H1" s="1288"/>
      <c r="I1" s="613"/>
      <c r="J1" s="399"/>
    </row>
    <row r="2" spans="1:11" ht="26.25" x14ac:dyDescent="0.2">
      <c r="A2" s="2371" t="s">
        <v>1658</v>
      </c>
      <c r="B2" s="2372"/>
      <c r="C2" s="2372"/>
      <c r="D2" s="2372"/>
      <c r="E2" s="2373"/>
      <c r="F2" s="614" t="s">
        <v>898</v>
      </c>
      <c r="G2" s="615" t="s">
        <v>1655</v>
      </c>
      <c r="H2" s="615" t="s">
        <v>407</v>
      </c>
      <c r="I2" s="615" t="s">
        <v>1148</v>
      </c>
      <c r="J2" s="615" t="s">
        <v>1786</v>
      </c>
      <c r="K2" s="615" t="s">
        <v>137</v>
      </c>
    </row>
    <row r="3" spans="1:11" x14ac:dyDescent="0.2">
      <c r="A3" s="2374" t="str">
        <f>"Cash Basis Fund Balance as of July 1, "&amp;'AFR20'!E2-1</f>
        <v>Cash Basis Fund Balance as of July 1, 2019</v>
      </c>
      <c r="B3" s="2375"/>
      <c r="C3" s="2375"/>
      <c r="D3" s="2375"/>
      <c r="E3" s="2376"/>
      <c r="F3" s="616"/>
      <c r="G3" s="1734"/>
      <c r="H3" s="1734"/>
      <c r="I3" s="1734"/>
      <c r="J3" s="1735"/>
      <c r="K3" s="1735"/>
    </row>
    <row r="4" spans="1:11" x14ac:dyDescent="0.2">
      <c r="A4" s="2377" t="s">
        <v>366</v>
      </c>
      <c r="B4" s="2378"/>
      <c r="C4" s="2378"/>
      <c r="D4" s="2378"/>
      <c r="E4" s="2359"/>
      <c r="F4" s="619"/>
      <c r="G4" s="1736"/>
      <c r="H4" s="1737"/>
      <c r="I4" s="1736"/>
      <c r="J4" s="1738"/>
      <c r="K4" s="1738"/>
    </row>
    <row r="5" spans="1:11" x14ac:dyDescent="0.2">
      <c r="A5" s="2397" t="s">
        <v>1060</v>
      </c>
      <c r="B5" s="2368"/>
      <c r="C5" s="2368"/>
      <c r="D5" s="2368"/>
      <c r="E5" s="2398"/>
      <c r="F5" s="621" t="s">
        <v>843</v>
      </c>
      <c r="G5" s="1739"/>
      <c r="H5" s="1734">
        <v>-10960</v>
      </c>
      <c r="I5" s="1740"/>
      <c r="J5" s="1741"/>
      <c r="K5" s="1741"/>
    </row>
    <row r="6" spans="1:11" x14ac:dyDescent="0.2">
      <c r="A6" s="624" t="s">
        <v>715</v>
      </c>
      <c r="B6" s="625"/>
      <c r="C6" s="625"/>
      <c r="D6" s="625"/>
      <c r="E6" s="626"/>
      <c r="F6" s="627" t="s">
        <v>844</v>
      </c>
      <c r="G6" s="1734"/>
      <c r="H6" s="1734"/>
      <c r="I6" s="1734"/>
      <c r="J6" s="1735"/>
      <c r="K6" s="1735"/>
    </row>
    <row r="7" spans="1:11" x14ac:dyDescent="0.2">
      <c r="A7" s="628" t="s">
        <v>244</v>
      </c>
      <c r="B7" s="629"/>
      <c r="C7" s="629"/>
      <c r="D7" s="629"/>
      <c r="E7" s="630"/>
      <c r="F7" s="621" t="s">
        <v>845</v>
      </c>
      <c r="G7" s="1736"/>
      <c r="H7" s="1736"/>
      <c r="I7" s="1736"/>
      <c r="J7" s="1742"/>
      <c r="K7" s="1735"/>
    </row>
    <row r="8" spans="1:11" x14ac:dyDescent="0.2">
      <c r="A8" s="628" t="s">
        <v>342</v>
      </c>
      <c r="B8" s="629"/>
      <c r="C8" s="629"/>
      <c r="D8" s="629"/>
      <c r="E8" s="630"/>
      <c r="F8" s="621" t="s">
        <v>846</v>
      </c>
      <c r="G8" s="1743"/>
      <c r="H8" s="1743"/>
      <c r="I8" s="1743"/>
      <c r="J8" s="1735"/>
      <c r="K8" s="1738"/>
    </row>
    <row r="9" spans="1:11" x14ac:dyDescent="0.2">
      <c r="A9" s="628" t="s">
        <v>137</v>
      </c>
      <c r="B9" s="629"/>
      <c r="C9" s="629"/>
      <c r="D9" s="629"/>
      <c r="E9" s="630"/>
      <c r="F9" s="627" t="s">
        <v>848</v>
      </c>
      <c r="G9" s="1743"/>
      <c r="H9" s="1739"/>
      <c r="I9" s="1739"/>
      <c r="J9" s="1742"/>
      <c r="K9" s="1735"/>
    </row>
    <row r="10" spans="1:11" x14ac:dyDescent="0.2">
      <c r="A10" s="2397" t="s">
        <v>1787</v>
      </c>
      <c r="B10" s="2368"/>
      <c r="C10" s="2368"/>
      <c r="D10" s="2368"/>
      <c r="E10" s="2399"/>
      <c r="F10" s="632" t="s">
        <v>857</v>
      </c>
      <c r="G10" s="1743"/>
      <c r="H10" s="1744"/>
      <c r="I10" s="1734"/>
      <c r="J10" s="1735"/>
      <c r="K10" s="1735"/>
    </row>
    <row r="11" spans="1:11" x14ac:dyDescent="0.2">
      <c r="A11" s="2397" t="s">
        <v>159</v>
      </c>
      <c r="B11" s="2368"/>
      <c r="C11" s="2368"/>
      <c r="D11" s="2368"/>
      <c r="E11" s="2398"/>
      <c r="F11" s="621" t="s">
        <v>847</v>
      </c>
      <c r="G11" s="1739"/>
      <c r="H11" s="1734"/>
      <c r="I11" s="1734"/>
      <c r="J11" s="1735"/>
      <c r="K11" s="1741"/>
    </row>
    <row r="12" spans="1:11" ht="13.5" thickBot="1" x14ac:dyDescent="0.25">
      <c r="A12" s="2385" t="s">
        <v>899</v>
      </c>
      <c r="B12" s="2386"/>
      <c r="C12" s="2386"/>
      <c r="D12" s="2386"/>
      <c r="E12" s="2387"/>
      <c r="F12" s="1423"/>
      <c r="G12" s="1745">
        <f>SUM(G5:G11)</f>
        <v>0</v>
      </c>
      <c r="H12" s="1745">
        <f>SUM(H5:H11)</f>
        <v>-10960</v>
      </c>
      <c r="I12" s="1745">
        <f>SUM(I5:I11)</f>
        <v>0</v>
      </c>
      <c r="J12" s="1745">
        <f>SUM(J5:J11)</f>
        <v>0</v>
      </c>
      <c r="K12" s="1745">
        <f>SUM(K5:K11)</f>
        <v>0</v>
      </c>
    </row>
    <row r="13" spans="1:11" ht="13.5" thickTop="1" x14ac:dyDescent="0.2">
      <c r="A13" s="2379" t="s">
        <v>367</v>
      </c>
      <c r="B13" s="2380"/>
      <c r="C13" s="2380"/>
      <c r="D13" s="2380"/>
      <c r="E13" s="2381"/>
      <c r="F13" s="633"/>
      <c r="G13" s="1746"/>
      <c r="H13" s="1747"/>
      <c r="I13" s="1748"/>
      <c r="J13" s="1748"/>
      <c r="K13" s="1748"/>
    </row>
    <row r="14" spans="1:11" x14ac:dyDescent="0.2">
      <c r="A14" s="2403" t="s">
        <v>453</v>
      </c>
      <c r="B14" s="2403"/>
      <c r="C14" s="2403"/>
      <c r="D14" s="2403"/>
      <c r="E14" s="2404"/>
      <c r="F14" s="634" t="s">
        <v>849</v>
      </c>
      <c r="G14" s="1743"/>
      <c r="H14" s="1734">
        <v>-10960</v>
      </c>
      <c r="I14" s="1739"/>
      <c r="J14" s="1741"/>
      <c r="K14" s="1735"/>
    </row>
    <row r="15" spans="1:11" x14ac:dyDescent="0.2">
      <c r="A15" s="2368" t="s">
        <v>4</v>
      </c>
      <c r="B15" s="2368"/>
      <c r="C15" s="2368"/>
      <c r="D15" s="2368"/>
      <c r="E15" s="2398"/>
      <c r="F15" s="634" t="s">
        <v>850</v>
      </c>
      <c r="G15" s="1739"/>
      <c r="H15" s="1734"/>
      <c r="I15" s="1734"/>
      <c r="J15" s="1735"/>
      <c r="K15" s="1735"/>
    </row>
    <row r="16" spans="1:11" x14ac:dyDescent="0.2">
      <c r="A16" s="2368" t="s">
        <v>295</v>
      </c>
      <c r="B16" s="2368"/>
      <c r="C16" s="2368"/>
      <c r="D16" s="2368"/>
      <c r="E16" s="2398"/>
      <c r="F16" s="634" t="s">
        <v>917</v>
      </c>
      <c r="G16" s="1740"/>
      <c r="H16" s="1736"/>
      <c r="I16" s="1736"/>
      <c r="J16" s="1738"/>
      <c r="K16" s="1738"/>
    </row>
    <row r="17" spans="1:15" x14ac:dyDescent="0.2">
      <c r="A17" s="2392" t="s">
        <v>929</v>
      </c>
      <c r="B17" s="2392"/>
      <c r="C17" s="2392"/>
      <c r="D17" s="2392"/>
      <c r="E17" s="2393"/>
      <c r="F17" s="635"/>
      <c r="G17" s="1749"/>
      <c r="H17" s="1750"/>
      <c r="I17" s="1750"/>
      <c r="J17" s="1751"/>
      <c r="K17" s="1752"/>
    </row>
    <row r="18" spans="1:15" x14ac:dyDescent="0.2">
      <c r="A18" s="2382" t="s">
        <v>365</v>
      </c>
      <c r="B18" s="2383"/>
      <c r="C18" s="2383"/>
      <c r="D18" s="2383"/>
      <c r="E18" s="2384"/>
      <c r="F18" s="634" t="s">
        <v>926</v>
      </c>
      <c r="G18" s="1743"/>
      <c r="H18" s="1743"/>
      <c r="I18" s="1743"/>
      <c r="J18" s="1735"/>
      <c r="K18" s="1753"/>
    </row>
    <row r="19" spans="1:15" ht="21.75" customHeight="1" x14ac:dyDescent="0.2">
      <c r="A19" s="2405" t="s">
        <v>1783</v>
      </c>
      <c r="B19" s="2405"/>
      <c r="C19" s="2405"/>
      <c r="D19" s="2405"/>
      <c r="E19" s="2406"/>
      <c r="F19" s="634" t="s">
        <v>927</v>
      </c>
      <c r="G19" s="1743"/>
      <c r="H19" s="1743"/>
      <c r="I19" s="1743"/>
      <c r="J19" s="1735"/>
      <c r="K19" s="1753"/>
    </row>
    <row r="20" spans="1:15" x14ac:dyDescent="0.2">
      <c r="A20" s="2382" t="s">
        <v>1788</v>
      </c>
      <c r="B20" s="2383"/>
      <c r="C20" s="2383"/>
      <c r="D20" s="2383"/>
      <c r="E20" s="2384"/>
      <c r="F20" s="634" t="s">
        <v>928</v>
      </c>
      <c r="G20" s="1743"/>
      <c r="H20" s="1743"/>
      <c r="I20" s="1743"/>
      <c r="J20" s="1735"/>
      <c r="K20" s="1753"/>
    </row>
    <row r="21" spans="1:15" ht="13.5" thickBot="1" x14ac:dyDescent="0.25">
      <c r="A21" s="2388" t="s">
        <v>633</v>
      </c>
      <c r="B21" s="2388"/>
      <c r="C21" s="2388"/>
      <c r="D21" s="2388"/>
      <c r="E21" s="2388"/>
      <c r="F21" s="1424"/>
      <c r="G21" s="1750"/>
      <c r="H21" s="1754"/>
      <c r="I21" s="1754"/>
      <c r="J21" s="1755">
        <f>SUM(J18:J20)</f>
        <v>0</v>
      </c>
      <c r="K21" s="1751"/>
    </row>
    <row r="22" spans="1:15" ht="13.5" thickTop="1" x14ac:dyDescent="0.2">
      <c r="A22" s="2368" t="s">
        <v>1789</v>
      </c>
      <c r="B22" s="2368"/>
      <c r="C22" s="2368"/>
      <c r="D22" s="2368"/>
      <c r="E22" s="2398"/>
      <c r="F22" s="634" t="s">
        <v>857</v>
      </c>
      <c r="G22" s="1743"/>
      <c r="H22" s="1734"/>
      <c r="I22" s="1734"/>
      <c r="J22" s="1756"/>
      <c r="K22" s="1735"/>
    </row>
    <row r="23" spans="1:15" ht="13.5" thickBot="1" x14ac:dyDescent="0.25">
      <c r="A23" s="2389" t="s">
        <v>900</v>
      </c>
      <c r="B23" s="2388"/>
      <c r="C23" s="2388"/>
      <c r="D23" s="2388"/>
      <c r="E23" s="2388"/>
      <c r="F23" s="1426"/>
      <c r="G23" s="1745">
        <f>SUM(G14:G16,G21,G22)</f>
        <v>0</v>
      </c>
      <c r="H23" s="1745">
        <f>SUM(H14:H16,H21,H22)</f>
        <v>-10960</v>
      </c>
      <c r="I23" s="1745">
        <f>SUM(I14:I16,I21,I22)</f>
        <v>0</v>
      </c>
      <c r="J23" s="1745">
        <f>SUM(J14:J16,J21,J22)</f>
        <v>0</v>
      </c>
      <c r="K23" s="1745">
        <f>SUM(K14:K16,K21,K22)</f>
        <v>0</v>
      </c>
      <c r="M23" s="1834"/>
      <c r="N23" s="1834"/>
      <c r="O23" s="1834"/>
    </row>
    <row r="24" spans="1:15" ht="14.25" thickTop="1" thickBot="1" x14ac:dyDescent="0.25">
      <c r="A24" s="2390" t="str">
        <f>"Ending Cash Basis Fund Balance as of June 30, "&amp;'AFR20'!E2</f>
        <v>Ending Cash Basis Fund Balance as of June 30, 2020</v>
      </c>
      <c r="B24" s="2391"/>
      <c r="C24" s="2391"/>
      <c r="D24" s="2391"/>
      <c r="E24" s="2391"/>
      <c r="F24" s="1427"/>
      <c r="G24" s="1757">
        <f>SUM(G3,G12)-G23</f>
        <v>0</v>
      </c>
      <c r="H24" s="1757">
        <f>SUM(H3,H12)-H23</f>
        <v>0</v>
      </c>
      <c r="I24" s="1757">
        <f>SUM(I3,I12)-I23</f>
        <v>0</v>
      </c>
      <c r="J24" s="1757">
        <f>SUM(J3,J12)-J23</f>
        <v>0</v>
      </c>
      <c r="K24" s="1757">
        <f>SUM(K3,K12)-K23</f>
        <v>0</v>
      </c>
      <c r="L24" s="1834"/>
      <c r="M24" s="1834"/>
      <c r="N24" s="1834"/>
      <c r="O24" s="1834"/>
    </row>
    <row r="25" spans="1:15" ht="13.5" thickTop="1" x14ac:dyDescent="0.2">
      <c r="A25" s="638" t="s">
        <v>417</v>
      </c>
      <c r="B25" s="639"/>
      <c r="C25" s="639"/>
      <c r="D25" s="639"/>
      <c r="E25" s="640"/>
      <c r="F25" s="641">
        <v>714</v>
      </c>
      <c r="G25" s="1758"/>
      <c r="H25" s="1758"/>
      <c r="I25" s="1758"/>
      <c r="J25" s="1756"/>
      <c r="K25" s="1756"/>
    </row>
    <row r="26" spans="1:15" ht="13.5" thickBot="1" x14ac:dyDescent="0.25">
      <c r="A26" s="638" t="s">
        <v>339</v>
      </c>
      <c r="B26" s="639"/>
      <c r="C26" s="639"/>
      <c r="D26" s="639"/>
      <c r="E26" s="640"/>
      <c r="F26" s="641">
        <v>730</v>
      </c>
      <c r="G26" s="1745">
        <f>G24-G25</f>
        <v>0</v>
      </c>
      <c r="H26" s="1745">
        <f>H24-H25</f>
        <v>0</v>
      </c>
      <c r="I26" s="1745">
        <f>I24-I25</f>
        <v>0</v>
      </c>
      <c r="J26" s="1745">
        <f>J24-J25</f>
        <v>0</v>
      </c>
      <c r="K26" s="1745">
        <f>K24-K25</f>
        <v>0</v>
      </c>
    </row>
    <row r="27" spans="1:15" ht="5.25" customHeight="1" thickTop="1" x14ac:dyDescent="0.2">
      <c r="I27" s="196"/>
      <c r="J27" s="196"/>
    </row>
    <row r="28" spans="1:15" ht="29.25" customHeight="1" x14ac:dyDescent="0.2">
      <c r="A28" s="1499" t="s">
        <v>1873</v>
      </c>
      <c r="B28" s="1500"/>
      <c r="C28" s="1500"/>
      <c r="D28" s="1500"/>
      <c r="E28" s="1501"/>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400"/>
      <c r="I31" s="2401"/>
      <c r="J31" s="2401"/>
      <c r="K31" s="2401"/>
    </row>
    <row r="32" spans="1:15" x14ac:dyDescent="0.2">
      <c r="A32" s="648"/>
      <c r="B32" s="231"/>
      <c r="C32" s="231"/>
      <c r="D32" s="231"/>
      <c r="E32" s="644"/>
      <c r="F32" s="650" t="s">
        <v>537</v>
      </c>
      <c r="G32" s="617"/>
      <c r="H32" s="2402"/>
      <c r="I32" s="2401"/>
      <c r="J32" s="2401"/>
      <c r="K32" s="2401"/>
    </row>
    <row r="33" spans="1:11" ht="1.5" customHeight="1" x14ac:dyDescent="0.2">
      <c r="A33" s="651" t="s">
        <v>1159</v>
      </c>
      <c r="B33" s="340"/>
      <c r="C33" s="340"/>
      <c r="D33" s="340"/>
      <c r="E33" s="340"/>
      <c r="F33" s="340"/>
      <c r="G33" s="652"/>
      <c r="H33" s="2402"/>
      <c r="I33" s="2401"/>
      <c r="J33" s="2401"/>
      <c r="K33" s="2401"/>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68" t="s">
        <v>538</v>
      </c>
      <c r="B41" s="2369"/>
      <c r="C41" s="2369"/>
      <c r="D41" s="2369"/>
      <c r="E41" s="2369"/>
      <c r="F41" s="237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89" t="s">
        <v>1784</v>
      </c>
      <c r="B46" s="381" t="s">
        <v>1656</v>
      </c>
    </row>
    <row r="47" spans="1:11" s="662" customFormat="1" ht="12.75" customHeight="1" x14ac:dyDescent="0.2">
      <c r="A47" s="660"/>
      <c r="B47" s="661" t="s">
        <v>1657</v>
      </c>
      <c r="E47" s="661"/>
      <c r="K47" s="663"/>
    </row>
    <row r="48" spans="1:11" ht="12.75" customHeight="1" x14ac:dyDescent="0.2">
      <c r="A48" s="1290"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7" sqref="A17"/>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409" t="s">
        <v>1872</v>
      </c>
      <c r="B1" s="2410"/>
      <c r="C1" s="2411"/>
      <c r="D1" s="665"/>
      <c r="E1" s="666"/>
      <c r="F1" s="666"/>
      <c r="G1" s="667"/>
      <c r="H1" s="668"/>
      <c r="I1" s="669"/>
      <c r="J1" s="2407"/>
      <c r="K1" s="2408"/>
      <c r="L1" s="2408"/>
    </row>
    <row r="2" spans="1:14" ht="69.75" customHeight="1" x14ac:dyDescent="0.2">
      <c r="A2" s="670" t="s">
        <v>1659</v>
      </c>
      <c r="B2" s="671"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2"/>
      <c r="N2" s="672"/>
    </row>
    <row r="3" spans="1:14" ht="13.5" thickBot="1" x14ac:dyDescent="0.25">
      <c r="A3" s="1354" t="s">
        <v>886</v>
      </c>
      <c r="B3" s="1355">
        <v>210</v>
      </c>
      <c r="C3" s="1759"/>
      <c r="D3" s="1759"/>
      <c r="E3" s="1759"/>
      <c r="F3" s="1755">
        <f>(C3+D3)-E3</f>
        <v>0</v>
      </c>
      <c r="G3" s="674"/>
      <c r="H3" s="673"/>
      <c r="I3" s="673"/>
      <c r="J3" s="673"/>
      <c r="K3" s="1432">
        <f>(H3+I3)-J3</f>
        <v>0</v>
      </c>
      <c r="L3" s="1432">
        <f>F3-K3</f>
        <v>0</v>
      </c>
      <c r="M3" s="672"/>
      <c r="N3" s="672"/>
    </row>
    <row r="4" spans="1:14" ht="15" customHeight="1" thickTop="1" x14ac:dyDescent="0.2">
      <c r="A4" s="1356" t="s">
        <v>157</v>
      </c>
      <c r="B4" s="1355">
        <v>220</v>
      </c>
      <c r="C4" s="1742"/>
      <c r="D4" s="1742"/>
      <c r="E4" s="1742"/>
      <c r="F4" s="1741"/>
      <c r="G4" s="675"/>
      <c r="H4" s="676"/>
      <c r="I4" s="676"/>
      <c r="J4" s="676"/>
      <c r="K4" s="677"/>
      <c r="L4" s="623"/>
    </row>
    <row r="5" spans="1:14" ht="13.5" thickBot="1" x14ac:dyDescent="0.25">
      <c r="A5" s="628" t="s">
        <v>887</v>
      </c>
      <c r="B5" s="678">
        <v>221</v>
      </c>
      <c r="C5" s="1760">
        <v>280244</v>
      </c>
      <c r="D5" s="1760"/>
      <c r="E5" s="1760"/>
      <c r="F5" s="1755">
        <f>(C5+D5)-E5</f>
        <v>280244</v>
      </c>
      <c r="G5" s="675"/>
      <c r="H5" s="679"/>
      <c r="I5" s="679"/>
      <c r="J5" s="679"/>
      <c r="K5" s="636"/>
      <c r="L5" s="1432">
        <f>F5-K5</f>
        <v>280244</v>
      </c>
    </row>
    <row r="6" spans="1:14" ht="14.25" thickTop="1" thickBot="1" x14ac:dyDescent="0.25">
      <c r="A6" s="628" t="s">
        <v>1107</v>
      </c>
      <c r="B6" s="678">
        <v>222</v>
      </c>
      <c r="C6" s="1735"/>
      <c r="D6" s="1735"/>
      <c r="E6" s="1735"/>
      <c r="F6" s="1755">
        <f>(C6+D6)-E6</f>
        <v>0</v>
      </c>
      <c r="G6" s="675">
        <v>50</v>
      </c>
      <c r="H6" s="618"/>
      <c r="I6" s="618"/>
      <c r="J6" s="618"/>
      <c r="K6" s="1432">
        <f>(H6+I6)-J6</f>
        <v>0</v>
      </c>
      <c r="L6" s="1432">
        <f>F6-K6</f>
        <v>0</v>
      </c>
    </row>
    <row r="7" spans="1:14" ht="15" customHeight="1" thickTop="1" x14ac:dyDescent="0.2">
      <c r="A7" s="1356" t="s">
        <v>158</v>
      </c>
      <c r="B7" s="1355">
        <v>230</v>
      </c>
      <c r="C7" s="1742"/>
      <c r="D7" s="1742"/>
      <c r="E7" s="1742"/>
      <c r="F7" s="1741"/>
      <c r="G7" s="680"/>
      <c r="H7" s="631"/>
      <c r="I7" s="631"/>
      <c r="J7" s="631"/>
      <c r="K7" s="623"/>
      <c r="L7" s="623"/>
    </row>
    <row r="8" spans="1:14" ht="13.5" thickBot="1" x14ac:dyDescent="0.25">
      <c r="A8" s="628" t="s">
        <v>1108</v>
      </c>
      <c r="B8" s="678">
        <v>231</v>
      </c>
      <c r="C8" s="1761">
        <v>50209884</v>
      </c>
      <c r="D8" s="1761">
        <v>28587</v>
      </c>
      <c r="E8" s="1761"/>
      <c r="F8" s="1755">
        <f>(C8+D8)-E8</f>
        <v>50238471</v>
      </c>
      <c r="G8" s="680">
        <v>50</v>
      </c>
      <c r="H8" s="618">
        <v>5406217</v>
      </c>
      <c r="I8" s="618">
        <v>963669</v>
      </c>
      <c r="J8" s="618"/>
      <c r="K8" s="1432">
        <f>(H8+I8)-J8</f>
        <v>6369886</v>
      </c>
      <c r="L8" s="1432">
        <f>F8-K8</f>
        <v>43868585</v>
      </c>
    </row>
    <row r="9" spans="1:14" ht="14.25" thickTop="1" thickBot="1" x14ac:dyDescent="0.25">
      <c r="A9" s="628" t="s">
        <v>1109</v>
      </c>
      <c r="B9" s="678">
        <v>232</v>
      </c>
      <c r="C9" s="1735"/>
      <c r="D9" s="1735"/>
      <c r="E9" s="1735"/>
      <c r="F9" s="1755">
        <f>(C9+D9)-E9</f>
        <v>0</v>
      </c>
      <c r="G9" s="680">
        <v>20</v>
      </c>
      <c r="H9" s="618"/>
      <c r="I9" s="618"/>
      <c r="J9" s="618"/>
      <c r="K9" s="1432">
        <f>(H9+I9)-J9</f>
        <v>0</v>
      </c>
      <c r="L9" s="1432">
        <f>F9-K9</f>
        <v>0</v>
      </c>
    </row>
    <row r="10" spans="1:14" ht="24" thickTop="1" thickBot="1" x14ac:dyDescent="0.25">
      <c r="A10" s="681" t="s">
        <v>1110</v>
      </c>
      <c r="B10" s="678">
        <v>240</v>
      </c>
      <c r="C10" s="1762">
        <v>626100</v>
      </c>
      <c r="D10" s="1762"/>
      <c r="E10" s="1762"/>
      <c r="F10" s="1763">
        <f>(C10+D10)-E10</f>
        <v>626100</v>
      </c>
      <c r="G10" s="680">
        <v>20</v>
      </c>
      <c r="H10" s="682">
        <v>297631</v>
      </c>
      <c r="I10" s="682">
        <v>21726</v>
      </c>
      <c r="J10" s="682"/>
      <c r="K10" s="1432">
        <f>(H10+I10)-J10</f>
        <v>319357</v>
      </c>
      <c r="L10" s="1432">
        <f>F10-K10</f>
        <v>306743</v>
      </c>
    </row>
    <row r="11" spans="1:14" ht="13.5" thickTop="1" x14ac:dyDescent="0.2">
      <c r="A11" s="1357" t="s">
        <v>1126</v>
      </c>
      <c r="B11" s="1355">
        <v>250</v>
      </c>
      <c r="C11" s="1742"/>
      <c r="D11" s="1742"/>
      <c r="E11" s="1742"/>
      <c r="F11" s="1741"/>
      <c r="G11" s="680"/>
      <c r="H11" s="631"/>
      <c r="I11" s="631"/>
      <c r="J11" s="631"/>
      <c r="K11" s="623"/>
      <c r="L11" s="623"/>
    </row>
    <row r="12" spans="1:14" ht="13.5" thickBot="1" x14ac:dyDescent="0.25">
      <c r="A12" s="683" t="s">
        <v>1111</v>
      </c>
      <c r="B12" s="678">
        <v>251</v>
      </c>
      <c r="C12" s="1761">
        <v>1441922</v>
      </c>
      <c r="D12" s="1761">
        <v>42624</v>
      </c>
      <c r="E12" s="1761"/>
      <c r="F12" s="1755">
        <f>(C12+D12)-E12</f>
        <v>1484546</v>
      </c>
      <c r="G12" s="680">
        <v>10</v>
      </c>
      <c r="H12" s="618">
        <v>1302711</v>
      </c>
      <c r="I12" s="618">
        <v>65033</v>
      </c>
      <c r="J12" s="618"/>
      <c r="K12" s="1432">
        <f>(H12+I12)-J12</f>
        <v>1367744</v>
      </c>
      <c r="L12" s="1432">
        <f>F12-K12</f>
        <v>116802</v>
      </c>
    </row>
    <row r="13" spans="1:14" ht="14.25" thickTop="1" thickBot="1" x14ac:dyDescent="0.25">
      <c r="A13" s="683" t="s">
        <v>1112</v>
      </c>
      <c r="B13" s="678">
        <v>252</v>
      </c>
      <c r="C13" s="1761"/>
      <c r="D13" s="1761"/>
      <c r="E13" s="1761"/>
      <c r="F13" s="1755">
        <f>(C13+D13)-E13</f>
        <v>0</v>
      </c>
      <c r="G13" s="680">
        <v>5</v>
      </c>
      <c r="H13" s="618"/>
      <c r="I13" s="618"/>
      <c r="J13" s="618"/>
      <c r="K13" s="1432">
        <f>(H13+I13)-J13</f>
        <v>0</v>
      </c>
      <c r="L13" s="1432">
        <f>F13-K13</f>
        <v>0</v>
      </c>
    </row>
    <row r="14" spans="1:14" ht="14.25" thickTop="1" thickBot="1" x14ac:dyDescent="0.25">
      <c r="A14" s="683" t="s">
        <v>1113</v>
      </c>
      <c r="B14" s="678">
        <v>253</v>
      </c>
      <c r="C14" s="1735"/>
      <c r="D14" s="1735"/>
      <c r="E14" s="1735"/>
      <c r="F14" s="1755">
        <f>(C14+D14)-E14</f>
        <v>0</v>
      </c>
      <c r="G14" s="680">
        <v>3</v>
      </c>
      <c r="H14" s="618"/>
      <c r="I14" s="618"/>
      <c r="J14" s="618"/>
      <c r="K14" s="1432">
        <f>(H14+I14)-J14</f>
        <v>0</v>
      </c>
      <c r="L14" s="1432">
        <f>F14-K14</f>
        <v>0</v>
      </c>
    </row>
    <row r="15" spans="1:14" ht="15" customHeight="1" thickTop="1" thickBot="1" x14ac:dyDescent="0.25">
      <c r="A15" s="1356" t="s">
        <v>525</v>
      </c>
      <c r="B15" s="1355">
        <v>260</v>
      </c>
      <c r="C15" s="1761"/>
      <c r="D15" s="1761"/>
      <c r="E15" s="1761"/>
      <c r="F15" s="1755">
        <f>(C15+D15)-E15</f>
        <v>0</v>
      </c>
      <c r="G15" s="684" t="s">
        <v>857</v>
      </c>
      <c r="H15" s="631"/>
      <c r="I15" s="631"/>
      <c r="J15" s="631"/>
      <c r="K15" s="631"/>
      <c r="L15" s="1432">
        <f>F15-K15</f>
        <v>0</v>
      </c>
    </row>
    <row r="16" spans="1:14" ht="15" customHeight="1" thickTop="1" thickBot="1" x14ac:dyDescent="0.25">
      <c r="A16" s="1428" t="s">
        <v>638</v>
      </c>
      <c r="B16" s="1429">
        <v>200</v>
      </c>
      <c r="C16" s="1755">
        <f>SUM(C3,C5:C6,C8:C10,C12:C15)</f>
        <v>52558150</v>
      </c>
      <c r="D16" s="1755">
        <f>SUM(D3,D5:D6,D8:D10,D12:D15)</f>
        <v>71211</v>
      </c>
      <c r="E16" s="1755">
        <f>SUM(E3,E5:E6,E8:E10,E12:E15)</f>
        <v>0</v>
      </c>
      <c r="F16" s="1755">
        <f>SUM(F3,F5:F6,F8:F10,F12:F15)</f>
        <v>52629361</v>
      </c>
      <c r="G16" s="680"/>
      <c r="H16" s="1425">
        <f>SUM(H3,H6,H8:H10,H12:H14,)</f>
        <v>7006559</v>
      </c>
      <c r="I16" s="1425">
        <f>SUM(I3,I6,I8:I10,I12:I14,)</f>
        <v>1050428</v>
      </c>
      <c r="J16" s="1425">
        <f>SUM(J3,J6,J8:J10,J12:J14,)</f>
        <v>0</v>
      </c>
      <c r="K16" s="1425">
        <f>(H16+I16)-J16</f>
        <v>8056987</v>
      </c>
      <c r="L16" s="1425">
        <f>F16-K16</f>
        <v>44572374</v>
      </c>
    </row>
    <row r="17" spans="1:12" ht="15" customHeight="1" thickTop="1" thickBot="1" x14ac:dyDescent="0.25">
      <c r="A17" s="1358" t="s">
        <v>288</v>
      </c>
      <c r="B17" s="1355">
        <v>700</v>
      </c>
      <c r="C17" s="1738"/>
      <c r="D17" s="1738"/>
      <c r="E17" s="1738"/>
      <c r="F17" s="1755">
        <f>SUM('Expenditures 15-22'!I114,'Expenditures 15-22'!I151,'Expenditures 15-22'!I210,'Expenditures 15-22'!I312,'Expenditures 15-22'!I342,'Expenditures 15-22'!I367)</f>
        <v>0</v>
      </c>
      <c r="G17" s="675">
        <v>10</v>
      </c>
      <c r="H17" s="620"/>
      <c r="I17" s="1432">
        <f>F17/G17</f>
        <v>0</v>
      </c>
      <c r="J17" s="620"/>
      <c r="K17" s="637"/>
      <c r="L17" s="637"/>
    </row>
    <row r="18" spans="1:12" ht="14.25" thickTop="1" thickBot="1" x14ac:dyDescent="0.25">
      <c r="A18" s="1430" t="s">
        <v>680</v>
      </c>
      <c r="B18" s="1431"/>
      <c r="C18" s="622"/>
      <c r="D18" s="622"/>
      <c r="E18" s="622"/>
      <c r="F18" s="685"/>
      <c r="G18" s="686"/>
      <c r="H18" s="623"/>
      <c r="I18" s="1425">
        <f>SUM(I16,I17)</f>
        <v>1050428</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2" colorId="8" zoomScale="110" zoomScaleNormal="110" workbookViewId="0">
      <selection activeCell="F181" sqref="F18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415" t="str">
        <f>"ESTIMATED OPERATING EXPENSE PER PUPIL (OEPP)/PER CAPITA TUITION CHARGE (PCTC) COMPUTATIONS ("&amp;'AFR20'!E2-1&amp;" - "&amp;'AFR20'!E2&amp;")"</f>
        <v>ESTIMATED OPERATING EXPENSE PER PUPIL (OEPP)/PER CAPITA TUITION CHARGE (PCTC) COMPUTATIONS (2019 - 2020)</v>
      </c>
      <c r="B1" s="2416"/>
      <c r="C1" s="2416"/>
      <c r="D1" s="2416"/>
      <c r="E1" s="2416"/>
      <c r="F1" s="2417"/>
      <c r="G1" s="690"/>
      <c r="I1" s="700"/>
    </row>
    <row r="2" spans="1:9" ht="15" customHeight="1" thickBot="1" x14ac:dyDescent="0.25">
      <c r="A2" s="2418" t="s">
        <v>474</v>
      </c>
      <c r="B2" s="2419"/>
      <c r="C2" s="2419"/>
      <c r="D2" s="2419"/>
      <c r="E2" s="2419"/>
      <c r="F2" s="2420"/>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421"/>
      <c r="B5" s="2422"/>
      <c r="C5" s="2422"/>
      <c r="D5" s="2422"/>
      <c r="E5" s="2422"/>
      <c r="F5" s="2422"/>
    </row>
    <row r="6" spans="1:9" ht="13.5" customHeight="1" thickBot="1" x14ac:dyDescent="0.25">
      <c r="A6" s="2412" t="s">
        <v>1095</v>
      </c>
      <c r="B6" s="2413"/>
      <c r="C6" s="2413"/>
      <c r="D6" s="2413"/>
      <c r="E6" s="2413"/>
      <c r="F6" s="2414"/>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64">
        <f>'Expenditures 15-22'!K114</f>
        <v>10831063</v>
      </c>
      <c r="G8" s="700"/>
    </row>
    <row r="9" spans="1:9" x14ac:dyDescent="0.2">
      <c r="A9" s="704" t="s">
        <v>457</v>
      </c>
      <c r="B9" s="705" t="s">
        <v>1845</v>
      </c>
      <c r="C9" s="706"/>
      <c r="D9" s="704" t="s">
        <v>498</v>
      </c>
      <c r="E9" s="703"/>
      <c r="F9" s="1765">
        <f>'Expenditures 15-22'!K151</f>
        <v>1611243</v>
      </c>
      <c r="G9" s="707"/>
    </row>
    <row r="10" spans="1:9" x14ac:dyDescent="0.2">
      <c r="A10" s="704" t="s">
        <v>496</v>
      </c>
      <c r="B10" s="705" t="s">
        <v>1846</v>
      </c>
      <c r="C10" s="706"/>
      <c r="D10" s="704" t="s">
        <v>498</v>
      </c>
      <c r="E10" s="703"/>
      <c r="F10" s="1765">
        <f>'Expenditures 15-22'!K174</f>
        <v>1208728</v>
      </c>
      <c r="G10" s="707"/>
    </row>
    <row r="11" spans="1:9" x14ac:dyDescent="0.2">
      <c r="A11" s="704" t="s">
        <v>458</v>
      </c>
      <c r="B11" s="705" t="s">
        <v>1847</v>
      </c>
      <c r="C11" s="706"/>
      <c r="D11" s="704" t="s">
        <v>498</v>
      </c>
      <c r="E11" s="703"/>
      <c r="F11" s="1765">
        <f>'Expenditures 15-22'!K210</f>
        <v>1109062</v>
      </c>
      <c r="G11" s="707"/>
    </row>
    <row r="12" spans="1:9" x14ac:dyDescent="0.2">
      <c r="A12" s="704" t="s">
        <v>459</v>
      </c>
      <c r="B12" s="705" t="s">
        <v>1848</v>
      </c>
      <c r="C12" s="706"/>
      <c r="D12" s="704" t="s">
        <v>498</v>
      </c>
      <c r="E12" s="703"/>
      <c r="F12" s="1765">
        <f>'Expenditures 15-22'!K295</f>
        <v>289528</v>
      </c>
      <c r="G12" s="707"/>
    </row>
    <row r="13" spans="1:9" x14ac:dyDescent="0.2">
      <c r="A13" s="704" t="s">
        <v>106</v>
      </c>
      <c r="B13" s="705" t="s">
        <v>1849</v>
      </c>
      <c r="C13" s="706"/>
      <c r="D13" s="704" t="s">
        <v>498</v>
      </c>
      <c r="E13" s="703"/>
      <c r="F13" s="1765">
        <f>'Expenditures 15-22'!K342</f>
        <v>350056</v>
      </c>
      <c r="G13" s="708"/>
    </row>
    <row r="14" spans="1:9" ht="12" customHeight="1" thickBot="1" x14ac:dyDescent="0.25">
      <c r="A14" s="1433"/>
      <c r="B14" s="1434"/>
      <c r="C14" s="1435"/>
      <c r="D14" s="1436" t="s">
        <v>498</v>
      </c>
      <c r="E14" s="1437" t="s">
        <v>952</v>
      </c>
      <c r="F14" s="1766">
        <f>SUM(F8:F13)</f>
        <v>15399680</v>
      </c>
      <c r="G14" s="700"/>
    </row>
    <row r="15" spans="1:9" ht="3.75" customHeight="1" thickTop="1" x14ac:dyDescent="0.2">
      <c r="A15" s="700"/>
      <c r="B15" s="700"/>
      <c r="C15" s="706"/>
      <c r="D15" s="700"/>
      <c r="E15" s="703"/>
      <c r="F15" s="1767"/>
      <c r="G15" s="700"/>
    </row>
    <row r="16" spans="1:9" ht="12" customHeight="1" x14ac:dyDescent="0.2">
      <c r="A16" s="709" t="s">
        <v>509</v>
      </c>
      <c r="B16" s="225"/>
      <c r="C16" s="225"/>
      <c r="D16" s="702"/>
      <c r="E16" s="703"/>
      <c r="F16" s="1768"/>
      <c r="G16" s="700"/>
    </row>
    <row r="17" spans="1:7" ht="4.5" customHeight="1" x14ac:dyDescent="0.2">
      <c r="A17" s="709"/>
      <c r="B17" s="225"/>
      <c r="C17" s="225"/>
      <c r="D17" s="702"/>
      <c r="E17" s="703"/>
      <c r="F17" s="1768"/>
      <c r="G17" s="700"/>
    </row>
    <row r="18" spans="1:7" x14ac:dyDescent="0.2">
      <c r="A18" s="704" t="s">
        <v>458</v>
      </c>
      <c r="B18" s="705" t="s">
        <v>1003</v>
      </c>
      <c r="C18" s="710">
        <f>'Revenues 9-14'!B43</f>
        <v>1412</v>
      </c>
      <c r="D18" s="711" t="str">
        <f>'Revenues 9-14'!A43</f>
        <v>Regular - Transp Fees from Other Districts (In State)</v>
      </c>
      <c r="E18" s="703" t="s">
        <v>952</v>
      </c>
      <c r="F18" s="1769">
        <f>'Revenues 9-14'!F43</f>
        <v>0</v>
      </c>
      <c r="G18" s="700"/>
    </row>
    <row r="19" spans="1:7" x14ac:dyDescent="0.2">
      <c r="A19" s="704" t="s">
        <v>458</v>
      </c>
      <c r="B19" s="705" t="s">
        <v>1004</v>
      </c>
      <c r="C19" s="712">
        <f>'Revenues 9-14'!B47</f>
        <v>1421</v>
      </c>
      <c r="D19" s="713" t="str">
        <f>'Revenues 9-14'!A47</f>
        <v>Summer Sch - Transp. Fees from Pupils or Parents (In State)</v>
      </c>
      <c r="E19" s="714"/>
      <c r="F19" s="1770">
        <f>'Revenues 9-14'!F47</f>
        <v>0</v>
      </c>
      <c r="G19" s="700"/>
    </row>
    <row r="20" spans="1:7" x14ac:dyDescent="0.2">
      <c r="A20" s="704" t="s">
        <v>458</v>
      </c>
      <c r="B20" s="705" t="s">
        <v>1005</v>
      </c>
      <c r="C20" s="710">
        <f>'Revenues 9-14'!B48</f>
        <v>1422</v>
      </c>
      <c r="D20" s="711" t="str">
        <f>'Revenues 9-14'!A48</f>
        <v>Summer Sch - Transp. Fees from Other Districts (In State)</v>
      </c>
      <c r="E20" s="703"/>
      <c r="F20" s="1771">
        <f>'Revenues 9-14'!F48</f>
        <v>0</v>
      </c>
      <c r="G20" s="700"/>
    </row>
    <row r="21" spans="1:7" x14ac:dyDescent="0.2">
      <c r="A21" s="704" t="s">
        <v>458</v>
      </c>
      <c r="B21" s="705" t="s">
        <v>1006</v>
      </c>
      <c r="C21" s="712">
        <f>'Revenues 9-14'!B49</f>
        <v>1423</v>
      </c>
      <c r="D21" s="711" t="str">
        <f>'Revenues 9-14'!A49</f>
        <v>Summer Sch - Transp. Fees from Other Sources (In State)</v>
      </c>
      <c r="E21" s="703"/>
      <c r="F21" s="1772">
        <f>'Revenues 9-14'!F49</f>
        <v>0</v>
      </c>
      <c r="G21" s="700"/>
    </row>
    <row r="22" spans="1:7" x14ac:dyDescent="0.2">
      <c r="A22" s="704" t="s">
        <v>458</v>
      </c>
      <c r="B22" s="705" t="s">
        <v>1007</v>
      </c>
      <c r="C22" s="712">
        <f>'Revenues 9-14'!B50</f>
        <v>1424</v>
      </c>
      <c r="D22" s="711" t="str">
        <f>'Revenues 9-14'!A50</f>
        <v>Summer Sch - Transp. Fees from Other Sources (Out of State)</v>
      </c>
      <c r="E22" s="703"/>
      <c r="F22" s="1772">
        <f>'Revenues 9-14'!F50</f>
        <v>0</v>
      </c>
      <c r="G22" s="700"/>
    </row>
    <row r="23" spans="1:7" x14ac:dyDescent="0.2">
      <c r="A23" s="704" t="s">
        <v>458</v>
      </c>
      <c r="B23" s="705" t="s">
        <v>1008</v>
      </c>
      <c r="C23" s="710">
        <f>'Revenues 9-14'!B52</f>
        <v>1432</v>
      </c>
      <c r="D23" s="711" t="str">
        <f>'Revenues 9-14'!A52</f>
        <v>CTE - Transp Fees from Other Districts (In State)</v>
      </c>
      <c r="E23" s="703"/>
      <c r="F23" s="1772">
        <f>'Revenues 9-14'!F52</f>
        <v>0</v>
      </c>
      <c r="G23" s="700"/>
    </row>
    <row r="24" spans="1:7" x14ac:dyDescent="0.2">
      <c r="A24" s="704" t="s">
        <v>458</v>
      </c>
      <c r="B24" s="705" t="s">
        <v>1009</v>
      </c>
      <c r="C24" s="710">
        <f>'Revenues 9-14'!B56</f>
        <v>1442</v>
      </c>
      <c r="D24" s="711" t="str">
        <f>'Revenues 9-14'!A56</f>
        <v>Special Ed - Transp Fees from Other Districts (In State)</v>
      </c>
      <c r="E24" s="703"/>
      <c r="F24" s="1772">
        <f>'Revenues 9-14'!F56</f>
        <v>0</v>
      </c>
      <c r="G24" s="700"/>
    </row>
    <row r="25" spans="1:7" x14ac:dyDescent="0.2">
      <c r="A25" s="704" t="s">
        <v>458</v>
      </c>
      <c r="B25" s="705" t="s">
        <v>1010</v>
      </c>
      <c r="C25" s="710">
        <f>'Revenues 9-14'!B59</f>
        <v>1451</v>
      </c>
      <c r="D25" s="711" t="str">
        <f>'Revenues 9-14'!A59</f>
        <v>Adult - Transp Fees from Pupils or Parents (In State)</v>
      </c>
      <c r="E25" s="703"/>
      <c r="F25" s="1772">
        <f>'Revenues 9-14'!F59</f>
        <v>0</v>
      </c>
      <c r="G25" s="700"/>
    </row>
    <row r="26" spans="1:7" x14ac:dyDescent="0.2">
      <c r="A26" s="704" t="s">
        <v>458</v>
      </c>
      <c r="B26" s="705" t="s">
        <v>1011</v>
      </c>
      <c r="C26" s="710">
        <f>'Revenues 9-14'!B60</f>
        <v>1452</v>
      </c>
      <c r="D26" s="711" t="str">
        <f>'Revenues 9-14'!A60</f>
        <v>Adult - Transp Fees from Other Districts (In State)</v>
      </c>
      <c r="E26" s="703"/>
      <c r="F26" s="1772">
        <f>'Revenues 9-14'!F60</f>
        <v>0</v>
      </c>
      <c r="G26" s="700"/>
    </row>
    <row r="27" spans="1:7" x14ac:dyDescent="0.2">
      <c r="A27" s="704" t="s">
        <v>458</v>
      </c>
      <c r="B27" s="705" t="s">
        <v>1012</v>
      </c>
      <c r="C27" s="710">
        <f>'Revenues 9-14'!B61</f>
        <v>1453</v>
      </c>
      <c r="D27" s="711" t="str">
        <f>'Revenues 9-14'!A61</f>
        <v>Adult - Transp Fees from Other Sources (In State)</v>
      </c>
      <c r="E27" s="703"/>
      <c r="F27" s="1772">
        <f>'Revenues 9-14'!F61</f>
        <v>0</v>
      </c>
      <c r="G27" s="700"/>
    </row>
    <row r="28" spans="1:7" x14ac:dyDescent="0.2">
      <c r="A28" s="704" t="s">
        <v>458</v>
      </c>
      <c r="B28" s="705" t="s">
        <v>1013</v>
      </c>
      <c r="C28" s="710">
        <f>'Revenues 9-14'!B62</f>
        <v>1454</v>
      </c>
      <c r="D28" s="711" t="str">
        <f>'Revenues 9-14'!A62</f>
        <v>Adult - Transp Fees from Other Sources (Out of State)</v>
      </c>
      <c r="E28" s="703"/>
      <c r="F28" s="1772">
        <f>'Revenues 9-14'!F62</f>
        <v>0</v>
      </c>
      <c r="G28" s="700"/>
    </row>
    <row r="29" spans="1:7" x14ac:dyDescent="0.2">
      <c r="A29" s="704" t="s">
        <v>1088</v>
      </c>
      <c r="B29" s="705" t="s">
        <v>805</v>
      </c>
      <c r="C29" s="715">
        <f>'Revenues 9-14'!B149</f>
        <v>3410</v>
      </c>
      <c r="D29" s="716" t="str">
        <f>'Revenues 9-14'!A149</f>
        <v>Adult Ed (from ICCB)</v>
      </c>
      <c r="E29" s="703"/>
      <c r="F29" s="1772">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73">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72">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72">
        <f>SUM('Revenues 9-14'!D212,'Revenues 9-14'!F212)</f>
        <v>0</v>
      </c>
      <c r="G32" s="700"/>
    </row>
    <row r="33" spans="1:7" x14ac:dyDescent="0.2">
      <c r="A33" s="704" t="s">
        <v>457</v>
      </c>
      <c r="B33" s="705" t="s">
        <v>1906</v>
      </c>
      <c r="C33" s="710">
        <f>'Revenues 9-14'!B222</f>
        <v>4810</v>
      </c>
      <c r="D33" s="717" t="str">
        <f>'Revenues 9-14'!A222</f>
        <v>Federal - Adult Education</v>
      </c>
      <c r="E33" s="703"/>
      <c r="F33" s="1772">
        <f>'Revenues 9-14'!D222</f>
        <v>0</v>
      </c>
      <c r="G33" s="700"/>
    </row>
    <row r="34" spans="1:7" x14ac:dyDescent="0.2">
      <c r="A34" s="704" t="s">
        <v>456</v>
      </c>
      <c r="B34" s="704" t="s">
        <v>1452</v>
      </c>
      <c r="C34" s="720" t="str">
        <f>'Expenditures 15-22'!B7</f>
        <v>1125</v>
      </c>
      <c r="D34" s="721" t="str">
        <f>'Expenditures 15-22'!A7</f>
        <v>Pre-K Programs</v>
      </c>
      <c r="E34" s="703"/>
      <c r="F34" s="1772">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72">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72">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72">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72">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72">
        <f>'Expenditures 15-22'!K20</f>
        <v>0</v>
      </c>
      <c r="G39" s="700"/>
    </row>
    <row r="40" spans="1:7" x14ac:dyDescent="0.2">
      <c r="A40" s="704" t="s">
        <v>456</v>
      </c>
      <c r="B40" s="704" t="s">
        <v>118</v>
      </c>
      <c r="C40" s="720" t="str">
        <f>'Expenditures 15-22'!B21</f>
        <v>1911</v>
      </c>
      <c r="D40" s="722" t="str">
        <f>'Expenditures 15-22'!A21</f>
        <v>Regular K-12 Programs - Private Tuition</v>
      </c>
      <c r="E40" s="703"/>
      <c r="F40" s="1772">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72">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72">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72">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72">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72">
        <f>'Expenditures 15-22'!K26</f>
        <v>0</v>
      </c>
      <c r="G45" s="700"/>
    </row>
    <row r="46" spans="1:7" x14ac:dyDescent="0.2">
      <c r="A46" s="704" t="s">
        <v>456</v>
      </c>
      <c r="B46" s="704" t="s">
        <v>124</v>
      </c>
      <c r="C46" s="720" t="str">
        <f>'Expenditures 15-22'!B27</f>
        <v>1917</v>
      </c>
      <c r="D46" s="722" t="str">
        <f>'Expenditures 15-22'!A27</f>
        <v>CTE Programs - Private Tuition</v>
      </c>
      <c r="E46" s="703"/>
      <c r="F46" s="1772">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72">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72">
        <f>'Expenditures 15-22'!K29</f>
        <v>0</v>
      </c>
      <c r="G48" s="700"/>
    </row>
    <row r="49" spans="1:7" x14ac:dyDescent="0.2">
      <c r="A49" s="704" t="s">
        <v>456</v>
      </c>
      <c r="B49" s="704" t="s">
        <v>127</v>
      </c>
      <c r="C49" s="720" t="str">
        <f>'Expenditures 15-22'!B30</f>
        <v>1920</v>
      </c>
      <c r="D49" s="722" t="str">
        <f>'Expenditures 15-22'!A30</f>
        <v>Gifted Programs - Private Tuition</v>
      </c>
      <c r="E49" s="703"/>
      <c r="F49" s="1772">
        <f>'Expenditures 15-22'!K30</f>
        <v>0</v>
      </c>
      <c r="G49" s="700"/>
    </row>
    <row r="50" spans="1:7" x14ac:dyDescent="0.2">
      <c r="A50" s="704" t="s">
        <v>456</v>
      </c>
      <c r="B50" s="704" t="s">
        <v>128</v>
      </c>
      <c r="C50" s="720" t="str">
        <f>'Expenditures 15-22'!B31</f>
        <v>1921</v>
      </c>
      <c r="D50" s="722" t="str">
        <f>'Expenditures 15-22'!A31</f>
        <v>Bilingual Programs - Private Tuition</v>
      </c>
      <c r="E50" s="703"/>
      <c r="F50" s="1772">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72">
        <f>'Expenditures 15-22'!K32</f>
        <v>0</v>
      </c>
      <c r="G51" s="700"/>
    </row>
    <row r="52" spans="1:7" x14ac:dyDescent="0.2">
      <c r="A52" s="704" t="s">
        <v>456</v>
      </c>
      <c r="B52" s="704" t="s">
        <v>1457</v>
      </c>
      <c r="C52" s="723" t="str">
        <f>'Expenditures 15-22'!B75</f>
        <v>3000</v>
      </c>
      <c r="D52" s="722" t="s">
        <v>446</v>
      </c>
      <c r="E52" s="703"/>
      <c r="F52" s="1772">
        <f>'Expenditures 15-22'!K75-SUM('Expenditures 15-22'!G75,'Expenditures 15-22'!I75)</f>
        <v>2345</v>
      </c>
      <c r="G52" s="700"/>
    </row>
    <row r="53" spans="1:7" x14ac:dyDescent="0.2">
      <c r="A53" s="704" t="s">
        <v>456</v>
      </c>
      <c r="B53" s="704" t="s">
        <v>1458</v>
      </c>
      <c r="C53" s="723">
        <f>'Expenditures 15-22'!B102</f>
        <v>4000</v>
      </c>
      <c r="D53" s="722" t="str">
        <f>'Expenditures 15-22'!A102</f>
        <v>Total Payments to Other Govt Units</v>
      </c>
      <c r="E53" s="703"/>
      <c r="F53" s="1772">
        <f>'Expenditures 15-22'!K102</f>
        <v>1515587</v>
      </c>
      <c r="G53" s="700"/>
    </row>
    <row r="54" spans="1:7" x14ac:dyDescent="0.2">
      <c r="A54" s="704" t="s">
        <v>456</v>
      </c>
      <c r="B54" s="704" t="s">
        <v>1459</v>
      </c>
      <c r="C54" s="723" t="s">
        <v>975</v>
      </c>
      <c r="D54" s="719" t="s">
        <v>1086</v>
      </c>
      <c r="E54" s="703"/>
      <c r="F54" s="1772">
        <f>'Expenditures 15-22'!G114</f>
        <v>42624</v>
      </c>
      <c r="G54" s="700"/>
    </row>
    <row r="55" spans="1:7" x14ac:dyDescent="0.2">
      <c r="A55" s="704" t="s">
        <v>456</v>
      </c>
      <c r="B55" s="704" t="s">
        <v>1460</v>
      </c>
      <c r="C55" s="723" t="s">
        <v>975</v>
      </c>
      <c r="D55" s="719" t="s">
        <v>288</v>
      </c>
      <c r="E55" s="703"/>
      <c r="F55" s="1772">
        <f>'Expenditures 15-22'!I114</f>
        <v>0</v>
      </c>
      <c r="G55" s="700"/>
    </row>
    <row r="56" spans="1:7" x14ac:dyDescent="0.2">
      <c r="A56" s="704" t="s">
        <v>457</v>
      </c>
      <c r="B56" s="704" t="s">
        <v>1461</v>
      </c>
      <c r="C56" s="720" t="str">
        <f>'Expenditures 15-22'!B130</f>
        <v>3000</v>
      </c>
      <c r="D56" s="726" t="s">
        <v>446</v>
      </c>
      <c r="E56" s="703"/>
      <c r="F56" s="1772">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72">
        <f>'Expenditures 15-22'!K139</f>
        <v>0</v>
      </c>
      <c r="G57" s="700"/>
    </row>
    <row r="58" spans="1:7" x14ac:dyDescent="0.2">
      <c r="A58" s="704" t="s">
        <v>457</v>
      </c>
      <c r="B58" s="704" t="s">
        <v>1851</v>
      </c>
      <c r="C58" s="720" t="s">
        <v>975</v>
      </c>
      <c r="D58" s="719" t="s">
        <v>1086</v>
      </c>
      <c r="E58" s="703"/>
      <c r="F58" s="1774">
        <f>'Expenditures 15-22'!G151</f>
        <v>28587</v>
      </c>
      <c r="G58" s="700"/>
    </row>
    <row r="59" spans="1:7" x14ac:dyDescent="0.2">
      <c r="A59" s="727" t="s">
        <v>457</v>
      </c>
      <c r="B59" s="691" t="s">
        <v>1852</v>
      </c>
      <c r="C59" s="728" t="s">
        <v>975</v>
      </c>
      <c r="D59" s="691" t="s">
        <v>288</v>
      </c>
      <c r="F59" s="1775">
        <f>'Expenditures 15-22'!I151</f>
        <v>0</v>
      </c>
      <c r="G59" s="700"/>
    </row>
    <row r="60" spans="1:7" x14ac:dyDescent="0.2">
      <c r="A60" s="727" t="s">
        <v>496</v>
      </c>
      <c r="B60" s="691" t="s">
        <v>1853</v>
      </c>
      <c r="C60" s="728">
        <v>4000</v>
      </c>
      <c r="D60" s="691" t="s">
        <v>309</v>
      </c>
      <c r="F60" s="1773">
        <f>'Expenditures 15-22'!K160</f>
        <v>0</v>
      </c>
      <c r="G60" s="700"/>
    </row>
    <row r="61" spans="1:7" x14ac:dyDescent="0.2">
      <c r="A61" s="729" t="s">
        <v>496</v>
      </c>
      <c r="B61" s="729" t="s">
        <v>1854</v>
      </c>
      <c r="C61" s="730" t="str">
        <f>'Expenditures 15-22'!B170</f>
        <v>5300</v>
      </c>
      <c r="D61" s="731" t="s">
        <v>308</v>
      </c>
      <c r="E61" s="714"/>
      <c r="F61" s="1772">
        <f>'Expenditures 15-22'!K170</f>
        <v>771260</v>
      </c>
      <c r="G61" s="700"/>
    </row>
    <row r="62" spans="1:7" x14ac:dyDescent="0.2">
      <c r="A62" s="704" t="s">
        <v>458</v>
      </c>
      <c r="B62" s="704" t="s">
        <v>1855</v>
      </c>
      <c r="C62" s="720">
        <f>'Expenditures 15-22'!B185</f>
        <v>3000</v>
      </c>
      <c r="D62" s="711" t="s">
        <v>446</v>
      </c>
      <c r="E62" s="703"/>
      <c r="F62" s="1772">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72">
        <f>'Expenditures 15-22'!K196</f>
        <v>0</v>
      </c>
      <c r="G63" s="700"/>
    </row>
    <row r="64" spans="1:7" x14ac:dyDescent="0.2">
      <c r="A64" s="729" t="s">
        <v>458</v>
      </c>
      <c r="B64" s="729" t="s">
        <v>1857</v>
      </c>
      <c r="C64" s="730" t="str">
        <f>'Expenditures 15-22'!B206</f>
        <v>5300</v>
      </c>
      <c r="D64" s="726" t="s">
        <v>308</v>
      </c>
      <c r="E64" s="703"/>
      <c r="F64" s="1772">
        <f>'Expenditures 15-22'!K206</f>
        <v>0</v>
      </c>
      <c r="G64" s="700"/>
    </row>
    <row r="65" spans="1:9" x14ac:dyDescent="0.2">
      <c r="A65" s="704" t="s">
        <v>458</v>
      </c>
      <c r="B65" s="704" t="s">
        <v>1858</v>
      </c>
      <c r="C65" s="720" t="s">
        <v>975</v>
      </c>
      <c r="D65" s="719" t="s">
        <v>1086</v>
      </c>
      <c r="E65" s="703"/>
      <c r="F65" s="1772">
        <f>'Expenditures 15-22'!G210</f>
        <v>0</v>
      </c>
      <c r="G65" s="700"/>
    </row>
    <row r="66" spans="1:9" x14ac:dyDescent="0.2">
      <c r="A66" s="704" t="s">
        <v>458</v>
      </c>
      <c r="B66" s="704" t="s">
        <v>1859</v>
      </c>
      <c r="C66" s="720" t="s">
        <v>975</v>
      </c>
      <c r="D66" s="719" t="s">
        <v>288</v>
      </c>
      <c r="E66" s="703"/>
      <c r="F66" s="1772">
        <f>'Expenditures 15-22'!I210</f>
        <v>0</v>
      </c>
      <c r="G66" s="700"/>
    </row>
    <row r="67" spans="1:9" x14ac:dyDescent="0.2">
      <c r="A67" s="704" t="s">
        <v>459</v>
      </c>
      <c r="B67" s="704" t="s">
        <v>1860</v>
      </c>
      <c r="C67" s="720" t="str">
        <f>'Expenditures 15-22'!B216</f>
        <v>1125</v>
      </c>
      <c r="D67" s="726" t="str">
        <f>'Expenditures 15-22'!A216</f>
        <v>Pre-K Programs</v>
      </c>
      <c r="E67" s="703"/>
      <c r="F67" s="1772">
        <f>'Expenditures 15-22'!K216</f>
        <v>0</v>
      </c>
      <c r="G67" s="700"/>
    </row>
    <row r="68" spans="1:9" x14ac:dyDescent="0.2">
      <c r="A68" s="704" t="s">
        <v>459</v>
      </c>
      <c r="B68" s="704" t="s">
        <v>1462</v>
      </c>
      <c r="C68" s="720" t="str">
        <f>'Expenditures 15-22'!B218</f>
        <v>1225</v>
      </c>
      <c r="D68" s="726" t="str">
        <f>'Expenditures 15-22'!A218</f>
        <v>Special Education Programs - Pre-K</v>
      </c>
      <c r="E68" s="703"/>
      <c r="F68" s="1772">
        <f>'Expenditures 15-22'!K218</f>
        <v>0</v>
      </c>
      <c r="G68" s="700"/>
    </row>
    <row r="69" spans="1:9" x14ac:dyDescent="0.2">
      <c r="A69" s="704" t="s">
        <v>459</v>
      </c>
      <c r="B69" s="704" t="s">
        <v>1861</v>
      </c>
      <c r="C69" s="720" t="str">
        <f>'Expenditures 15-22'!B220</f>
        <v>1275</v>
      </c>
      <c r="D69" s="726" t="str">
        <f>'Expenditures 15-22'!A220</f>
        <v>Remedial and Supplemental Programs - Pre-K</v>
      </c>
      <c r="E69" s="703"/>
      <c r="F69" s="1772">
        <f>'Expenditures 15-22'!K220</f>
        <v>0</v>
      </c>
      <c r="G69" s="700"/>
    </row>
    <row r="70" spans="1:9" x14ac:dyDescent="0.2">
      <c r="A70" s="704" t="s">
        <v>459</v>
      </c>
      <c r="B70" s="704" t="s">
        <v>1862</v>
      </c>
      <c r="C70" s="720">
        <f>'Expenditures 15-22'!B221</f>
        <v>1300</v>
      </c>
      <c r="D70" s="721" t="str">
        <f>'Expenditures 15-22'!A221</f>
        <v>Adult/Continuing Education Programs</v>
      </c>
      <c r="E70" s="703"/>
      <c r="F70" s="1772">
        <f>'Expenditures 15-22'!K221</f>
        <v>0</v>
      </c>
      <c r="G70" s="700"/>
    </row>
    <row r="71" spans="1:9" x14ac:dyDescent="0.2">
      <c r="A71" s="704" t="s">
        <v>459</v>
      </c>
      <c r="B71" s="704" t="s">
        <v>1863</v>
      </c>
      <c r="C71" s="720">
        <f>'Expenditures 15-22'!B224</f>
        <v>1600</v>
      </c>
      <c r="D71" s="721" t="str">
        <f>'Expenditures 15-22'!A224</f>
        <v>Summer School Programs</v>
      </c>
      <c r="E71" s="703"/>
      <c r="F71" s="1772">
        <f>'Expenditures 15-22'!K224</f>
        <v>0</v>
      </c>
      <c r="G71" s="700"/>
    </row>
    <row r="72" spans="1:9" x14ac:dyDescent="0.2">
      <c r="A72" s="704" t="s">
        <v>459</v>
      </c>
      <c r="B72" s="704" t="s">
        <v>1864</v>
      </c>
      <c r="C72" s="720">
        <f>'Expenditures 15-22'!B280</f>
        <v>3000</v>
      </c>
      <c r="D72" s="711" t="s">
        <v>446</v>
      </c>
      <c r="E72" s="703"/>
      <c r="F72" s="1772">
        <f>'Expenditures 15-22'!K280</f>
        <v>0</v>
      </c>
      <c r="G72" s="700"/>
    </row>
    <row r="73" spans="1:9" x14ac:dyDescent="0.2">
      <c r="A73" s="704" t="s">
        <v>459</v>
      </c>
      <c r="B73" s="704" t="s">
        <v>1865</v>
      </c>
      <c r="C73" s="720" t="str">
        <f>'Expenditures 15-22'!B285</f>
        <v>4000</v>
      </c>
      <c r="D73" s="721" t="str">
        <f>'Expenditures 15-22'!A285</f>
        <v>Total Payments to Other Govt Units</v>
      </c>
      <c r="E73" s="703"/>
      <c r="F73" s="1772">
        <f>'Expenditures 15-22'!K285</f>
        <v>0</v>
      </c>
      <c r="G73" s="700"/>
    </row>
    <row r="74" spans="1:9" x14ac:dyDescent="0.2">
      <c r="A74" s="704" t="s">
        <v>433</v>
      </c>
      <c r="B74" s="704" t="s">
        <v>1866</v>
      </c>
      <c r="C74" s="720" t="s">
        <v>855</v>
      </c>
      <c r="D74" s="721" t="s">
        <v>1470</v>
      </c>
      <c r="E74" s="703"/>
      <c r="F74" s="1776">
        <f>'Expenditures 15-22'!K334</f>
        <v>0</v>
      </c>
      <c r="G74" s="700"/>
    </row>
    <row r="75" spans="1:9" x14ac:dyDescent="0.2">
      <c r="A75" s="704" t="s">
        <v>2005</v>
      </c>
      <c r="B75" s="704" t="s">
        <v>2006</v>
      </c>
      <c r="C75" s="720" t="s">
        <v>975</v>
      </c>
      <c r="D75" s="721" t="s">
        <v>1086</v>
      </c>
      <c r="E75" s="703"/>
      <c r="F75" s="1776">
        <f>'Expenditures 15-22'!G342</f>
        <v>0</v>
      </c>
      <c r="G75" s="700"/>
    </row>
    <row r="76" spans="1:9" ht="10.5" customHeight="1" x14ac:dyDescent="0.2">
      <c r="A76" s="700" t="s">
        <v>433</v>
      </c>
      <c r="B76" s="704" t="s">
        <v>2007</v>
      </c>
      <c r="C76" s="710" t="s">
        <v>975</v>
      </c>
      <c r="D76" s="700" t="s">
        <v>288</v>
      </c>
      <c r="E76" s="703"/>
      <c r="F76" s="1776">
        <f>'Expenditures 15-22'!I342</f>
        <v>0</v>
      </c>
      <c r="G76" s="702"/>
    </row>
    <row r="77" spans="1:9" ht="12" thickBot="1" x14ac:dyDescent="0.25">
      <c r="A77" s="1433"/>
      <c r="B77" s="1438"/>
      <c r="C77" s="1435"/>
      <c r="D77" s="1439" t="s">
        <v>2008</v>
      </c>
      <c r="E77" s="1437" t="s">
        <v>952</v>
      </c>
      <c r="F77" s="1777">
        <f>SUM(F18:F76)</f>
        <v>2360403</v>
      </c>
      <c r="G77" s="700"/>
    </row>
    <row r="78" spans="1:9" s="727" customFormat="1" ht="12" customHeight="1" thickTop="1" thickBot="1" x14ac:dyDescent="0.25">
      <c r="A78" s="1440"/>
      <c r="B78" s="1438"/>
      <c r="C78" s="1435"/>
      <c r="D78" s="1439" t="s">
        <v>2009</v>
      </c>
      <c r="E78" s="1437"/>
      <c r="F78" s="1778">
        <f>(F14-F77)</f>
        <v>13039277</v>
      </c>
      <c r="G78" s="704"/>
    </row>
    <row r="79" spans="1:9" s="727" customFormat="1" ht="12" customHeight="1" thickTop="1" x14ac:dyDescent="0.2">
      <c r="A79" s="1441"/>
      <c r="B79" s="1438"/>
      <c r="C79" s="1435"/>
      <c r="D79" s="1789" t="str">
        <f>"9 Month ADA from Average Daily Attendance - Student Information System (SIS) in IWAS-preliminary ADA "&amp;'AFR20'!$E$2-1&amp;"-"&amp;'AFR20'!$E$2</f>
        <v>9 Month ADA from Average Daily Attendance - Student Information System (SIS) in IWAS-preliminary ADA 2019-2020</v>
      </c>
      <c r="E79" s="1437"/>
      <c r="F79" s="1779">
        <v>833</v>
      </c>
      <c r="G79" s="732"/>
      <c r="H79" s="704"/>
      <c r="I79" s="704"/>
    </row>
    <row r="80" spans="1:9" s="727" customFormat="1" ht="12" customHeight="1" thickBot="1" x14ac:dyDescent="0.25">
      <c r="A80" s="1442"/>
      <c r="B80" s="1438"/>
      <c r="C80" s="1435"/>
      <c r="D80" s="1439" t="s">
        <v>2010</v>
      </c>
      <c r="E80" s="1437" t="s">
        <v>952</v>
      </c>
      <c r="F80" s="1780">
        <f>IF(F79&gt;0,F78/F79," Complete Line 79")</f>
        <v>15653.393757503001</v>
      </c>
      <c r="G80" s="704"/>
    </row>
    <row r="81" spans="1:7" s="727" customFormat="1" ht="8.25" customHeight="1" thickTop="1" x14ac:dyDescent="0.2">
      <c r="A81" s="733"/>
      <c r="B81" s="704"/>
      <c r="C81" s="706"/>
      <c r="D81" s="734"/>
      <c r="E81" s="703"/>
      <c r="F81" s="1781"/>
      <c r="G81" s="704"/>
    </row>
    <row r="82" spans="1:7" s="727" customFormat="1" ht="12" thickBot="1" x14ac:dyDescent="0.25">
      <c r="A82" s="2412" t="s">
        <v>1096</v>
      </c>
      <c r="B82" s="2413"/>
      <c r="C82" s="2413"/>
      <c r="D82" s="2413"/>
      <c r="E82" s="2413"/>
      <c r="F82" s="241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82">
        <f>'Revenues 9-14'!F42</f>
        <v>0</v>
      </c>
      <c r="G85" s="744"/>
    </row>
    <row r="86" spans="1:7" x14ac:dyDescent="0.2">
      <c r="A86" s="740" t="s">
        <v>458</v>
      </c>
      <c r="B86" s="740" t="s">
        <v>182</v>
      </c>
      <c r="C86" s="745">
        <f>'Revenues 9-14'!B44</f>
        <v>1413</v>
      </c>
      <c r="D86" s="743" t="str">
        <f>'Revenues 9-14'!A44</f>
        <v>Regular - Transp Fees from Other Sources (In State)</v>
      </c>
      <c r="E86" s="738"/>
      <c r="F86" s="1783">
        <f>'Revenues 9-14'!F44</f>
        <v>0</v>
      </c>
      <c r="G86" s="746"/>
    </row>
    <row r="87" spans="1:7" x14ac:dyDescent="0.2">
      <c r="A87" s="740" t="s">
        <v>458</v>
      </c>
      <c r="B87" s="740" t="s">
        <v>165</v>
      </c>
      <c r="C87" s="742">
        <f>'Revenues 9-14'!B45</f>
        <v>1415</v>
      </c>
      <c r="D87" s="743" t="str">
        <f>'Revenues 9-14'!A45</f>
        <v>Regular - Transp Fees from Co-curricular Activities (In State)</v>
      </c>
      <c r="E87" s="738"/>
      <c r="F87" s="1783">
        <f>'Revenues 9-14'!F45</f>
        <v>0</v>
      </c>
      <c r="G87" s="746"/>
    </row>
    <row r="88" spans="1:7" x14ac:dyDescent="0.2">
      <c r="A88" s="740" t="s">
        <v>458</v>
      </c>
      <c r="B88" s="740" t="s">
        <v>166</v>
      </c>
      <c r="C88" s="742">
        <v>1416</v>
      </c>
      <c r="D88" s="743" t="str">
        <f>'Revenues 9-14'!A46</f>
        <v>Regular Transp Fees from Other Sources (Out of State)</v>
      </c>
      <c r="E88" s="738"/>
      <c r="F88" s="1783">
        <f>'Revenues 9-14'!F46</f>
        <v>0</v>
      </c>
      <c r="G88" s="746"/>
    </row>
    <row r="89" spans="1:7" x14ac:dyDescent="0.2">
      <c r="A89" s="740" t="s">
        <v>458</v>
      </c>
      <c r="B89" s="740" t="s">
        <v>167</v>
      </c>
      <c r="C89" s="742">
        <f>'Revenues 9-14'!B51</f>
        <v>1431</v>
      </c>
      <c r="D89" s="743" t="str">
        <f>'Revenues 9-14'!A51</f>
        <v>CTE - Transp Fees from Pupils or Parents (In State)</v>
      </c>
      <c r="E89" s="738"/>
      <c r="F89" s="1783">
        <f>'Revenues 9-14'!F51</f>
        <v>0</v>
      </c>
      <c r="G89" s="746"/>
    </row>
    <row r="90" spans="1:7" x14ac:dyDescent="0.2">
      <c r="A90" s="740" t="s">
        <v>458</v>
      </c>
      <c r="B90" s="740" t="s">
        <v>168</v>
      </c>
      <c r="C90" s="742">
        <f>'Revenues 9-14'!B53</f>
        <v>1433</v>
      </c>
      <c r="D90" s="743" t="str">
        <f>'Revenues 9-14'!A53</f>
        <v>CTE - Transp Fees from Other Sources (In State)</v>
      </c>
      <c r="E90" s="738"/>
      <c r="F90" s="1783">
        <f>'Revenues 9-14'!F53</f>
        <v>0</v>
      </c>
      <c r="G90" s="746"/>
    </row>
    <row r="91" spans="1:7" x14ac:dyDescent="0.2">
      <c r="A91" s="740" t="s">
        <v>458</v>
      </c>
      <c r="B91" s="740" t="s">
        <v>169</v>
      </c>
      <c r="C91" s="742">
        <f>'Revenues 9-14'!B54</f>
        <v>1434</v>
      </c>
      <c r="D91" s="743" t="str">
        <f>'Revenues 9-14'!A54</f>
        <v>CTE - Transp Fees from Other Sources (Out of State)</v>
      </c>
      <c r="E91" s="738"/>
      <c r="F91" s="1783">
        <f>'Revenues 9-14'!F54</f>
        <v>0</v>
      </c>
      <c r="G91" s="746"/>
    </row>
    <row r="92" spans="1:7" x14ac:dyDescent="0.2">
      <c r="A92" s="740" t="s">
        <v>458</v>
      </c>
      <c r="B92" s="740" t="s">
        <v>170</v>
      </c>
      <c r="C92" s="747">
        <f>'Revenues 9-14'!B55</f>
        <v>1441</v>
      </c>
      <c r="D92" s="743" t="str">
        <f>'Revenues 9-14'!A55</f>
        <v>Special Ed - Transp Fees from Pupils or Parents (In State)</v>
      </c>
      <c r="E92" s="738"/>
      <c r="F92" s="1783">
        <f>'Revenues 9-14'!F55</f>
        <v>0</v>
      </c>
      <c r="G92" s="746"/>
    </row>
    <row r="93" spans="1:7" x14ac:dyDescent="0.2">
      <c r="A93" s="740" t="s">
        <v>458</v>
      </c>
      <c r="B93" s="740" t="s">
        <v>171</v>
      </c>
      <c r="C93" s="742">
        <f>'Revenues 9-14'!B57</f>
        <v>1443</v>
      </c>
      <c r="D93" s="743" t="str">
        <f>'Revenues 9-14'!A57</f>
        <v>Special Ed - Transp Fees from Other Sources (In State)</v>
      </c>
      <c r="E93" s="738"/>
      <c r="F93" s="1783">
        <f>'Revenues 9-14'!F57</f>
        <v>0</v>
      </c>
      <c r="G93" s="748"/>
    </row>
    <row r="94" spans="1:7" x14ac:dyDescent="0.2">
      <c r="A94" s="740" t="s">
        <v>458</v>
      </c>
      <c r="B94" s="740" t="s">
        <v>172</v>
      </c>
      <c r="C94" s="742">
        <f>'Revenues 9-14'!B58</f>
        <v>1444</v>
      </c>
      <c r="D94" s="743" t="str">
        <f>'Revenues 9-14'!A58</f>
        <v>Special Ed - Transp Fees from Other Sources (Out of State)</v>
      </c>
      <c r="E94" s="738"/>
      <c r="F94" s="1783">
        <f>'Revenues 9-14'!F58</f>
        <v>0</v>
      </c>
      <c r="G94" s="748"/>
    </row>
    <row r="95" spans="1:7" x14ac:dyDescent="0.2">
      <c r="A95" s="740" t="s">
        <v>456</v>
      </c>
      <c r="B95" s="740" t="s">
        <v>173</v>
      </c>
      <c r="C95" s="742">
        <v>1600</v>
      </c>
      <c r="D95" s="749" t="str">
        <f>'Revenues 9-14'!A75</f>
        <v>Total Food Service</v>
      </c>
      <c r="E95" s="738"/>
      <c r="F95" s="1783">
        <f>'Revenues 9-14'!C75</f>
        <v>1411</v>
      </c>
      <c r="G95" s="744"/>
    </row>
    <row r="96" spans="1:7" x14ac:dyDescent="0.2">
      <c r="A96" s="740" t="s">
        <v>139</v>
      </c>
      <c r="B96" s="740" t="s">
        <v>174</v>
      </c>
      <c r="C96" s="742">
        <v>1700</v>
      </c>
      <c r="D96" s="750" t="str">
        <f>'Revenues 9-14'!A82</f>
        <v>Total District/School Activity Income</v>
      </c>
      <c r="E96" s="738"/>
      <c r="F96" s="1783">
        <f>SUM('Revenues 9-14'!C82,'Revenues 9-14'!D82)</f>
        <v>0</v>
      </c>
      <c r="G96" s="744"/>
    </row>
    <row r="97" spans="1:7" x14ac:dyDescent="0.2">
      <c r="A97" s="740" t="s">
        <v>456</v>
      </c>
      <c r="B97" s="740" t="s">
        <v>175</v>
      </c>
      <c r="C97" s="742">
        <f>'Revenues 9-14'!B84</f>
        <v>1811</v>
      </c>
      <c r="D97" s="743" t="str">
        <f>'Revenues 9-14'!A84</f>
        <v>Rentals - Regular Textbooks</v>
      </c>
      <c r="E97" s="738"/>
      <c r="F97" s="1783">
        <f>'Revenues 9-14'!C84</f>
        <v>0</v>
      </c>
      <c r="G97" s="744"/>
    </row>
    <row r="98" spans="1:7" x14ac:dyDescent="0.2">
      <c r="A98" s="740" t="s">
        <v>456</v>
      </c>
      <c r="B98" s="740" t="s">
        <v>176</v>
      </c>
      <c r="C98" s="742">
        <f>'Revenues 9-14'!B87</f>
        <v>1819</v>
      </c>
      <c r="D98" s="743" t="str">
        <f>'Revenues 9-14'!A87</f>
        <v>Rentals - Other (Describe &amp; Itemize)</v>
      </c>
      <c r="E98" s="738"/>
      <c r="F98" s="1783">
        <f>'Revenues 9-14'!C87</f>
        <v>0</v>
      </c>
      <c r="G98" s="744"/>
    </row>
    <row r="99" spans="1:7" x14ac:dyDescent="0.2">
      <c r="A99" s="740" t="s">
        <v>456</v>
      </c>
      <c r="B99" s="740" t="s">
        <v>177</v>
      </c>
      <c r="C99" s="742">
        <f>'Revenues 9-14'!B88</f>
        <v>1821</v>
      </c>
      <c r="D99" s="743" t="str">
        <f>'Revenues 9-14'!A88</f>
        <v>Sales - Regular Textbooks</v>
      </c>
      <c r="E99" s="738"/>
      <c r="F99" s="1783">
        <f>'Revenues 9-14'!C88</f>
        <v>0</v>
      </c>
      <c r="G99" s="744"/>
    </row>
    <row r="100" spans="1:7" x14ac:dyDescent="0.2">
      <c r="A100" s="740" t="s">
        <v>456</v>
      </c>
      <c r="B100" s="740" t="s">
        <v>178</v>
      </c>
      <c r="C100" s="742">
        <f>'Revenues 9-14'!B91</f>
        <v>1829</v>
      </c>
      <c r="D100" s="743" t="str">
        <f>'Revenues 9-14'!A91</f>
        <v>Sales - Other (Describe &amp; Itemize)</v>
      </c>
      <c r="E100" s="738"/>
      <c r="F100" s="1783">
        <f>'Revenues 9-14'!C91</f>
        <v>0</v>
      </c>
      <c r="G100" s="744"/>
    </row>
    <row r="101" spans="1:7" x14ac:dyDescent="0.2">
      <c r="A101" s="740" t="s">
        <v>456</v>
      </c>
      <c r="B101" s="740" t="s">
        <v>179</v>
      </c>
      <c r="C101" s="742">
        <f>'Revenues 9-14'!B92</f>
        <v>1890</v>
      </c>
      <c r="D101" s="743" t="str">
        <f>'Revenues 9-14'!A92</f>
        <v>Other (Describe &amp; Itemize)</v>
      </c>
      <c r="E101" s="738"/>
      <c r="F101" s="1783">
        <f>'Revenues 9-14'!C92</f>
        <v>0</v>
      </c>
      <c r="G101" s="744"/>
    </row>
    <row r="102" spans="1:7" x14ac:dyDescent="0.2">
      <c r="A102" s="740" t="s">
        <v>139</v>
      </c>
      <c r="B102" s="740" t="s">
        <v>180</v>
      </c>
      <c r="C102" s="742">
        <f>'Revenues 9-14'!B95</f>
        <v>1910</v>
      </c>
      <c r="D102" s="743" t="str">
        <f>'Revenues 9-14'!A95</f>
        <v>Rentals</v>
      </c>
      <c r="E102" s="738"/>
      <c r="F102" s="1783">
        <f>SUM('Revenues 9-14'!C95:D95)</f>
        <v>276116</v>
      </c>
      <c r="G102" s="744"/>
    </row>
    <row r="103" spans="1:7" x14ac:dyDescent="0.2">
      <c r="A103" s="740" t="s">
        <v>500</v>
      </c>
      <c r="B103" s="740" t="s">
        <v>181</v>
      </c>
      <c r="C103" s="742">
        <f>'Revenues 9-14'!B98</f>
        <v>1940</v>
      </c>
      <c r="D103" s="743" t="str">
        <f>'Revenues 9-14'!A98</f>
        <v>Services Provided Other Districts</v>
      </c>
      <c r="E103" s="738"/>
      <c r="F103" s="1783">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83">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83">
        <f>('Revenues 9-14'!C106)</f>
        <v>0</v>
      </c>
      <c r="G105" s="744"/>
    </row>
    <row r="106" spans="1:7" x14ac:dyDescent="0.2">
      <c r="A106" s="740" t="s">
        <v>500</v>
      </c>
      <c r="B106" s="740" t="s">
        <v>1907</v>
      </c>
      <c r="C106" s="745">
        <v>3100</v>
      </c>
      <c r="D106" s="751" t="str">
        <f>'Revenues 9-14'!A132</f>
        <v>Total Special Education</v>
      </c>
      <c r="E106" s="738"/>
      <c r="F106" s="1783">
        <f>SUM('Revenues 9-14'!C132:D132,'Revenues 9-14'!F132)</f>
        <v>2870</v>
      </c>
      <c r="G106" s="744"/>
    </row>
    <row r="107" spans="1:7" x14ac:dyDescent="0.2">
      <c r="A107" s="740" t="s">
        <v>668</v>
      </c>
      <c r="B107" s="740" t="s">
        <v>1908</v>
      </c>
      <c r="C107" s="752">
        <v>3200</v>
      </c>
      <c r="D107" s="743" t="str">
        <f>'Revenues 9-14'!A141</f>
        <v>Total Career and Technical Education</v>
      </c>
      <c r="E107" s="738"/>
      <c r="F107" s="1783">
        <f>SUM('Revenues 9-14'!C141,'Revenues 9-14'!D141,'Revenues 9-14'!G141)</f>
        <v>0</v>
      </c>
      <c r="G107" s="744"/>
    </row>
    <row r="108" spans="1:7" x14ac:dyDescent="0.2">
      <c r="A108" s="753" t="s">
        <v>659</v>
      </c>
      <c r="B108" s="740" t="s">
        <v>1909</v>
      </c>
      <c r="C108" s="752">
        <v>3300</v>
      </c>
      <c r="D108" s="743" t="str">
        <f>'Revenues 9-14'!A145</f>
        <v>Total Bilingual Ed</v>
      </c>
      <c r="E108" s="738"/>
      <c r="F108" s="1783">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83">
        <f>'Revenues 9-14'!C146</f>
        <v>8958</v>
      </c>
      <c r="G109" s="744"/>
    </row>
    <row r="110" spans="1:7" x14ac:dyDescent="0.2">
      <c r="A110" s="740" t="s">
        <v>668</v>
      </c>
      <c r="B110" s="740" t="s">
        <v>1911</v>
      </c>
      <c r="C110" s="752">
        <f>'Revenues 9-14'!B147</f>
        <v>3365</v>
      </c>
      <c r="D110" s="743" t="str">
        <f>'Revenues 9-14'!A147</f>
        <v>School Breakfast Initiative</v>
      </c>
      <c r="E110" s="738"/>
      <c r="F110" s="1783">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83">
        <f>SUM('Revenues 9-14'!C148,'Revenues 9-14'!D148)</f>
        <v>0</v>
      </c>
      <c r="G111" s="744"/>
    </row>
    <row r="112" spans="1:7" x14ac:dyDescent="0.2">
      <c r="A112" s="740" t="s">
        <v>663</v>
      </c>
      <c r="B112" s="740" t="s">
        <v>1913</v>
      </c>
      <c r="C112" s="754">
        <v>3500</v>
      </c>
      <c r="D112" s="743" t="str">
        <f>'Revenues 9-14'!A155</f>
        <v>Total Transportation</v>
      </c>
      <c r="E112" s="738"/>
      <c r="F112" s="1783">
        <f>SUM('Revenues 9-14'!C155,'Revenues 9-14'!D155,'Revenues 9-14'!F155,'Revenues 9-14'!G155)</f>
        <v>775958</v>
      </c>
      <c r="G112" s="744"/>
    </row>
    <row r="113" spans="1:7" x14ac:dyDescent="0.2">
      <c r="A113" s="740" t="s">
        <v>456</v>
      </c>
      <c r="B113" s="740" t="s">
        <v>1914</v>
      </c>
      <c r="C113" s="752">
        <f>'Revenues 9-14'!B156</f>
        <v>3610</v>
      </c>
      <c r="D113" s="743" t="str">
        <f>'Revenues 9-14'!A156</f>
        <v>Learning Improvement - Change Grants</v>
      </c>
      <c r="E113" s="738"/>
      <c r="F113" s="1783">
        <f>'Revenues 9-14'!C156</f>
        <v>0</v>
      </c>
      <c r="G113" s="744"/>
    </row>
    <row r="114" spans="1:7" x14ac:dyDescent="0.2">
      <c r="A114" s="740" t="s">
        <v>663</v>
      </c>
      <c r="B114" s="740" t="s">
        <v>1915</v>
      </c>
      <c r="C114" s="752">
        <f>'Revenues 9-14'!B157</f>
        <v>3660</v>
      </c>
      <c r="D114" s="743" t="str">
        <f>'Revenues 9-14'!A157</f>
        <v>Scientific Literacy</v>
      </c>
      <c r="E114" s="738"/>
      <c r="F114" s="1783">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83">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83">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83">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82">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82">
        <f>SUM('Revenues 9-14'!C163:G163)</f>
        <v>0</v>
      </c>
      <c r="G119" s="744"/>
    </row>
    <row r="120" spans="1:7" x14ac:dyDescent="0.2">
      <c r="A120" s="755" t="s">
        <v>501</v>
      </c>
      <c r="B120" s="755" t="s">
        <v>1921</v>
      </c>
      <c r="C120" s="756">
        <f>'Revenues 9-14'!B164</f>
        <v>3815</v>
      </c>
      <c r="D120" s="757" t="str">
        <f>'Revenues 9-14'!A164</f>
        <v>State Charter Schools</v>
      </c>
      <c r="E120" s="738"/>
      <c r="F120" s="1782">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83">
        <f>'Revenues 9-14'!D167</f>
        <v>0</v>
      </c>
      <c r="G121" s="762"/>
    </row>
    <row r="122" spans="1:7" x14ac:dyDescent="0.2">
      <c r="A122" s="759" t="s">
        <v>497</v>
      </c>
      <c r="B122" s="759" t="s">
        <v>1923</v>
      </c>
      <c r="C122" s="760">
        <f>'Revenues 9-14'!B168</f>
        <v>3999</v>
      </c>
      <c r="D122" s="761" t="s">
        <v>540</v>
      </c>
      <c r="E122" s="763"/>
      <c r="F122" s="1783">
        <f>SUM('Revenues 9-14'!C168:G168,'Revenues 9-14'!J168)</f>
        <v>37295</v>
      </c>
      <c r="G122" s="762"/>
    </row>
    <row r="123" spans="1:7" x14ac:dyDescent="0.2">
      <c r="A123" s="759" t="s">
        <v>456</v>
      </c>
      <c r="B123" s="759" t="s">
        <v>1924</v>
      </c>
      <c r="C123" s="764">
        <f>'Revenues 9-14'!B177</f>
        <v>4045</v>
      </c>
      <c r="D123" s="761" t="str">
        <f>'Revenues 9-14'!A177 &amp; " (Subtract)"</f>
        <v>Head Start (Subtract)</v>
      </c>
      <c r="E123" s="738"/>
      <c r="F123" s="1783">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83">
        <f>SUM('Revenues 9-14'!C181,'Revenues 9-14'!D181,'Revenues 9-14'!F181,'Revenues 9-14'!G181)</f>
        <v>0</v>
      </c>
      <c r="G124" s="762"/>
    </row>
    <row r="125" spans="1:7" x14ac:dyDescent="0.2">
      <c r="A125" s="759" t="s">
        <v>663</v>
      </c>
      <c r="B125" s="759" t="s">
        <v>1926</v>
      </c>
      <c r="C125" s="764">
        <v>4100</v>
      </c>
      <c r="D125" s="765" t="str">
        <f>'Revenues 9-14'!A188</f>
        <v>Total Title V</v>
      </c>
      <c r="E125" s="738"/>
      <c r="F125" s="1783">
        <f>SUM('Revenues 9-14'!C188,'Revenues 9-14'!D188,'Revenues 9-14'!F188,'Revenues 9-14'!G188)</f>
        <v>0</v>
      </c>
      <c r="G125" s="762"/>
    </row>
    <row r="126" spans="1:7" x14ac:dyDescent="0.2">
      <c r="A126" s="759" t="s">
        <v>659</v>
      </c>
      <c r="B126" s="759" t="s">
        <v>1927</v>
      </c>
      <c r="C126" s="764">
        <v>4200</v>
      </c>
      <c r="D126" s="761" t="str">
        <f>'Revenues 9-14'!A198</f>
        <v>Total Food Service</v>
      </c>
      <c r="E126" s="738"/>
      <c r="F126" s="1783">
        <f>SUM('Revenues 9-14'!C198,'Revenues 9-14'!G198)</f>
        <v>667928</v>
      </c>
      <c r="G126" s="762"/>
    </row>
    <row r="127" spans="1:7" x14ac:dyDescent="0.2">
      <c r="A127" s="759" t="s">
        <v>663</v>
      </c>
      <c r="B127" s="759" t="s">
        <v>1928</v>
      </c>
      <c r="C127" s="764">
        <v>4300</v>
      </c>
      <c r="D127" s="765" t="str">
        <f>'Revenues 9-14'!A204</f>
        <v>Total Title I</v>
      </c>
      <c r="E127" s="738"/>
      <c r="F127" s="1783">
        <f>SUM('Revenues 9-14'!C204,'Revenues 9-14'!D204,'Revenues 9-14'!F204,'Revenues 9-14'!G204)</f>
        <v>314805</v>
      </c>
      <c r="G127" s="762"/>
    </row>
    <row r="128" spans="1:7" x14ac:dyDescent="0.2">
      <c r="A128" s="759" t="s">
        <v>663</v>
      </c>
      <c r="B128" s="759" t="s">
        <v>1929</v>
      </c>
      <c r="C128" s="764">
        <v>4400</v>
      </c>
      <c r="D128" s="765" t="str">
        <f>'Revenues 9-14'!A209</f>
        <v>Total Title IV</v>
      </c>
      <c r="E128" s="738"/>
      <c r="F128" s="1783">
        <f>SUM('Revenues 9-14'!C209,'Revenues 9-14'!D209,'Revenues 9-14'!F209,'Revenues 9-14'!G209)</f>
        <v>879</v>
      </c>
      <c r="G128" s="762"/>
    </row>
    <row r="129" spans="1:7" x14ac:dyDescent="0.2">
      <c r="A129" s="759" t="s">
        <v>663</v>
      </c>
      <c r="B129" s="759" t="s">
        <v>1930</v>
      </c>
      <c r="C129" s="764">
        <f>'Revenues 9-14'!B213</f>
        <v>4620</v>
      </c>
      <c r="D129" s="765" t="str">
        <f>'Revenues 9-14'!A213</f>
        <v>Fed - Spec Education - IDEA - Flow Through</v>
      </c>
      <c r="E129" s="738"/>
      <c r="F129" s="1783">
        <f>SUM('Revenues 9-14'!C213:D213,'Revenues 9-14'!F213:G213)</f>
        <v>323216</v>
      </c>
      <c r="G129" s="762"/>
    </row>
    <row r="130" spans="1:7" x14ac:dyDescent="0.2">
      <c r="A130" s="759" t="s">
        <v>663</v>
      </c>
      <c r="B130" s="759" t="s">
        <v>1931</v>
      </c>
      <c r="C130" s="764">
        <f>'Revenues 9-14'!B214</f>
        <v>4625</v>
      </c>
      <c r="D130" s="765" t="str">
        <f>'Revenues 9-14'!A214</f>
        <v>Fed - Spec Education - IDEA - Room &amp; Board</v>
      </c>
      <c r="E130" s="738"/>
      <c r="F130" s="1783">
        <f>SUM('Revenues 9-14'!C214,'Revenues 9-14'!D214,'Revenues 9-14'!F214,'Revenues 9-14'!G214)</f>
        <v>0</v>
      </c>
      <c r="G130" s="762"/>
    </row>
    <row r="131" spans="1:7" x14ac:dyDescent="0.2">
      <c r="A131" s="759" t="s">
        <v>663</v>
      </c>
      <c r="B131" s="759" t="s">
        <v>1932</v>
      </c>
      <c r="C131" s="764">
        <f>'Revenues 9-14'!B215</f>
        <v>4630</v>
      </c>
      <c r="D131" s="765" t="str">
        <f>'Revenues 9-14'!A215</f>
        <v>Fed - Spec Education - IDEA - Discretionary</v>
      </c>
      <c r="E131" s="738"/>
      <c r="F131" s="1783">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83">
        <f>SUM('Revenues 9-14'!C216:D216,'Revenues 9-14'!F216:G216)</f>
        <v>0</v>
      </c>
      <c r="G132" s="762"/>
    </row>
    <row r="133" spans="1:7" x14ac:dyDescent="0.2">
      <c r="A133" s="759" t="s">
        <v>668</v>
      </c>
      <c r="B133" s="759" t="s">
        <v>1933</v>
      </c>
      <c r="C133" s="764">
        <v>4700</v>
      </c>
      <c r="D133" s="761" t="str">
        <f>'Revenues 9-14'!A221</f>
        <v>Total CTE - Perkins</v>
      </c>
      <c r="E133" s="738"/>
      <c r="F133" s="1783">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82">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83">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83">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83">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83">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83">
        <v>0</v>
      </c>
      <c r="G139" s="737"/>
    </row>
    <row r="140" spans="1:7" s="702" customFormat="1" hidden="1" x14ac:dyDescent="0.2">
      <c r="A140" s="766" t="s">
        <v>204</v>
      </c>
      <c r="B140" s="766" t="s">
        <v>1940</v>
      </c>
      <c r="C140" s="767" t="s">
        <v>211</v>
      </c>
      <c r="D140" s="768" t="str">
        <f>'Revenues 9-14'!A230</f>
        <v>ARRA - IDEA - Part B - Flow-Through</v>
      </c>
      <c r="E140" s="769"/>
      <c r="F140" s="1783">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83">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83">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83">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83">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83">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83">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83">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83">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83">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83">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83">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83">
        <v>0</v>
      </c>
      <c r="G152" s="737"/>
    </row>
    <row r="153" spans="1:7" s="702" customFormat="1" hidden="1" x14ac:dyDescent="0.2">
      <c r="A153" s="766" t="s">
        <v>204</v>
      </c>
      <c r="B153" s="766" t="s">
        <v>1400</v>
      </c>
      <c r="C153" s="767" t="s">
        <v>231</v>
      </c>
      <c r="D153" s="768" t="str">
        <f>'Revenues 9-14'!A247</f>
        <v>Other ARRA Funds VII</v>
      </c>
      <c r="E153" s="769"/>
      <c r="F153" s="1783">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83">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83">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83">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83">
        <f>SUM('Revenues 9-14'!C251:G251,'Revenues 9-14'!J251)</f>
        <v>0</v>
      </c>
      <c r="G157" s="737"/>
    </row>
    <row r="158" spans="1:7" s="702" customFormat="1" x14ac:dyDescent="0.2">
      <c r="A158" s="770" t="s">
        <v>497</v>
      </c>
      <c r="B158" s="771" t="s">
        <v>1948</v>
      </c>
      <c r="C158" s="772" t="s">
        <v>836</v>
      </c>
      <c r="D158" s="773" t="s">
        <v>772</v>
      </c>
      <c r="E158" s="774"/>
      <c r="F158" s="1783">
        <f>SUM(F134:F157)</f>
        <v>0</v>
      </c>
      <c r="G158" s="737"/>
    </row>
    <row r="159" spans="1:7" s="702" customFormat="1" x14ac:dyDescent="0.2">
      <c r="A159" s="770" t="s">
        <v>456</v>
      </c>
      <c r="B159" s="771" t="s">
        <v>1949</v>
      </c>
      <c r="C159" s="772" t="s">
        <v>1410</v>
      </c>
      <c r="D159" s="773" t="s">
        <v>1411</v>
      </c>
      <c r="E159" s="774"/>
      <c r="F159" s="1783">
        <f>SUM('Revenues 9-14'!C253)</f>
        <v>0</v>
      </c>
      <c r="G159" s="737"/>
    </row>
    <row r="160" spans="1:7" s="702" customFormat="1" x14ac:dyDescent="0.2">
      <c r="A160" s="770" t="s">
        <v>497</v>
      </c>
      <c r="B160" s="771" t="s">
        <v>1950</v>
      </c>
      <c r="C160" s="772" t="s">
        <v>1449</v>
      </c>
      <c r="D160" s="773" t="s">
        <v>1450</v>
      </c>
      <c r="E160" s="774"/>
      <c r="F160" s="1783">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83">
        <f>SUM('Revenues 9-14'!C255,'Revenues 9-14'!F255,'Revenues 9-14'!G255)</f>
        <v>0</v>
      </c>
      <c r="G161" s="775">
        <v>6306</v>
      </c>
    </row>
    <row r="162" spans="1:7" x14ac:dyDescent="0.2">
      <c r="A162" s="759" t="s">
        <v>5</v>
      </c>
      <c r="B162" s="759" t="s">
        <v>1952</v>
      </c>
      <c r="C162" s="764">
        <f>'Revenues 9-14'!B256</f>
        <v>4909</v>
      </c>
      <c r="D162" s="761" t="str">
        <f>'Revenues 9-14'!A256</f>
        <v>Title III - Language Inst Program - Limited Eng (LIPLEP)</v>
      </c>
      <c r="E162" s="738"/>
      <c r="F162" s="1783">
        <f>SUM('Revenues 9-14'!C256,'Revenues 9-14'!F256,'Revenues 9-14'!G256)</f>
        <v>0</v>
      </c>
      <c r="G162" s="775"/>
    </row>
    <row r="163" spans="1:7" x14ac:dyDescent="0.2">
      <c r="A163" s="759" t="s">
        <v>663</v>
      </c>
      <c r="B163" s="759" t="s">
        <v>1953</v>
      </c>
      <c r="C163" s="764">
        <f>'Revenues 9-14'!B257</f>
        <v>4920</v>
      </c>
      <c r="D163" s="761" t="str">
        <f>'Revenues 9-14'!A257</f>
        <v>McKinney Education for Homeless Children</v>
      </c>
      <c r="E163" s="738"/>
      <c r="F163" s="1783">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82">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82">
        <f>SUM('Revenues 9-14'!C259,'Revenues 9-14'!D259,'Revenues 9-14'!F259,'Revenues 9-14'!G259)</f>
        <v>63207</v>
      </c>
      <c r="G165" s="762"/>
    </row>
    <row r="166" spans="1:7" x14ac:dyDescent="0.2">
      <c r="A166" s="759" t="s">
        <v>663</v>
      </c>
      <c r="B166" s="759" t="s">
        <v>1956</v>
      </c>
      <c r="C166" s="764">
        <f>'Revenues 9-14'!B260</f>
        <v>4960</v>
      </c>
      <c r="D166" s="761" t="str">
        <f>'Revenues 9-14'!A260</f>
        <v>Federal Charter Schools</v>
      </c>
      <c r="E166" s="738"/>
      <c r="F166" s="1783">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83">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83">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83">
        <f>SUM('Revenues 9-14'!C263:D263,'Revenues 9-14'!F263:G263)</f>
        <v>28085</v>
      </c>
      <c r="G169" s="779">
        <v>6320</v>
      </c>
    </row>
    <row r="170" spans="1:7" x14ac:dyDescent="0.2">
      <c r="A170" s="759" t="s">
        <v>663</v>
      </c>
      <c r="B170" s="759" t="s">
        <v>1958</v>
      </c>
      <c r="C170" s="764">
        <f>'Revenues 9-14'!B264</f>
        <v>4992</v>
      </c>
      <c r="D170" s="765" t="str">
        <f>'Revenues 9-14'!A264</f>
        <v>Medicaid Matching Funds - Fee-for-Service Program</v>
      </c>
      <c r="E170" s="738"/>
      <c r="F170" s="1783">
        <f>SUM('Revenues 9-14'!C264:D264,'Revenues 9-14'!F264:G264)</f>
        <v>36446</v>
      </c>
      <c r="G170" s="779"/>
    </row>
    <row r="171" spans="1:7" x14ac:dyDescent="0.2">
      <c r="A171" s="780" t="s">
        <v>663</v>
      </c>
      <c r="B171" s="776" t="s">
        <v>1959</v>
      </c>
      <c r="C171" s="777">
        <f>'Revenues 9-14'!B265</f>
        <v>4998</v>
      </c>
      <c r="D171" s="778" t="str">
        <f>'Revenues 9-14'!A265</f>
        <v>Other Restricted Revenue from Federal Sources (Describe &amp; Itemize)</v>
      </c>
      <c r="E171" s="738"/>
      <c r="F171" s="1783">
        <f>SUM('Revenues 9-14'!C265:D265,'Revenues 9-14'!F265:G265)</f>
        <v>0</v>
      </c>
      <c r="G171" s="759"/>
    </row>
    <row r="172" spans="1:7" x14ac:dyDescent="0.2">
      <c r="A172" s="1519" t="s">
        <v>5</v>
      </c>
      <c r="B172" s="1520" t="s">
        <v>1882</v>
      </c>
      <c r="C172" s="1521">
        <v>3100</v>
      </c>
      <c r="D172" s="1522" t="s">
        <v>1884</v>
      </c>
      <c r="E172" s="738"/>
      <c r="F172" s="1784">
        <v>330594.76</v>
      </c>
      <c r="G172" s="759"/>
    </row>
    <row r="173" spans="1:7" x14ac:dyDescent="0.2">
      <c r="A173" s="1519" t="s">
        <v>659</v>
      </c>
      <c r="B173" s="1520" t="s">
        <v>1882</v>
      </c>
      <c r="C173" s="1521">
        <v>3300</v>
      </c>
      <c r="D173" s="1522" t="s">
        <v>1885</v>
      </c>
      <c r="E173" s="738"/>
      <c r="F173" s="1784">
        <v>0</v>
      </c>
      <c r="G173" s="759"/>
    </row>
    <row r="174" spans="1:7" ht="6" customHeight="1" x14ac:dyDescent="0.2">
      <c r="A174" s="759"/>
      <c r="B174" s="759"/>
      <c r="C174" s="781"/>
      <c r="D174" s="759"/>
      <c r="E174" s="738"/>
      <c r="F174" s="1785"/>
      <c r="G174" s="779"/>
    </row>
    <row r="175" spans="1:7" x14ac:dyDescent="0.2">
      <c r="A175" s="1433"/>
      <c r="B175" s="1443"/>
      <c r="C175" s="1444"/>
      <c r="D175" s="1445" t="s">
        <v>2013</v>
      </c>
      <c r="E175" s="1446" t="s">
        <v>952</v>
      </c>
      <c r="F175" s="1786">
        <f>SUM(F85:F133,F158:F173)</f>
        <v>2867768.76</v>
      </c>
    </row>
    <row r="176" spans="1:7" ht="12" customHeight="1" x14ac:dyDescent="0.2">
      <c r="A176" s="1433"/>
      <c r="B176" s="1443"/>
      <c r="C176" s="1444"/>
      <c r="D176" s="1445" t="s">
        <v>2011</v>
      </c>
      <c r="E176" s="1446"/>
      <c r="F176" s="1783">
        <f>'PCTC-OEPP 27-28'!F78-F175</f>
        <v>10171508.24</v>
      </c>
    </row>
    <row r="177" spans="1:9" ht="12" customHeight="1" x14ac:dyDescent="0.2">
      <c r="A177" s="1433"/>
      <c r="B177" s="1443"/>
      <c r="C177" s="1444"/>
      <c r="D177" s="1445" t="s">
        <v>1791</v>
      </c>
      <c r="E177" s="1446"/>
      <c r="F177" s="1783">
        <f>'Cap Outlay Deprec 26'!I18</f>
        <v>1050428</v>
      </c>
    </row>
    <row r="178" spans="1:9" ht="12" customHeight="1" x14ac:dyDescent="0.2">
      <c r="A178" s="1433"/>
      <c r="B178" s="1443"/>
      <c r="C178" s="1444"/>
      <c r="D178" s="1445" t="s">
        <v>2012</v>
      </c>
      <c r="E178" s="1446"/>
      <c r="F178" s="1783">
        <f>F176+F177</f>
        <v>11221936.24</v>
      </c>
    </row>
    <row r="179" spans="1:9" ht="12" customHeight="1" x14ac:dyDescent="0.2">
      <c r="A179" s="1433"/>
      <c r="B179" s="1447"/>
      <c r="C179" s="1444"/>
      <c r="D179" s="1789" t="str">
        <f>D79</f>
        <v>9 Month ADA from Average Daily Attendance - Student Information System (SIS) in IWAS-preliminary ADA 2019-2020</v>
      </c>
      <c r="E179" s="1446"/>
      <c r="F179" s="1787">
        <f>'PCTC-OEPP 27-28'!F79</f>
        <v>833</v>
      </c>
      <c r="G179" s="762"/>
      <c r="I179" s="700"/>
    </row>
    <row r="180" spans="1:9" ht="12" customHeight="1" thickBot="1" x14ac:dyDescent="0.25">
      <c r="A180" s="1433"/>
      <c r="B180" s="1447"/>
      <c r="C180" s="1444"/>
      <c r="D180" s="1445" t="s">
        <v>2014</v>
      </c>
      <c r="E180" s="1446" t="s">
        <v>1528</v>
      </c>
      <c r="F180" s="1788">
        <f>F178/F179</f>
        <v>13471.712172869147</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523"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4"/>
    </row>
    <row r="184" spans="1:9" s="1523"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4"/>
    </row>
    <row r="185" spans="1:9" ht="12" customHeight="1" x14ac:dyDescent="0.2">
      <c r="C185" s="781"/>
      <c r="D185" s="762"/>
      <c r="E185" s="781"/>
      <c r="F185" s="762"/>
      <c r="G185" s="762"/>
    </row>
    <row r="186" spans="1:9" x14ac:dyDescent="0.2">
      <c r="A186" s="1525" t="s">
        <v>1887</v>
      </c>
      <c r="B186" s="1526"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97" zoomScaleNormal="100" workbookViewId="0">
      <selection activeCell="B107" sqref="B107"/>
    </sheetView>
  </sheetViews>
  <sheetFormatPr defaultRowHeight="15" x14ac:dyDescent="0.25"/>
  <cols>
    <col min="1" max="1" width="52" style="1881" customWidth="1"/>
    <col min="2" max="2" width="16.42578125" style="1882" bestFit="1" customWidth="1"/>
    <col min="3" max="3" width="33.7109375" style="1883" customWidth="1"/>
    <col min="4" max="4" width="16.28515625" style="1884" customWidth="1"/>
    <col min="5" max="5" width="23.5703125" style="1884" customWidth="1"/>
    <col min="6" max="6" width="23.28515625" style="1883" customWidth="1"/>
    <col min="7" max="16384" width="9.140625" style="1850"/>
  </cols>
  <sheetData>
    <row r="1" spans="1:6" ht="15" customHeight="1" x14ac:dyDescent="0.25">
      <c r="A1" s="1847" t="s">
        <v>1804</v>
      </c>
      <c r="B1" s="1848"/>
      <c r="C1" s="1849"/>
      <c r="D1" s="1849"/>
      <c r="E1" s="1849"/>
      <c r="F1" s="1849"/>
    </row>
    <row r="2" spans="1:6" x14ac:dyDescent="0.25">
      <c r="A2" s="1851"/>
      <c r="B2" s="1852"/>
      <c r="C2" s="1899" t="s">
        <v>2000</v>
      </c>
      <c r="D2" s="1851"/>
      <c r="E2" s="1851"/>
      <c r="F2" s="1851"/>
    </row>
    <row r="3" spans="1:6" ht="5.25" customHeight="1" x14ac:dyDescent="0.25">
      <c r="A3" s="1853"/>
      <c r="B3" s="1854"/>
      <c r="C3" s="1853"/>
      <c r="D3" s="1853"/>
      <c r="E3" s="1853"/>
      <c r="F3" s="1853"/>
    </row>
    <row r="4" spans="1:6" ht="18.75" customHeight="1" x14ac:dyDescent="0.25">
      <c r="A4" s="2426" t="s">
        <v>1792</v>
      </c>
      <c r="B4" s="2427"/>
      <c r="C4" s="2427"/>
      <c r="D4" s="2427"/>
      <c r="E4" s="2427"/>
      <c r="F4" s="2428"/>
    </row>
    <row r="5" spans="1:6" x14ac:dyDescent="0.25">
      <c r="A5" s="2429"/>
      <c r="B5" s="2430"/>
      <c r="C5" s="2430"/>
      <c r="D5" s="2430"/>
      <c r="E5" s="2430"/>
      <c r="F5" s="2431"/>
    </row>
    <row r="6" spans="1:6" ht="18.75" x14ac:dyDescent="0.25">
      <c r="A6" s="1855" t="s">
        <v>1793</v>
      </c>
      <c r="B6" s="1856"/>
      <c r="C6" s="1857"/>
      <c r="D6" s="1857"/>
      <c r="E6" s="1857"/>
      <c r="F6" s="1858"/>
    </row>
    <row r="7" spans="1:6" ht="47.25" customHeight="1" x14ac:dyDescent="0.25">
      <c r="A7" s="2432" t="s">
        <v>1982</v>
      </c>
      <c r="B7" s="2433"/>
      <c r="C7" s="2433"/>
      <c r="D7" s="2433"/>
      <c r="E7" s="2433"/>
      <c r="F7" s="2434"/>
    </row>
    <row r="8" spans="1:6" ht="20.25" customHeight="1" x14ac:dyDescent="0.25">
      <c r="A8" s="1888" t="s">
        <v>1984</v>
      </c>
      <c r="B8" s="1889"/>
      <c r="C8" s="1889"/>
      <c r="D8" s="1889"/>
      <c r="E8" s="1859"/>
      <c r="F8" s="1860"/>
    </row>
    <row r="9" spans="1:6" ht="18" customHeight="1" x14ac:dyDescent="0.25">
      <c r="A9" s="1861" t="s">
        <v>1981</v>
      </c>
      <c r="B9" s="1863"/>
      <c r="C9" s="1863"/>
      <c r="D9" s="1863"/>
      <c r="E9" s="1859"/>
      <c r="F9" s="1860"/>
    </row>
    <row r="10" spans="1:6" ht="15.75" customHeight="1" x14ac:dyDescent="0.25">
      <c r="A10" s="2435" t="s">
        <v>1978</v>
      </c>
      <c r="B10" s="2436"/>
      <c r="C10" s="2436"/>
      <c r="D10" s="2436"/>
      <c r="E10" s="2436"/>
      <c r="F10" s="2437"/>
    </row>
    <row r="11" spans="1:6" ht="33" customHeight="1" x14ac:dyDescent="0.25">
      <c r="A11" s="2432" t="s">
        <v>1983</v>
      </c>
      <c r="B11" s="2433"/>
      <c r="C11" s="2433"/>
      <c r="D11" s="2433"/>
      <c r="E11" s="2433"/>
      <c r="F11" s="2434"/>
    </row>
    <row r="12" spans="1:6" ht="15" customHeight="1" x14ac:dyDescent="0.25">
      <c r="A12" s="1861" t="s">
        <v>1979</v>
      </c>
      <c r="B12" s="1862"/>
      <c r="C12" s="1863"/>
      <c r="D12" s="1863"/>
      <c r="E12" s="1863"/>
      <c r="F12" s="1864"/>
    </row>
    <row r="13" spans="1:6" ht="17.25" customHeight="1" x14ac:dyDescent="0.25">
      <c r="A13" s="2432" t="s">
        <v>1980</v>
      </c>
      <c r="B13" s="2433"/>
      <c r="C13" s="2433"/>
      <c r="D13" s="2433"/>
      <c r="E13" s="2433"/>
      <c r="F13" s="2434"/>
    </row>
    <row r="14" spans="1:6" ht="15" customHeight="1" x14ac:dyDescent="0.25">
      <c r="A14" s="1861" t="s">
        <v>1797</v>
      </c>
      <c r="B14" s="1862"/>
      <c r="C14" s="1863"/>
      <c r="D14" s="1863"/>
      <c r="E14" s="1863"/>
      <c r="F14" s="1864"/>
    </row>
    <row r="15" spans="1:6" ht="32.25" customHeight="1" x14ac:dyDescent="0.25">
      <c r="A15" s="242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4"/>
      <c r="C15" s="2424"/>
      <c r="D15" s="2424"/>
      <c r="E15" s="2424"/>
      <c r="F15" s="2425"/>
    </row>
    <row r="16" spans="1:6" ht="61.5" customHeight="1" x14ac:dyDescent="0.25">
      <c r="A16" s="1865" t="s">
        <v>1798</v>
      </c>
      <c r="B16" s="1866" t="s">
        <v>1799</v>
      </c>
      <c r="C16" s="1865" t="s">
        <v>1800</v>
      </c>
      <c r="D16" s="1867" t="s">
        <v>1801</v>
      </c>
      <c r="E16" s="1867" t="s">
        <v>1802</v>
      </c>
      <c r="F16" s="1867" t="s">
        <v>1803</v>
      </c>
    </row>
    <row r="17" spans="1:7" x14ac:dyDescent="0.25">
      <c r="A17" s="1868" t="s">
        <v>1805</v>
      </c>
      <c r="B17" s="1893" t="s">
        <v>1796</v>
      </c>
      <c r="C17" s="1869" t="s">
        <v>1794</v>
      </c>
      <c r="D17" s="1870">
        <v>500000</v>
      </c>
      <c r="E17" s="1870" t="str">
        <f>IF(D17&lt;25000,D17,"25,000")</f>
        <v>25,000</v>
      </c>
      <c r="F17" s="1871">
        <f>IF(D17&gt;=25000,(D17-E17),"0")</f>
        <v>475000</v>
      </c>
    </row>
    <row r="18" spans="1:7" x14ac:dyDescent="0.25">
      <c r="A18" s="2080" t="s">
        <v>2227</v>
      </c>
      <c r="B18" s="1894">
        <v>102200300</v>
      </c>
      <c r="C18" s="2079" t="s">
        <v>2133</v>
      </c>
      <c r="D18" s="1872">
        <v>4015</v>
      </c>
      <c r="E18" s="1892">
        <f t="shared" ref="E18:E81" si="0">IF(D18&lt;25000,D18,"25,000")</f>
        <v>4015</v>
      </c>
      <c r="F18" s="1892" t="str">
        <f t="shared" ref="F18:F81" si="1">IF(D18&gt;=25000,(D18-E18),"0")</f>
        <v>0</v>
      </c>
      <c r="G18" s="1873"/>
    </row>
    <row r="19" spans="1:7" x14ac:dyDescent="0.25">
      <c r="A19" s="2080" t="s">
        <v>2228</v>
      </c>
      <c r="B19" s="1894">
        <v>101000300</v>
      </c>
      <c r="C19" s="2079" t="s">
        <v>2134</v>
      </c>
      <c r="D19" s="1872">
        <v>36490</v>
      </c>
      <c r="E19" s="1892" t="str">
        <f t="shared" si="0"/>
        <v>25,000</v>
      </c>
      <c r="F19" s="1892">
        <f t="shared" si="1"/>
        <v>11490</v>
      </c>
    </row>
    <row r="20" spans="1:7" x14ac:dyDescent="0.25">
      <c r="A20" s="2080" t="s">
        <v>2229</v>
      </c>
      <c r="B20" s="1894">
        <v>102200300</v>
      </c>
      <c r="C20" s="2079" t="s">
        <v>2135</v>
      </c>
      <c r="D20" s="1872">
        <v>1725</v>
      </c>
      <c r="E20" s="1892">
        <f t="shared" si="0"/>
        <v>1725</v>
      </c>
      <c r="F20" s="1892" t="str">
        <f t="shared" si="1"/>
        <v>0</v>
      </c>
    </row>
    <row r="21" spans="1:7" x14ac:dyDescent="0.25">
      <c r="A21" s="2080" t="s">
        <v>2230</v>
      </c>
      <c r="B21" s="1894">
        <v>202540300</v>
      </c>
      <c r="C21" s="2079" t="s">
        <v>2136</v>
      </c>
      <c r="D21" s="1872">
        <v>330</v>
      </c>
      <c r="E21" s="1892">
        <f t="shared" si="0"/>
        <v>330</v>
      </c>
      <c r="F21" s="1892" t="str">
        <f t="shared" si="1"/>
        <v>0</v>
      </c>
    </row>
    <row r="22" spans="1:7" ht="30" x14ac:dyDescent="0.25">
      <c r="A22" s="2080" t="s">
        <v>2241</v>
      </c>
      <c r="B22" s="1894">
        <v>402550300</v>
      </c>
      <c r="C22" s="2079" t="s">
        <v>2137</v>
      </c>
      <c r="D22" s="1872">
        <v>23960</v>
      </c>
      <c r="E22" s="1892">
        <f t="shared" si="0"/>
        <v>23960</v>
      </c>
      <c r="F22" s="1892" t="str">
        <f t="shared" si="1"/>
        <v>0</v>
      </c>
    </row>
    <row r="23" spans="1:7" x14ac:dyDescent="0.25">
      <c r="A23" s="2080" t="s">
        <v>2230</v>
      </c>
      <c r="B23" s="1894">
        <v>202540300</v>
      </c>
      <c r="C23" s="2079" t="s">
        <v>2138</v>
      </c>
      <c r="D23" s="1872">
        <v>20628</v>
      </c>
      <c r="E23" s="1892">
        <f t="shared" si="0"/>
        <v>20628</v>
      </c>
      <c r="F23" s="1892" t="str">
        <f t="shared" si="1"/>
        <v>0</v>
      </c>
    </row>
    <row r="24" spans="1:7" x14ac:dyDescent="0.25">
      <c r="A24" s="2080" t="s">
        <v>2242</v>
      </c>
      <c r="B24" s="1894">
        <v>402550300</v>
      </c>
      <c r="C24" s="2079" t="s">
        <v>2139</v>
      </c>
      <c r="D24" s="1872">
        <v>349718</v>
      </c>
      <c r="E24" s="1892" t="str">
        <f t="shared" si="0"/>
        <v>25,000</v>
      </c>
      <c r="F24" s="1892">
        <f t="shared" si="1"/>
        <v>324718</v>
      </c>
    </row>
    <row r="25" spans="1:7" x14ac:dyDescent="0.25">
      <c r="A25" s="2080" t="s">
        <v>2230</v>
      </c>
      <c r="B25" s="1894">
        <v>202540300</v>
      </c>
      <c r="C25" s="2079" t="s">
        <v>2140</v>
      </c>
      <c r="D25" s="1872">
        <v>44655</v>
      </c>
      <c r="E25" s="1892" t="str">
        <f t="shared" si="0"/>
        <v>25,000</v>
      </c>
      <c r="F25" s="1892">
        <f t="shared" si="1"/>
        <v>19655</v>
      </c>
    </row>
    <row r="26" spans="1:7" x14ac:dyDescent="0.25">
      <c r="A26" s="2080" t="s">
        <v>2231</v>
      </c>
      <c r="B26" s="1894">
        <v>102300300</v>
      </c>
      <c r="C26" s="2079" t="s">
        <v>2141</v>
      </c>
      <c r="D26" s="1872">
        <v>465</v>
      </c>
      <c r="E26" s="1892">
        <f t="shared" si="0"/>
        <v>465</v>
      </c>
      <c r="F26" s="1892" t="str">
        <f t="shared" si="1"/>
        <v>0</v>
      </c>
    </row>
    <row r="27" spans="1:7" x14ac:dyDescent="0.25">
      <c r="A27" s="2080" t="s">
        <v>2232</v>
      </c>
      <c r="B27" s="1894">
        <v>102100300</v>
      </c>
      <c r="C27" s="2079" t="s">
        <v>2142</v>
      </c>
      <c r="D27" s="1872">
        <v>14795</v>
      </c>
      <c r="E27" s="1892">
        <f t="shared" si="0"/>
        <v>14795</v>
      </c>
      <c r="F27" s="1892" t="str">
        <f t="shared" si="1"/>
        <v>0</v>
      </c>
    </row>
    <row r="28" spans="1:7" x14ac:dyDescent="0.25">
      <c r="A28" s="2080" t="s">
        <v>2231</v>
      </c>
      <c r="B28" s="1894">
        <v>102300300</v>
      </c>
      <c r="C28" s="2079" t="s">
        <v>2142</v>
      </c>
      <c r="D28" s="1872">
        <v>4823</v>
      </c>
      <c r="E28" s="1892">
        <f t="shared" si="0"/>
        <v>4823</v>
      </c>
      <c r="F28" s="1892" t="str">
        <f t="shared" si="1"/>
        <v>0</v>
      </c>
    </row>
    <row r="29" spans="1:7" x14ac:dyDescent="0.25">
      <c r="A29" s="2080" t="s">
        <v>2230</v>
      </c>
      <c r="B29" s="1894">
        <v>202540300</v>
      </c>
      <c r="C29" s="2079" t="s">
        <v>2143</v>
      </c>
      <c r="D29" s="1872">
        <v>277247</v>
      </c>
      <c r="E29" s="1892" t="str">
        <f t="shared" si="0"/>
        <v>25,000</v>
      </c>
      <c r="F29" s="1892">
        <f t="shared" si="1"/>
        <v>252247</v>
      </c>
    </row>
    <row r="30" spans="1:7" x14ac:dyDescent="0.25">
      <c r="A30" s="2080" t="s">
        <v>2233</v>
      </c>
      <c r="B30" s="1894">
        <v>102560300</v>
      </c>
      <c r="C30" s="2079" t="s">
        <v>2144</v>
      </c>
      <c r="D30" s="1872">
        <v>5585</v>
      </c>
      <c r="E30" s="1892">
        <f t="shared" si="0"/>
        <v>5585</v>
      </c>
      <c r="F30" s="1892" t="str">
        <f t="shared" si="1"/>
        <v>0</v>
      </c>
    </row>
    <row r="31" spans="1:7" x14ac:dyDescent="0.25">
      <c r="A31" s="2080" t="s">
        <v>2234</v>
      </c>
      <c r="B31" s="1894">
        <v>802300300</v>
      </c>
      <c r="C31" s="2079" t="s">
        <v>2145</v>
      </c>
      <c r="D31" s="1872">
        <v>3500</v>
      </c>
      <c r="E31" s="1892">
        <f t="shared" si="0"/>
        <v>3500</v>
      </c>
      <c r="F31" s="1892" t="str">
        <f t="shared" si="1"/>
        <v>0</v>
      </c>
    </row>
    <row r="32" spans="1:7" x14ac:dyDescent="0.25">
      <c r="A32" s="2080" t="s">
        <v>2230</v>
      </c>
      <c r="B32" s="1894">
        <v>202540300</v>
      </c>
      <c r="C32" s="2079" t="s">
        <v>2146</v>
      </c>
      <c r="D32" s="1872">
        <v>118816</v>
      </c>
      <c r="E32" s="1892" t="str">
        <f t="shared" si="0"/>
        <v>25,000</v>
      </c>
      <c r="F32" s="1892">
        <f t="shared" si="1"/>
        <v>93816</v>
      </c>
    </row>
    <row r="33" spans="1:6" x14ac:dyDescent="0.25">
      <c r="A33" s="2080" t="s">
        <v>2230</v>
      </c>
      <c r="B33" s="1894">
        <v>202540300</v>
      </c>
      <c r="C33" s="2079" t="s">
        <v>2147</v>
      </c>
      <c r="D33" s="1872">
        <v>3500</v>
      </c>
      <c r="E33" s="1892">
        <f t="shared" si="0"/>
        <v>3500</v>
      </c>
      <c r="F33" s="1892" t="str">
        <f t="shared" si="1"/>
        <v>0</v>
      </c>
    </row>
    <row r="34" spans="1:6" x14ac:dyDescent="0.25">
      <c r="A34" s="2080" t="s">
        <v>2231</v>
      </c>
      <c r="B34" s="1894">
        <v>102300300</v>
      </c>
      <c r="C34" s="2079" t="s">
        <v>2148</v>
      </c>
      <c r="D34" s="1872">
        <v>26012</v>
      </c>
      <c r="E34" s="1892" t="str">
        <f t="shared" si="0"/>
        <v>25,000</v>
      </c>
      <c r="F34" s="1892">
        <f t="shared" si="1"/>
        <v>1012</v>
      </c>
    </row>
    <row r="35" spans="1:6" x14ac:dyDescent="0.25">
      <c r="A35" s="2080" t="s">
        <v>2230</v>
      </c>
      <c r="B35" s="1894">
        <v>202540300</v>
      </c>
      <c r="C35" s="2079" t="s">
        <v>2149</v>
      </c>
      <c r="D35" s="1872">
        <v>9534</v>
      </c>
      <c r="E35" s="1892">
        <f t="shared" si="0"/>
        <v>9534</v>
      </c>
      <c r="F35" s="1892" t="str">
        <f t="shared" si="1"/>
        <v>0</v>
      </c>
    </row>
    <row r="36" spans="1:6" x14ac:dyDescent="0.25">
      <c r="A36" s="2080" t="s">
        <v>2230</v>
      </c>
      <c r="B36" s="1894">
        <v>202540300</v>
      </c>
      <c r="C36" s="2079" t="s">
        <v>2150</v>
      </c>
      <c r="D36" s="1872">
        <v>1026</v>
      </c>
      <c r="E36" s="1892">
        <f t="shared" si="0"/>
        <v>1026</v>
      </c>
      <c r="F36" s="1892" t="str">
        <f t="shared" si="1"/>
        <v>0</v>
      </c>
    </row>
    <row r="37" spans="1:6" x14ac:dyDescent="0.25">
      <c r="A37" s="2080" t="s">
        <v>2231</v>
      </c>
      <c r="B37" s="1894">
        <v>102300300</v>
      </c>
      <c r="C37" s="2079" t="s">
        <v>2151</v>
      </c>
      <c r="D37" s="1872">
        <v>1250</v>
      </c>
      <c r="E37" s="1892">
        <f t="shared" si="0"/>
        <v>1250</v>
      </c>
      <c r="F37" s="1892" t="str">
        <f t="shared" si="1"/>
        <v>0</v>
      </c>
    </row>
    <row r="38" spans="1:6" x14ac:dyDescent="0.25">
      <c r="A38" s="2080" t="s">
        <v>2229</v>
      </c>
      <c r="B38" s="1894">
        <v>102200300</v>
      </c>
      <c r="C38" s="2079" t="s">
        <v>2152</v>
      </c>
      <c r="D38" s="1872">
        <v>1037</v>
      </c>
      <c r="E38" s="1892">
        <f t="shared" si="0"/>
        <v>1037</v>
      </c>
      <c r="F38" s="1892" t="str">
        <f t="shared" si="1"/>
        <v>0</v>
      </c>
    </row>
    <row r="39" spans="1:6" x14ac:dyDescent="0.25">
      <c r="A39" s="2080" t="s">
        <v>2230</v>
      </c>
      <c r="B39" s="1895">
        <v>202540300</v>
      </c>
      <c r="C39" s="2079" t="s">
        <v>2153</v>
      </c>
      <c r="D39" s="1872">
        <v>19693</v>
      </c>
      <c r="E39" s="1892">
        <f t="shared" si="0"/>
        <v>19693</v>
      </c>
      <c r="F39" s="1892" t="str">
        <f t="shared" si="1"/>
        <v>0</v>
      </c>
    </row>
    <row r="40" spans="1:6" x14ac:dyDescent="0.25">
      <c r="A40" s="2080" t="s">
        <v>2231</v>
      </c>
      <c r="B40" s="1895">
        <v>102300300</v>
      </c>
      <c r="C40" s="2079" t="s">
        <v>2154</v>
      </c>
      <c r="D40" s="1872">
        <v>3230</v>
      </c>
      <c r="E40" s="1892">
        <f t="shared" si="0"/>
        <v>3230</v>
      </c>
      <c r="F40" s="1892" t="str">
        <f t="shared" si="1"/>
        <v>0</v>
      </c>
    </row>
    <row r="41" spans="1:6" x14ac:dyDescent="0.25">
      <c r="A41" s="2080" t="s">
        <v>2230</v>
      </c>
      <c r="B41" s="1895">
        <v>202540300</v>
      </c>
      <c r="C41" s="2079" t="s">
        <v>2155</v>
      </c>
      <c r="D41" s="1872">
        <v>2200</v>
      </c>
      <c r="E41" s="1892">
        <f t="shared" si="0"/>
        <v>2200</v>
      </c>
      <c r="F41" s="1892" t="str">
        <f t="shared" si="1"/>
        <v>0</v>
      </c>
    </row>
    <row r="42" spans="1:6" x14ac:dyDescent="0.25">
      <c r="A42" s="2080" t="s">
        <v>2242</v>
      </c>
      <c r="B42" s="1895">
        <v>402550300</v>
      </c>
      <c r="C42" s="2079" t="s">
        <v>2156</v>
      </c>
      <c r="D42" s="1872">
        <v>1742</v>
      </c>
      <c r="E42" s="1892">
        <f t="shared" si="0"/>
        <v>1742</v>
      </c>
      <c r="F42" s="1892" t="str">
        <f t="shared" si="1"/>
        <v>0</v>
      </c>
    </row>
    <row r="43" spans="1:6" x14ac:dyDescent="0.25">
      <c r="A43" s="2080" t="s">
        <v>2230</v>
      </c>
      <c r="B43" s="1895">
        <v>202540300</v>
      </c>
      <c r="C43" s="2079" t="s">
        <v>2157</v>
      </c>
      <c r="D43" s="1872">
        <v>221</v>
      </c>
      <c r="E43" s="1892">
        <f t="shared" si="0"/>
        <v>221</v>
      </c>
      <c r="F43" s="1892" t="str">
        <f t="shared" si="1"/>
        <v>0</v>
      </c>
    </row>
    <row r="44" spans="1:6" x14ac:dyDescent="0.25">
      <c r="A44" s="2080" t="s">
        <v>2230</v>
      </c>
      <c r="B44" s="1895">
        <v>202540300</v>
      </c>
      <c r="C44" s="2079" t="s">
        <v>2158</v>
      </c>
      <c r="D44" s="1872">
        <v>10477</v>
      </c>
      <c r="E44" s="1892">
        <f t="shared" si="0"/>
        <v>10477</v>
      </c>
      <c r="F44" s="1892" t="str">
        <f t="shared" si="1"/>
        <v>0</v>
      </c>
    </row>
    <row r="45" spans="1:6" x14ac:dyDescent="0.25">
      <c r="A45" s="2080" t="s">
        <v>2230</v>
      </c>
      <c r="B45" s="1895">
        <v>202540300</v>
      </c>
      <c r="C45" s="2079" t="s">
        <v>2159</v>
      </c>
      <c r="D45" s="1872">
        <v>4697</v>
      </c>
      <c r="E45" s="1892">
        <f t="shared" si="0"/>
        <v>4697</v>
      </c>
      <c r="F45" s="1892" t="str">
        <f t="shared" si="1"/>
        <v>0</v>
      </c>
    </row>
    <row r="46" spans="1:6" x14ac:dyDescent="0.25">
      <c r="A46" s="2080" t="s">
        <v>2235</v>
      </c>
      <c r="B46" s="1895">
        <v>802300300</v>
      </c>
      <c r="C46" s="2079" t="s">
        <v>2160</v>
      </c>
      <c r="D46" s="1872">
        <v>204350</v>
      </c>
      <c r="E46" s="1892" t="str">
        <f t="shared" si="0"/>
        <v>25,000</v>
      </c>
      <c r="F46" s="1892">
        <f t="shared" si="1"/>
        <v>179350</v>
      </c>
    </row>
    <row r="47" spans="1:6" x14ac:dyDescent="0.25">
      <c r="A47" s="2080" t="s">
        <v>2227</v>
      </c>
      <c r="B47" s="1895">
        <v>102200300</v>
      </c>
      <c r="C47" s="2079" t="s">
        <v>2161</v>
      </c>
      <c r="D47" s="1872">
        <v>4017</v>
      </c>
      <c r="E47" s="1892">
        <f t="shared" si="0"/>
        <v>4017</v>
      </c>
      <c r="F47" s="1892" t="str">
        <f t="shared" si="1"/>
        <v>0</v>
      </c>
    </row>
    <row r="48" spans="1:6" x14ac:dyDescent="0.25">
      <c r="A48" s="2080" t="s">
        <v>2231</v>
      </c>
      <c r="B48" s="1895">
        <v>102300300</v>
      </c>
      <c r="C48" s="2079" t="s">
        <v>2162</v>
      </c>
      <c r="D48" s="1872">
        <v>3700</v>
      </c>
      <c r="E48" s="1892">
        <f t="shared" si="0"/>
        <v>3700</v>
      </c>
      <c r="F48" s="1892" t="str">
        <f t="shared" si="1"/>
        <v>0</v>
      </c>
    </row>
    <row r="49" spans="1:6" x14ac:dyDescent="0.25">
      <c r="A49" s="2080" t="s">
        <v>2231</v>
      </c>
      <c r="B49" s="1895">
        <v>102300300</v>
      </c>
      <c r="C49" s="2079" t="s">
        <v>2163</v>
      </c>
      <c r="D49" s="1872">
        <v>4489</v>
      </c>
      <c r="E49" s="1892">
        <f t="shared" si="0"/>
        <v>4489</v>
      </c>
      <c r="F49" s="1892" t="str">
        <f t="shared" si="1"/>
        <v>0</v>
      </c>
    </row>
    <row r="50" spans="1:6" x14ac:dyDescent="0.25">
      <c r="A50" s="2080" t="s">
        <v>2227</v>
      </c>
      <c r="B50" s="1895">
        <v>102200300</v>
      </c>
      <c r="C50" s="2079" t="s">
        <v>2164</v>
      </c>
      <c r="D50" s="1872">
        <v>2273</v>
      </c>
      <c r="E50" s="1892">
        <f t="shared" si="0"/>
        <v>2273</v>
      </c>
      <c r="F50" s="1892" t="str">
        <f t="shared" si="1"/>
        <v>0</v>
      </c>
    </row>
    <row r="51" spans="1:6" x14ac:dyDescent="0.25">
      <c r="A51" s="2080" t="s">
        <v>2231</v>
      </c>
      <c r="B51" s="1895">
        <v>102300300</v>
      </c>
      <c r="C51" s="2079" t="s">
        <v>2165</v>
      </c>
      <c r="D51" s="1872">
        <v>4675</v>
      </c>
      <c r="E51" s="1892">
        <f t="shared" si="0"/>
        <v>4675</v>
      </c>
      <c r="F51" s="1892" t="str">
        <f t="shared" si="1"/>
        <v>0</v>
      </c>
    </row>
    <row r="52" spans="1:6" x14ac:dyDescent="0.25">
      <c r="A52" s="2080" t="s">
        <v>2236</v>
      </c>
      <c r="B52" s="1895">
        <v>102100300</v>
      </c>
      <c r="C52" s="2079" t="s">
        <v>2165</v>
      </c>
      <c r="D52" s="1872">
        <v>8550</v>
      </c>
      <c r="E52" s="1892">
        <f t="shared" si="0"/>
        <v>8550</v>
      </c>
      <c r="F52" s="1892" t="str">
        <f t="shared" si="1"/>
        <v>0</v>
      </c>
    </row>
    <row r="53" spans="1:6" x14ac:dyDescent="0.25">
      <c r="A53" s="2080" t="s">
        <v>2231</v>
      </c>
      <c r="B53" s="1895">
        <v>102300300</v>
      </c>
      <c r="C53" s="2079" t="s">
        <v>2166</v>
      </c>
      <c r="D53" s="1872">
        <v>700</v>
      </c>
      <c r="E53" s="1892">
        <f t="shared" si="0"/>
        <v>700</v>
      </c>
      <c r="F53" s="1892" t="str">
        <f t="shared" si="1"/>
        <v>0</v>
      </c>
    </row>
    <row r="54" spans="1:6" x14ac:dyDescent="0.25">
      <c r="A54" s="2080" t="s">
        <v>2231</v>
      </c>
      <c r="B54" s="1895">
        <v>102300300</v>
      </c>
      <c r="C54" s="2079" t="s">
        <v>2167</v>
      </c>
      <c r="D54" s="1872">
        <v>547</v>
      </c>
      <c r="E54" s="1892">
        <f t="shared" si="0"/>
        <v>547</v>
      </c>
      <c r="F54" s="1892" t="str">
        <f t="shared" si="1"/>
        <v>0</v>
      </c>
    </row>
    <row r="55" spans="1:6" x14ac:dyDescent="0.25">
      <c r="A55" s="2080" t="s">
        <v>2227</v>
      </c>
      <c r="B55" s="1895">
        <v>102200300</v>
      </c>
      <c r="C55" s="2079" t="s">
        <v>2168</v>
      </c>
      <c r="D55" s="1872">
        <v>8200</v>
      </c>
      <c r="E55" s="1892">
        <f t="shared" si="0"/>
        <v>8200</v>
      </c>
      <c r="F55" s="1892" t="str">
        <f t="shared" si="1"/>
        <v>0</v>
      </c>
    </row>
    <row r="56" spans="1:6" x14ac:dyDescent="0.25">
      <c r="A56" s="2080" t="s">
        <v>2227</v>
      </c>
      <c r="B56" s="1895">
        <v>102200300</v>
      </c>
      <c r="C56" s="2079" t="s">
        <v>2169</v>
      </c>
      <c r="D56" s="1872">
        <v>52123</v>
      </c>
      <c r="E56" s="1892" t="str">
        <f t="shared" si="0"/>
        <v>25,000</v>
      </c>
      <c r="F56" s="1892">
        <f t="shared" si="1"/>
        <v>27123</v>
      </c>
    </row>
    <row r="57" spans="1:6" x14ac:dyDescent="0.25">
      <c r="A57" s="2080" t="s">
        <v>2231</v>
      </c>
      <c r="B57" s="1895">
        <v>102300300</v>
      </c>
      <c r="C57" s="2079" t="s">
        <v>2170</v>
      </c>
      <c r="D57" s="1872">
        <v>28018</v>
      </c>
      <c r="E57" s="1892" t="str">
        <f t="shared" si="0"/>
        <v>25,000</v>
      </c>
      <c r="F57" s="1892">
        <f t="shared" si="1"/>
        <v>3018</v>
      </c>
    </row>
    <row r="58" spans="1:6" x14ac:dyDescent="0.25">
      <c r="A58" s="2080" t="s">
        <v>2228</v>
      </c>
      <c r="B58" s="1895">
        <v>101000300</v>
      </c>
      <c r="C58" s="2079" t="s">
        <v>2171</v>
      </c>
      <c r="D58" s="1872">
        <v>18200</v>
      </c>
      <c r="E58" s="1892">
        <f t="shared" si="0"/>
        <v>18200</v>
      </c>
      <c r="F58" s="1892" t="str">
        <f t="shared" si="1"/>
        <v>0</v>
      </c>
    </row>
    <row r="59" spans="1:6" x14ac:dyDescent="0.25">
      <c r="A59" s="2080" t="s">
        <v>2228</v>
      </c>
      <c r="B59" s="1895">
        <v>101000300</v>
      </c>
      <c r="C59" s="2079" t="s">
        <v>2172</v>
      </c>
      <c r="D59" s="1872">
        <v>9996</v>
      </c>
      <c r="E59" s="1892">
        <f t="shared" si="0"/>
        <v>9996</v>
      </c>
      <c r="F59" s="1892" t="str">
        <f t="shared" si="1"/>
        <v>0</v>
      </c>
    </row>
    <row r="60" spans="1:6" x14ac:dyDescent="0.25">
      <c r="A60" s="2080" t="s">
        <v>2227</v>
      </c>
      <c r="B60" s="1895">
        <v>102200300</v>
      </c>
      <c r="C60" s="2079" t="s">
        <v>2173</v>
      </c>
      <c r="D60" s="1872">
        <v>4530</v>
      </c>
      <c r="E60" s="1892">
        <f t="shared" si="0"/>
        <v>4530</v>
      </c>
      <c r="F60" s="1892" t="str">
        <f t="shared" si="1"/>
        <v>0</v>
      </c>
    </row>
    <row r="61" spans="1:6" x14ac:dyDescent="0.25">
      <c r="A61" s="2080" t="s">
        <v>2230</v>
      </c>
      <c r="B61" s="1895">
        <v>202540300</v>
      </c>
      <c r="C61" s="2079" t="s">
        <v>2174</v>
      </c>
      <c r="D61" s="1872">
        <v>2050</v>
      </c>
      <c r="E61" s="1892">
        <f t="shared" si="0"/>
        <v>2050</v>
      </c>
      <c r="F61" s="1892" t="str">
        <f t="shared" si="1"/>
        <v>0</v>
      </c>
    </row>
    <row r="62" spans="1:6" x14ac:dyDescent="0.25">
      <c r="A62" s="2080" t="s">
        <v>2230</v>
      </c>
      <c r="B62" s="1895">
        <v>202540300</v>
      </c>
      <c r="C62" s="2079" t="s">
        <v>2175</v>
      </c>
      <c r="D62" s="1872">
        <v>1712</v>
      </c>
      <c r="E62" s="1892">
        <f t="shared" si="0"/>
        <v>1712</v>
      </c>
      <c r="F62" s="1892" t="str">
        <f t="shared" si="1"/>
        <v>0</v>
      </c>
    </row>
    <row r="63" spans="1:6" x14ac:dyDescent="0.25">
      <c r="A63" s="2080" t="s">
        <v>2237</v>
      </c>
      <c r="B63" s="1895">
        <v>102510300</v>
      </c>
      <c r="C63" s="2079" t="s">
        <v>2176</v>
      </c>
      <c r="D63" s="1872">
        <v>7388</v>
      </c>
      <c r="E63" s="1892">
        <f t="shared" si="0"/>
        <v>7388</v>
      </c>
      <c r="F63" s="1892" t="str">
        <f t="shared" si="1"/>
        <v>0</v>
      </c>
    </row>
    <row r="64" spans="1:6" x14ac:dyDescent="0.25">
      <c r="A64" s="2080" t="s">
        <v>2242</v>
      </c>
      <c r="B64" s="1895">
        <v>402550300</v>
      </c>
      <c r="C64" s="2079" t="s">
        <v>2177</v>
      </c>
      <c r="D64" s="1872">
        <v>3870</v>
      </c>
      <c r="E64" s="1892">
        <f t="shared" si="0"/>
        <v>3870</v>
      </c>
      <c r="F64" s="1892" t="str">
        <f t="shared" si="1"/>
        <v>0</v>
      </c>
    </row>
    <row r="65" spans="1:6" x14ac:dyDescent="0.25">
      <c r="A65" s="2080" t="s">
        <v>2227</v>
      </c>
      <c r="B65" s="1895">
        <v>102200300</v>
      </c>
      <c r="C65" s="2079" t="s">
        <v>2178</v>
      </c>
      <c r="D65" s="1872">
        <v>8542</v>
      </c>
      <c r="E65" s="1892">
        <f t="shared" si="0"/>
        <v>8542</v>
      </c>
      <c r="F65" s="1892" t="str">
        <f t="shared" si="1"/>
        <v>0</v>
      </c>
    </row>
    <row r="66" spans="1:6" x14ac:dyDescent="0.25">
      <c r="A66" s="2080" t="s">
        <v>2230</v>
      </c>
      <c r="B66" s="1895">
        <v>202540300</v>
      </c>
      <c r="C66" s="2079" t="s">
        <v>2179</v>
      </c>
      <c r="D66" s="1872">
        <v>2852</v>
      </c>
      <c r="E66" s="1892">
        <f t="shared" si="0"/>
        <v>2852</v>
      </c>
      <c r="F66" s="1892" t="str">
        <f t="shared" si="1"/>
        <v>0</v>
      </c>
    </row>
    <row r="67" spans="1:6" x14ac:dyDescent="0.25">
      <c r="A67" s="2080" t="s">
        <v>2227</v>
      </c>
      <c r="B67" s="1895">
        <v>102200300</v>
      </c>
      <c r="C67" s="2079" t="s">
        <v>2180</v>
      </c>
      <c r="D67" s="1872">
        <v>6958</v>
      </c>
      <c r="E67" s="1892">
        <f t="shared" si="0"/>
        <v>6958</v>
      </c>
      <c r="F67" s="1892" t="str">
        <f t="shared" si="1"/>
        <v>0</v>
      </c>
    </row>
    <row r="68" spans="1:6" x14ac:dyDescent="0.25">
      <c r="A68" s="2080" t="s">
        <v>2230</v>
      </c>
      <c r="B68" s="1895">
        <v>202540300</v>
      </c>
      <c r="C68" s="2079" t="s">
        <v>2181</v>
      </c>
      <c r="D68" s="1872">
        <v>3009</v>
      </c>
      <c r="E68" s="1892">
        <f t="shared" si="0"/>
        <v>3009</v>
      </c>
      <c r="F68" s="1892" t="str">
        <f t="shared" si="1"/>
        <v>0</v>
      </c>
    </row>
    <row r="69" spans="1:6" x14ac:dyDescent="0.25">
      <c r="A69" s="2080" t="s">
        <v>2238</v>
      </c>
      <c r="B69" s="1895">
        <v>102100300</v>
      </c>
      <c r="C69" s="2079" t="s">
        <v>2182</v>
      </c>
      <c r="D69" s="1872">
        <v>1995</v>
      </c>
      <c r="E69" s="1892">
        <f t="shared" si="0"/>
        <v>1995</v>
      </c>
      <c r="F69" s="1892" t="str">
        <f t="shared" si="1"/>
        <v>0</v>
      </c>
    </row>
    <row r="70" spans="1:6" x14ac:dyDescent="0.25">
      <c r="A70" s="2080" t="s">
        <v>2228</v>
      </c>
      <c r="B70" s="1895">
        <v>101000300</v>
      </c>
      <c r="C70" s="2079" t="s">
        <v>2183</v>
      </c>
      <c r="D70" s="1872">
        <v>46342</v>
      </c>
      <c r="E70" s="1892" t="str">
        <f t="shared" si="0"/>
        <v>25,000</v>
      </c>
      <c r="F70" s="1892">
        <f t="shared" si="1"/>
        <v>21342</v>
      </c>
    </row>
    <row r="71" spans="1:6" x14ac:dyDescent="0.25">
      <c r="A71" s="2080" t="s">
        <v>2237</v>
      </c>
      <c r="B71" s="1895">
        <v>102510300</v>
      </c>
      <c r="C71" s="2079" t="s">
        <v>2184</v>
      </c>
      <c r="D71" s="1872">
        <v>11763</v>
      </c>
      <c r="E71" s="1892">
        <f t="shared" si="0"/>
        <v>11763</v>
      </c>
      <c r="F71" s="1892" t="str">
        <f t="shared" si="1"/>
        <v>0</v>
      </c>
    </row>
    <row r="72" spans="1:6" x14ac:dyDescent="0.25">
      <c r="A72" s="2080" t="s">
        <v>2242</v>
      </c>
      <c r="B72" s="1895">
        <v>402550300</v>
      </c>
      <c r="C72" s="2079" t="s">
        <v>2185</v>
      </c>
      <c r="D72" s="1872">
        <v>173590</v>
      </c>
      <c r="E72" s="1892" t="str">
        <f t="shared" si="0"/>
        <v>25,000</v>
      </c>
      <c r="F72" s="1892">
        <f t="shared" si="1"/>
        <v>148590</v>
      </c>
    </row>
    <row r="73" spans="1:6" x14ac:dyDescent="0.25">
      <c r="A73" s="2080" t="s">
        <v>2238</v>
      </c>
      <c r="B73" s="1895">
        <v>102100300</v>
      </c>
      <c r="C73" s="2079" t="s">
        <v>2186</v>
      </c>
      <c r="D73" s="1872">
        <v>3828</v>
      </c>
      <c r="E73" s="1892">
        <f t="shared" si="0"/>
        <v>3828</v>
      </c>
      <c r="F73" s="1892" t="str">
        <f t="shared" si="1"/>
        <v>0</v>
      </c>
    </row>
    <row r="74" spans="1:6" x14ac:dyDescent="0.25">
      <c r="A74" s="2080" t="s">
        <v>2230</v>
      </c>
      <c r="B74" s="1895">
        <v>202540300</v>
      </c>
      <c r="C74" s="2079" t="s">
        <v>2187</v>
      </c>
      <c r="D74" s="1872">
        <v>36622</v>
      </c>
      <c r="E74" s="1892" t="str">
        <f t="shared" si="0"/>
        <v>25,000</v>
      </c>
      <c r="F74" s="1892">
        <f t="shared" si="1"/>
        <v>11622</v>
      </c>
    </row>
    <row r="75" spans="1:6" x14ac:dyDescent="0.25">
      <c r="A75" s="2080" t="s">
        <v>2227</v>
      </c>
      <c r="B75" s="1895">
        <v>102200300</v>
      </c>
      <c r="C75" s="2079" t="s">
        <v>2187</v>
      </c>
      <c r="D75" s="1872">
        <v>7237</v>
      </c>
      <c r="E75" s="1892">
        <f t="shared" si="0"/>
        <v>7237</v>
      </c>
      <c r="F75" s="1892" t="str">
        <f t="shared" si="1"/>
        <v>0</v>
      </c>
    </row>
    <row r="76" spans="1:6" x14ac:dyDescent="0.25">
      <c r="A76" s="2080" t="s">
        <v>2230</v>
      </c>
      <c r="B76" s="1895">
        <v>202540300</v>
      </c>
      <c r="C76" s="2079" t="s">
        <v>2189</v>
      </c>
      <c r="D76" s="1872">
        <v>539</v>
      </c>
      <c r="E76" s="1892">
        <f t="shared" si="0"/>
        <v>539</v>
      </c>
      <c r="F76" s="1892" t="str">
        <f t="shared" si="1"/>
        <v>0</v>
      </c>
    </row>
    <row r="77" spans="1:6" x14ac:dyDescent="0.25">
      <c r="A77" s="2080" t="s">
        <v>2239</v>
      </c>
      <c r="B77" s="1895">
        <v>802300300</v>
      </c>
      <c r="C77" s="2079" t="s">
        <v>2190</v>
      </c>
      <c r="D77" s="1872">
        <v>672</v>
      </c>
      <c r="E77" s="1892">
        <f t="shared" si="0"/>
        <v>672</v>
      </c>
      <c r="F77" s="1892" t="str">
        <f t="shared" si="1"/>
        <v>0</v>
      </c>
    </row>
    <row r="78" spans="1:6" x14ac:dyDescent="0.25">
      <c r="A78" s="2080" t="s">
        <v>2227</v>
      </c>
      <c r="B78" s="1895">
        <v>102200300</v>
      </c>
      <c r="C78" s="2079" t="s">
        <v>2188</v>
      </c>
      <c r="D78" s="1872">
        <v>3950</v>
      </c>
      <c r="E78" s="1892">
        <f t="shared" si="0"/>
        <v>3950</v>
      </c>
      <c r="F78" s="1892" t="str">
        <f t="shared" si="1"/>
        <v>0</v>
      </c>
    </row>
    <row r="79" spans="1:6" x14ac:dyDescent="0.25">
      <c r="A79" s="2080" t="s">
        <v>2242</v>
      </c>
      <c r="B79" s="1895">
        <v>402550300</v>
      </c>
      <c r="C79" s="2079" t="s">
        <v>2191</v>
      </c>
      <c r="D79" s="1872">
        <v>71939</v>
      </c>
      <c r="E79" s="1892" t="str">
        <f t="shared" si="0"/>
        <v>25,000</v>
      </c>
      <c r="F79" s="1892">
        <f t="shared" si="1"/>
        <v>46939</v>
      </c>
    </row>
    <row r="80" spans="1:6" x14ac:dyDescent="0.25">
      <c r="A80" s="2080" t="s">
        <v>2233</v>
      </c>
      <c r="B80" s="1895">
        <v>102560300</v>
      </c>
      <c r="C80" s="2079" t="s">
        <v>2192</v>
      </c>
      <c r="D80" s="1872">
        <v>43412</v>
      </c>
      <c r="E80" s="1892" t="str">
        <f t="shared" si="0"/>
        <v>25,000</v>
      </c>
      <c r="F80" s="1892">
        <f t="shared" si="1"/>
        <v>18412</v>
      </c>
    </row>
    <row r="81" spans="1:6" x14ac:dyDescent="0.25">
      <c r="A81" s="2080" t="s">
        <v>2234</v>
      </c>
      <c r="B81" s="1895">
        <v>802300300</v>
      </c>
      <c r="C81" s="2079" t="s">
        <v>2060</v>
      </c>
      <c r="D81" s="1872">
        <v>26500</v>
      </c>
      <c r="E81" s="1892" t="str">
        <f t="shared" si="0"/>
        <v>25,000</v>
      </c>
      <c r="F81" s="1892">
        <f t="shared" si="1"/>
        <v>1500</v>
      </c>
    </row>
    <row r="82" spans="1:6" x14ac:dyDescent="0.25">
      <c r="A82" s="2080" t="s">
        <v>2230</v>
      </c>
      <c r="B82" s="1895">
        <v>202540300</v>
      </c>
      <c r="C82" s="2079" t="s">
        <v>2193</v>
      </c>
      <c r="D82" s="1872">
        <v>11572</v>
      </c>
      <c r="E82" s="1892">
        <f t="shared" ref="E82:E141" si="2">IF(D82&lt;25000,D82,"25,000")</f>
        <v>11572</v>
      </c>
      <c r="F82" s="1892" t="str">
        <f t="shared" ref="F82:F141" si="3">IF(D82&gt;=25000,(D82-E82),"0")</f>
        <v>0</v>
      </c>
    </row>
    <row r="83" spans="1:6" x14ac:dyDescent="0.25">
      <c r="A83" s="2080" t="s">
        <v>2229</v>
      </c>
      <c r="B83" s="1895">
        <v>102200300</v>
      </c>
      <c r="C83" s="2079" t="s">
        <v>2194</v>
      </c>
      <c r="D83" s="1872">
        <v>2000</v>
      </c>
      <c r="E83" s="1892">
        <f t="shared" si="2"/>
        <v>2000</v>
      </c>
      <c r="F83" s="1892" t="str">
        <f t="shared" si="3"/>
        <v>0</v>
      </c>
    </row>
    <row r="84" spans="1:6" x14ac:dyDescent="0.25">
      <c r="A84" s="2080" t="s">
        <v>2231</v>
      </c>
      <c r="B84" s="1895">
        <v>102300300</v>
      </c>
      <c r="C84" s="2079" t="s">
        <v>2195</v>
      </c>
      <c r="D84" s="1872">
        <v>25101</v>
      </c>
      <c r="E84" s="1892" t="str">
        <f t="shared" si="2"/>
        <v>25,000</v>
      </c>
      <c r="F84" s="1892">
        <f t="shared" si="3"/>
        <v>101</v>
      </c>
    </row>
    <row r="85" spans="1:6" x14ac:dyDescent="0.25">
      <c r="A85" s="2080" t="s">
        <v>2230</v>
      </c>
      <c r="B85" s="1895">
        <v>202540300</v>
      </c>
      <c r="C85" s="2079" t="s">
        <v>2196</v>
      </c>
      <c r="D85" s="1872">
        <v>50602</v>
      </c>
      <c r="E85" s="1892" t="str">
        <f t="shared" si="2"/>
        <v>25,000</v>
      </c>
      <c r="F85" s="1892">
        <f t="shared" si="3"/>
        <v>25602</v>
      </c>
    </row>
    <row r="86" spans="1:6" x14ac:dyDescent="0.25">
      <c r="A86" s="2080" t="s">
        <v>2238</v>
      </c>
      <c r="B86" s="1895">
        <v>102100300</v>
      </c>
      <c r="C86" s="2079" t="s">
        <v>2197</v>
      </c>
      <c r="D86" s="1872">
        <v>48383</v>
      </c>
      <c r="E86" s="1892" t="str">
        <f t="shared" si="2"/>
        <v>25,000</v>
      </c>
      <c r="F86" s="1892">
        <f t="shared" si="3"/>
        <v>23383</v>
      </c>
    </row>
    <row r="87" spans="1:6" x14ac:dyDescent="0.25">
      <c r="A87" s="2080" t="s">
        <v>2227</v>
      </c>
      <c r="B87" s="1895">
        <v>102200300</v>
      </c>
      <c r="C87" s="2079" t="s">
        <v>2198</v>
      </c>
      <c r="D87" s="1872">
        <v>2400</v>
      </c>
      <c r="E87" s="1892">
        <f t="shared" si="2"/>
        <v>2400</v>
      </c>
      <c r="F87" s="1892" t="str">
        <f t="shared" si="3"/>
        <v>0</v>
      </c>
    </row>
    <row r="88" spans="1:6" x14ac:dyDescent="0.25">
      <c r="A88" s="2080" t="s">
        <v>2233</v>
      </c>
      <c r="B88" s="1895">
        <v>102560300</v>
      </c>
      <c r="C88" s="2079" t="s">
        <v>2199</v>
      </c>
      <c r="D88" s="1872">
        <v>450907</v>
      </c>
      <c r="E88" s="1892" t="str">
        <f t="shared" si="2"/>
        <v>25,000</v>
      </c>
      <c r="F88" s="1892">
        <f t="shared" si="3"/>
        <v>425907</v>
      </c>
    </row>
    <row r="89" spans="1:6" x14ac:dyDescent="0.25">
      <c r="A89" s="2080" t="s">
        <v>2230</v>
      </c>
      <c r="B89" s="1895">
        <v>202540300</v>
      </c>
      <c r="C89" s="2079" t="s">
        <v>2200</v>
      </c>
      <c r="D89" s="1872">
        <v>5837</v>
      </c>
      <c r="E89" s="1892">
        <f t="shared" si="2"/>
        <v>5837</v>
      </c>
      <c r="F89" s="1892" t="str">
        <f t="shared" si="3"/>
        <v>0</v>
      </c>
    </row>
    <row r="90" spans="1:6" x14ac:dyDescent="0.25">
      <c r="A90" s="2080" t="s">
        <v>2242</v>
      </c>
      <c r="B90" s="1895">
        <v>402550300</v>
      </c>
      <c r="C90" s="2079" t="s">
        <v>2201</v>
      </c>
      <c r="D90" s="1872">
        <v>8666</v>
      </c>
      <c r="E90" s="1892">
        <f t="shared" si="2"/>
        <v>8666</v>
      </c>
      <c r="F90" s="1892" t="str">
        <f t="shared" si="3"/>
        <v>0</v>
      </c>
    </row>
    <row r="91" spans="1:6" x14ac:dyDescent="0.25">
      <c r="A91" s="2080" t="s">
        <v>2230</v>
      </c>
      <c r="B91" s="1895">
        <v>202540300</v>
      </c>
      <c r="C91" s="2079" t="s">
        <v>2202</v>
      </c>
      <c r="D91" s="1872">
        <v>7678</v>
      </c>
      <c r="E91" s="1892">
        <f t="shared" si="2"/>
        <v>7678</v>
      </c>
      <c r="F91" s="1892" t="str">
        <f t="shared" si="3"/>
        <v>0</v>
      </c>
    </row>
    <row r="92" spans="1:6" x14ac:dyDescent="0.25">
      <c r="A92" s="2080" t="s">
        <v>2237</v>
      </c>
      <c r="B92" s="1895">
        <v>102510300</v>
      </c>
      <c r="C92" s="2079" t="s">
        <v>2203</v>
      </c>
      <c r="D92" s="1872">
        <v>3221</v>
      </c>
      <c r="E92" s="1892">
        <f t="shared" si="2"/>
        <v>3221</v>
      </c>
      <c r="F92" s="1892" t="str">
        <f t="shared" si="3"/>
        <v>0</v>
      </c>
    </row>
    <row r="93" spans="1:6" x14ac:dyDescent="0.25">
      <c r="A93" s="2080" t="s">
        <v>2237</v>
      </c>
      <c r="B93" s="1895">
        <v>102510300</v>
      </c>
      <c r="C93" s="2079" t="s">
        <v>2204</v>
      </c>
      <c r="D93" s="1872">
        <v>1653</v>
      </c>
      <c r="E93" s="1892">
        <f t="shared" si="2"/>
        <v>1653</v>
      </c>
      <c r="F93" s="1892" t="str">
        <f t="shared" si="3"/>
        <v>0</v>
      </c>
    </row>
    <row r="94" spans="1:6" x14ac:dyDescent="0.25">
      <c r="A94" s="2080" t="s">
        <v>2227</v>
      </c>
      <c r="B94" s="1895">
        <v>102200300</v>
      </c>
      <c r="C94" s="2079" t="s">
        <v>2205</v>
      </c>
      <c r="D94" s="1872">
        <v>32622</v>
      </c>
      <c r="E94" s="1892" t="str">
        <f t="shared" si="2"/>
        <v>25,000</v>
      </c>
      <c r="F94" s="1892">
        <f t="shared" si="3"/>
        <v>7622</v>
      </c>
    </row>
    <row r="95" spans="1:6" x14ac:dyDescent="0.25">
      <c r="A95" s="2080" t="s">
        <v>2230</v>
      </c>
      <c r="B95" s="1895">
        <v>202540300</v>
      </c>
      <c r="C95" s="2079" t="s">
        <v>2206</v>
      </c>
      <c r="D95" s="1872">
        <v>956</v>
      </c>
      <c r="E95" s="1892">
        <f t="shared" si="2"/>
        <v>956</v>
      </c>
      <c r="F95" s="1892" t="str">
        <f t="shared" si="3"/>
        <v>0</v>
      </c>
    </row>
    <row r="96" spans="1:6" x14ac:dyDescent="0.25">
      <c r="A96" s="2080" t="s">
        <v>2239</v>
      </c>
      <c r="B96" s="1895">
        <v>802300300</v>
      </c>
      <c r="C96" s="2079" t="s">
        <v>2207</v>
      </c>
      <c r="D96" s="1872">
        <v>5740</v>
      </c>
      <c r="E96" s="1892">
        <f t="shared" si="2"/>
        <v>5740</v>
      </c>
      <c r="F96" s="1892" t="str">
        <f t="shared" si="3"/>
        <v>0</v>
      </c>
    </row>
    <row r="97" spans="1:6" x14ac:dyDescent="0.25">
      <c r="A97" s="2080" t="s">
        <v>2230</v>
      </c>
      <c r="B97" s="1895">
        <v>202540300</v>
      </c>
      <c r="C97" s="2079" t="s">
        <v>2208</v>
      </c>
      <c r="D97" s="1872">
        <v>2800</v>
      </c>
      <c r="E97" s="1892">
        <f t="shared" si="2"/>
        <v>2800</v>
      </c>
      <c r="F97" s="1892" t="str">
        <f t="shared" si="3"/>
        <v>0</v>
      </c>
    </row>
    <row r="98" spans="1:6" x14ac:dyDescent="0.25">
      <c r="A98" s="2080" t="s">
        <v>2227</v>
      </c>
      <c r="B98" s="1895">
        <v>102200300</v>
      </c>
      <c r="C98" s="2079" t="s">
        <v>2209</v>
      </c>
      <c r="D98" s="1872">
        <v>1635</v>
      </c>
      <c r="E98" s="1892">
        <f t="shared" si="2"/>
        <v>1635</v>
      </c>
      <c r="F98" s="1892" t="str">
        <f t="shared" si="3"/>
        <v>0</v>
      </c>
    </row>
    <row r="99" spans="1:6" x14ac:dyDescent="0.25">
      <c r="A99" s="2080" t="s">
        <v>2230</v>
      </c>
      <c r="B99" s="1895">
        <v>202540300</v>
      </c>
      <c r="C99" s="2079" t="s">
        <v>2210</v>
      </c>
      <c r="D99" s="1872">
        <v>1749</v>
      </c>
      <c r="E99" s="1892">
        <f t="shared" si="2"/>
        <v>1749</v>
      </c>
      <c r="F99" s="1892" t="str">
        <f t="shared" si="3"/>
        <v>0</v>
      </c>
    </row>
    <row r="100" spans="1:6" x14ac:dyDescent="0.25">
      <c r="A100" s="2080" t="s">
        <v>2230</v>
      </c>
      <c r="B100" s="1895">
        <v>202540300</v>
      </c>
      <c r="C100" s="2079" t="s">
        <v>2211</v>
      </c>
      <c r="D100" s="1872">
        <v>1199</v>
      </c>
      <c r="E100" s="1892">
        <f t="shared" si="2"/>
        <v>1199</v>
      </c>
      <c r="F100" s="1892" t="str">
        <f t="shared" si="3"/>
        <v>0</v>
      </c>
    </row>
    <row r="101" spans="1:6" x14ac:dyDescent="0.25">
      <c r="A101" s="2080" t="s">
        <v>2240</v>
      </c>
      <c r="B101" s="1895">
        <v>102200300</v>
      </c>
      <c r="C101" s="2079" t="s">
        <v>2212</v>
      </c>
      <c r="D101" s="1872">
        <v>44998</v>
      </c>
      <c r="E101" s="1892" t="str">
        <f t="shared" si="2"/>
        <v>25,000</v>
      </c>
      <c r="F101" s="1892">
        <f t="shared" si="3"/>
        <v>19998</v>
      </c>
    </row>
    <row r="102" spans="1:6" x14ac:dyDescent="0.25">
      <c r="A102" s="2080" t="s">
        <v>2234</v>
      </c>
      <c r="B102" s="1895">
        <v>802300300</v>
      </c>
      <c r="C102" s="2079" t="s">
        <v>2213</v>
      </c>
      <c r="D102" s="1872">
        <v>3500</v>
      </c>
      <c r="E102" s="1892">
        <f t="shared" si="2"/>
        <v>3500</v>
      </c>
      <c r="F102" s="1892" t="str">
        <f t="shared" si="3"/>
        <v>0</v>
      </c>
    </row>
    <row r="103" spans="1:6" x14ac:dyDescent="0.25">
      <c r="A103" s="2080" t="s">
        <v>2234</v>
      </c>
      <c r="B103" s="1895">
        <v>802300300</v>
      </c>
      <c r="C103" s="2079" t="s">
        <v>2214</v>
      </c>
      <c r="D103" s="1872">
        <v>61682</v>
      </c>
      <c r="E103" s="1892" t="str">
        <f t="shared" si="2"/>
        <v>25,000</v>
      </c>
      <c r="F103" s="1892">
        <f t="shared" si="3"/>
        <v>36682</v>
      </c>
    </row>
    <row r="104" spans="1:6" x14ac:dyDescent="0.25">
      <c r="A104" s="2080" t="s">
        <v>2229</v>
      </c>
      <c r="B104" s="1895">
        <v>102200300</v>
      </c>
      <c r="C104" s="2079" t="s">
        <v>2215</v>
      </c>
      <c r="D104" s="1872">
        <v>5990</v>
      </c>
      <c r="E104" s="1892">
        <f t="shared" si="2"/>
        <v>5990</v>
      </c>
      <c r="F104" s="1892" t="str">
        <f t="shared" si="3"/>
        <v>0</v>
      </c>
    </row>
    <row r="105" spans="1:6" x14ac:dyDescent="0.25">
      <c r="A105" s="2080" t="s">
        <v>2229</v>
      </c>
      <c r="B105" s="1895">
        <v>102200300</v>
      </c>
      <c r="C105" s="2079" t="s">
        <v>2216</v>
      </c>
      <c r="D105" s="1872">
        <v>19070</v>
      </c>
      <c r="E105" s="1892">
        <f t="shared" si="2"/>
        <v>19070</v>
      </c>
      <c r="F105" s="1892" t="str">
        <f t="shared" si="3"/>
        <v>0</v>
      </c>
    </row>
    <row r="106" spans="1:6" x14ac:dyDescent="0.25">
      <c r="A106" s="2080" t="s">
        <v>2230</v>
      </c>
      <c r="B106" s="1895">
        <v>202540300</v>
      </c>
      <c r="C106" s="2079" t="s">
        <v>2217</v>
      </c>
      <c r="D106" s="1872">
        <v>580</v>
      </c>
      <c r="E106" s="1892">
        <f t="shared" si="2"/>
        <v>580</v>
      </c>
      <c r="F106" s="1892" t="str">
        <f t="shared" si="3"/>
        <v>0</v>
      </c>
    </row>
    <row r="107" spans="1:6" x14ac:dyDescent="0.25">
      <c r="A107" s="2080" t="s">
        <v>2230</v>
      </c>
      <c r="B107" s="1895">
        <v>202540300</v>
      </c>
      <c r="C107" s="2079" t="s">
        <v>2218</v>
      </c>
      <c r="D107" s="1872">
        <v>1858</v>
      </c>
      <c r="E107" s="1892">
        <f t="shared" si="2"/>
        <v>1858</v>
      </c>
      <c r="F107" s="1892" t="str">
        <f t="shared" si="3"/>
        <v>0</v>
      </c>
    </row>
    <row r="108" spans="1:6" x14ac:dyDescent="0.25">
      <c r="A108" s="2080" t="s">
        <v>2230</v>
      </c>
      <c r="B108" s="1895">
        <v>202540300</v>
      </c>
      <c r="C108" s="2079" t="s">
        <v>2219</v>
      </c>
      <c r="D108" s="1872">
        <v>37181</v>
      </c>
      <c r="E108" s="1892" t="str">
        <f t="shared" si="2"/>
        <v>25,000</v>
      </c>
      <c r="F108" s="1892">
        <f t="shared" si="3"/>
        <v>12181</v>
      </c>
    </row>
    <row r="109" spans="1:6" x14ac:dyDescent="0.25">
      <c r="A109" s="2080" t="s">
        <v>2231</v>
      </c>
      <c r="B109" s="1895">
        <v>102300300</v>
      </c>
      <c r="C109" s="2079" t="s">
        <v>2220</v>
      </c>
      <c r="D109" s="1872">
        <v>1113</v>
      </c>
      <c r="E109" s="1892">
        <f t="shared" si="2"/>
        <v>1113</v>
      </c>
      <c r="F109" s="1892" t="str">
        <f t="shared" si="3"/>
        <v>0</v>
      </c>
    </row>
    <row r="110" spans="1:6" x14ac:dyDescent="0.25">
      <c r="A110" s="2080" t="s">
        <v>2237</v>
      </c>
      <c r="B110" s="1895">
        <v>102510300</v>
      </c>
      <c r="C110" s="2079" t="s">
        <v>2221</v>
      </c>
      <c r="D110" s="1872">
        <v>18284</v>
      </c>
      <c r="E110" s="1892">
        <f t="shared" si="2"/>
        <v>18284</v>
      </c>
      <c r="F110" s="1892" t="str">
        <f t="shared" si="3"/>
        <v>0</v>
      </c>
    </row>
    <row r="111" spans="1:6" x14ac:dyDescent="0.25">
      <c r="A111" s="2080" t="s">
        <v>2237</v>
      </c>
      <c r="B111" s="1895">
        <v>102510300</v>
      </c>
      <c r="C111" s="2079" t="s">
        <v>2222</v>
      </c>
      <c r="D111" s="1872">
        <v>44429</v>
      </c>
      <c r="E111" s="1892" t="str">
        <f t="shared" si="2"/>
        <v>25,000</v>
      </c>
      <c r="F111" s="1892">
        <f t="shared" si="3"/>
        <v>19429</v>
      </c>
    </row>
    <row r="112" spans="1:6" x14ac:dyDescent="0.25">
      <c r="A112" s="2080" t="s">
        <v>2230</v>
      </c>
      <c r="B112" s="1895">
        <v>202540300</v>
      </c>
      <c r="C112" s="2079" t="s">
        <v>2223</v>
      </c>
      <c r="D112" s="1872">
        <v>1999</v>
      </c>
      <c r="E112" s="1892">
        <f t="shared" si="2"/>
        <v>1999</v>
      </c>
      <c r="F112" s="1892" t="str">
        <f t="shared" si="3"/>
        <v>0</v>
      </c>
    </row>
    <row r="113" spans="1:6" x14ac:dyDescent="0.25">
      <c r="A113" s="2080" t="s">
        <v>2227</v>
      </c>
      <c r="B113" s="1895">
        <v>102200300</v>
      </c>
      <c r="C113" s="2079" t="s">
        <v>2224</v>
      </c>
      <c r="D113" s="1872">
        <v>5940</v>
      </c>
      <c r="E113" s="1892">
        <f t="shared" si="2"/>
        <v>5940</v>
      </c>
      <c r="F113" s="1892" t="str">
        <f t="shared" si="3"/>
        <v>0</v>
      </c>
    </row>
    <row r="114" spans="1:6" x14ac:dyDescent="0.25">
      <c r="A114" s="2080" t="s">
        <v>2230</v>
      </c>
      <c r="B114" s="1895">
        <v>202540300</v>
      </c>
      <c r="C114" s="2079" t="s">
        <v>2225</v>
      </c>
      <c r="D114" s="1872">
        <v>1467</v>
      </c>
      <c r="E114" s="1892">
        <f t="shared" si="2"/>
        <v>1467</v>
      </c>
      <c r="F114" s="1892" t="str">
        <f t="shared" si="3"/>
        <v>0</v>
      </c>
    </row>
    <row r="115" spans="1:6" x14ac:dyDescent="0.25">
      <c r="A115" s="2080" t="s">
        <v>2227</v>
      </c>
      <c r="B115" s="1895">
        <v>102200300</v>
      </c>
      <c r="C115" s="2079" t="s">
        <v>2226</v>
      </c>
      <c r="D115" s="1872">
        <v>1230</v>
      </c>
      <c r="E115" s="1892">
        <f t="shared" si="2"/>
        <v>1230</v>
      </c>
      <c r="F115" s="1892" t="str">
        <f t="shared" si="3"/>
        <v>0</v>
      </c>
    </row>
    <row r="116" spans="1:6" x14ac:dyDescent="0.25">
      <c r="A116" s="1874"/>
      <c r="B116" s="1895"/>
      <c r="C116" s="1875"/>
      <c r="D116" s="1872"/>
      <c r="E116" s="1892">
        <f t="shared" si="2"/>
        <v>0</v>
      </c>
      <c r="F116" s="1892" t="str">
        <f t="shared" si="3"/>
        <v>0</v>
      </c>
    </row>
    <row r="117" spans="1:6" x14ac:dyDescent="0.25">
      <c r="A117" s="1874"/>
      <c r="B117" s="1895"/>
      <c r="C117" s="1875"/>
      <c r="D117" s="1872"/>
      <c r="E117" s="1892">
        <f t="shared" si="2"/>
        <v>0</v>
      </c>
      <c r="F117" s="1892" t="str">
        <f t="shared" si="3"/>
        <v>0</v>
      </c>
    </row>
    <row r="118" spans="1:6" x14ac:dyDescent="0.25">
      <c r="A118" s="1874"/>
      <c r="B118" s="1895"/>
      <c r="C118" s="1875"/>
      <c r="D118" s="1872"/>
      <c r="E118" s="1892">
        <f t="shared" si="2"/>
        <v>0</v>
      </c>
      <c r="F118" s="1892" t="str">
        <f t="shared" si="3"/>
        <v>0</v>
      </c>
    </row>
    <row r="119" spans="1:6" x14ac:dyDescent="0.25">
      <c r="A119" s="1874"/>
      <c r="B119" s="1895"/>
      <c r="C119" s="1875"/>
      <c r="D119" s="1872"/>
      <c r="E119" s="1892">
        <f t="shared" si="2"/>
        <v>0</v>
      </c>
      <c r="F119" s="1892" t="str">
        <f t="shared" si="3"/>
        <v>0</v>
      </c>
    </row>
    <row r="120" spans="1:6" x14ac:dyDescent="0.25">
      <c r="A120" s="1874"/>
      <c r="B120" s="1895"/>
      <c r="C120" s="1875"/>
      <c r="D120" s="1872"/>
      <c r="E120" s="1892">
        <f t="shared" si="2"/>
        <v>0</v>
      </c>
      <c r="F120" s="1892" t="str">
        <f t="shared" si="3"/>
        <v>0</v>
      </c>
    </row>
    <row r="121" spans="1:6" x14ac:dyDescent="0.25">
      <c r="A121" s="1874"/>
      <c r="B121" s="1895"/>
      <c r="C121" s="1875"/>
      <c r="D121" s="1872"/>
      <c r="E121" s="1892">
        <f t="shared" si="2"/>
        <v>0</v>
      </c>
      <c r="F121" s="1892" t="str">
        <f t="shared" si="3"/>
        <v>0</v>
      </c>
    </row>
    <row r="122" spans="1:6" x14ac:dyDescent="0.25">
      <c r="A122" s="1874"/>
      <c r="B122" s="1895"/>
      <c r="C122" s="1875"/>
      <c r="D122" s="1872"/>
      <c r="E122" s="1892">
        <f t="shared" si="2"/>
        <v>0</v>
      </c>
      <c r="F122" s="1892" t="str">
        <f t="shared" si="3"/>
        <v>0</v>
      </c>
    </row>
    <row r="123" spans="1:6" x14ac:dyDescent="0.25">
      <c r="A123" s="1874"/>
      <c r="B123" s="1895"/>
      <c r="C123" s="1875"/>
      <c r="D123" s="1872"/>
      <c r="E123" s="1892">
        <f t="shared" si="2"/>
        <v>0</v>
      </c>
      <c r="F123" s="1892" t="str">
        <f t="shared" si="3"/>
        <v>0</v>
      </c>
    </row>
    <row r="124" spans="1:6" x14ac:dyDescent="0.25">
      <c r="A124" s="1874"/>
      <c r="B124" s="1895"/>
      <c r="C124" s="1875"/>
      <c r="D124" s="1872"/>
      <c r="E124" s="1892">
        <f t="shared" si="2"/>
        <v>0</v>
      </c>
      <c r="F124" s="1892" t="str">
        <f t="shared" si="3"/>
        <v>0</v>
      </c>
    </row>
    <row r="125" spans="1:6" x14ac:dyDescent="0.25">
      <c r="A125" s="1874"/>
      <c r="B125" s="1895"/>
      <c r="C125" s="1875"/>
      <c r="D125" s="1872"/>
      <c r="E125" s="1892">
        <f t="shared" si="2"/>
        <v>0</v>
      </c>
      <c r="F125" s="1892" t="str">
        <f t="shared" si="3"/>
        <v>0</v>
      </c>
    </row>
    <row r="126" spans="1:6" x14ac:dyDescent="0.25">
      <c r="A126" s="1874"/>
      <c r="B126" s="1895"/>
      <c r="C126" s="1875"/>
      <c r="D126" s="1872"/>
      <c r="E126" s="1892">
        <f t="shared" si="2"/>
        <v>0</v>
      </c>
      <c r="F126" s="1892" t="str">
        <f t="shared" si="3"/>
        <v>0</v>
      </c>
    </row>
    <row r="127" spans="1:6" x14ac:dyDescent="0.25">
      <c r="A127" s="1874"/>
      <c r="B127" s="1895"/>
      <c r="C127" s="1875"/>
      <c r="D127" s="1872"/>
      <c r="E127" s="1892">
        <f t="shared" si="2"/>
        <v>0</v>
      </c>
      <c r="F127" s="1892" t="str">
        <f t="shared" si="3"/>
        <v>0</v>
      </c>
    </row>
    <row r="128" spans="1:6" x14ac:dyDescent="0.25">
      <c r="A128" s="1874"/>
      <c r="B128" s="1895"/>
      <c r="C128" s="1875"/>
      <c r="D128" s="1872"/>
      <c r="E128" s="1892">
        <f t="shared" si="2"/>
        <v>0</v>
      </c>
      <c r="F128" s="1892" t="str">
        <f t="shared" si="3"/>
        <v>0</v>
      </c>
    </row>
    <row r="129" spans="1:6" x14ac:dyDescent="0.25">
      <c r="A129" s="1874"/>
      <c r="B129" s="1895"/>
      <c r="C129" s="1875"/>
      <c r="D129" s="1872"/>
      <c r="E129" s="1892">
        <f t="shared" si="2"/>
        <v>0</v>
      </c>
      <c r="F129" s="1892" t="str">
        <f t="shared" si="3"/>
        <v>0</v>
      </c>
    </row>
    <row r="130" spans="1:6" x14ac:dyDescent="0.25">
      <c r="A130" s="1874"/>
      <c r="B130" s="1895"/>
      <c r="C130" s="1875"/>
      <c r="D130" s="1872"/>
      <c r="E130" s="1892">
        <f t="shared" si="2"/>
        <v>0</v>
      </c>
      <c r="F130" s="1892" t="str">
        <f t="shared" si="3"/>
        <v>0</v>
      </c>
    </row>
    <row r="131" spans="1:6" x14ac:dyDescent="0.25">
      <c r="A131" s="1874"/>
      <c r="B131" s="1895"/>
      <c r="C131" s="1875"/>
      <c r="D131" s="1872"/>
      <c r="E131" s="1892">
        <f t="shared" si="2"/>
        <v>0</v>
      </c>
      <c r="F131" s="1892" t="str">
        <f t="shared" si="3"/>
        <v>0</v>
      </c>
    </row>
    <row r="132" spans="1:6" x14ac:dyDescent="0.25">
      <c r="A132" s="1874"/>
      <c r="B132" s="1895"/>
      <c r="C132" s="1875"/>
      <c r="D132" s="1872"/>
      <c r="E132" s="1892">
        <f t="shared" si="2"/>
        <v>0</v>
      </c>
      <c r="F132" s="1892" t="str">
        <f t="shared" si="3"/>
        <v>0</v>
      </c>
    </row>
    <row r="133" spans="1:6" x14ac:dyDescent="0.25">
      <c r="A133" s="1874"/>
      <c r="B133" s="1895"/>
      <c r="C133" s="1875"/>
      <c r="D133" s="1872"/>
      <c r="E133" s="1892">
        <f t="shared" si="2"/>
        <v>0</v>
      </c>
      <c r="F133" s="1892" t="str">
        <f t="shared" si="3"/>
        <v>0</v>
      </c>
    </row>
    <row r="134" spans="1:6" x14ac:dyDescent="0.25">
      <c r="A134" s="1874"/>
      <c r="B134" s="1895"/>
      <c r="C134" s="1875"/>
      <c r="D134" s="1872"/>
      <c r="E134" s="1892">
        <f t="shared" si="2"/>
        <v>0</v>
      </c>
      <c r="F134" s="1892" t="str">
        <f t="shared" si="3"/>
        <v>0</v>
      </c>
    </row>
    <row r="135" spans="1:6" x14ac:dyDescent="0.25">
      <c r="A135" s="1874"/>
      <c r="B135" s="1895"/>
      <c r="C135" s="1875"/>
      <c r="D135" s="1872"/>
      <c r="E135" s="1892">
        <f t="shared" si="2"/>
        <v>0</v>
      </c>
      <c r="F135" s="1892" t="str">
        <f t="shared" si="3"/>
        <v>0</v>
      </c>
    </row>
    <row r="136" spans="1:6" x14ac:dyDescent="0.25">
      <c r="A136" s="1874"/>
      <c r="B136" s="1895"/>
      <c r="C136" s="1875"/>
      <c r="D136" s="1872"/>
      <c r="E136" s="1892">
        <f t="shared" si="2"/>
        <v>0</v>
      </c>
      <c r="F136" s="1892" t="str">
        <f t="shared" si="3"/>
        <v>0</v>
      </c>
    </row>
    <row r="137" spans="1:6" x14ac:dyDescent="0.25">
      <c r="A137" s="1874"/>
      <c r="B137" s="1895"/>
      <c r="C137" s="1875"/>
      <c r="D137" s="1872"/>
      <c r="E137" s="1892">
        <f t="shared" si="2"/>
        <v>0</v>
      </c>
      <c r="F137" s="1892" t="str">
        <f t="shared" si="3"/>
        <v>0</v>
      </c>
    </row>
    <row r="138" spans="1:6" x14ac:dyDescent="0.25">
      <c r="A138" s="1874"/>
      <c r="B138" s="1895"/>
      <c r="C138" s="1875"/>
      <c r="D138" s="1872"/>
      <c r="E138" s="1892">
        <f t="shared" si="2"/>
        <v>0</v>
      </c>
      <c r="F138" s="1892" t="str">
        <f t="shared" si="3"/>
        <v>0</v>
      </c>
    </row>
    <row r="139" spans="1:6" x14ac:dyDescent="0.25">
      <c r="A139" s="1874"/>
      <c r="B139" s="1895"/>
      <c r="C139" s="1875"/>
      <c r="D139" s="1872"/>
      <c r="E139" s="1892">
        <f t="shared" si="2"/>
        <v>0</v>
      </c>
      <c r="F139" s="1892" t="str">
        <f t="shared" si="3"/>
        <v>0</v>
      </c>
    </row>
    <row r="140" spans="1:6" x14ac:dyDescent="0.25">
      <c r="A140" s="1874"/>
      <c r="B140" s="1895"/>
      <c r="C140" s="1875"/>
      <c r="D140" s="1872"/>
      <c r="E140" s="1892">
        <f t="shared" si="2"/>
        <v>0</v>
      </c>
      <c r="F140" s="1892" t="str">
        <f t="shared" si="3"/>
        <v>0</v>
      </c>
    </row>
    <row r="141" spans="1:6" x14ac:dyDescent="0.25">
      <c r="A141" s="1874"/>
      <c r="B141" s="1896"/>
      <c r="C141" s="1875"/>
      <c r="D141" s="1872"/>
      <c r="E141" s="1892">
        <f t="shared" si="2"/>
        <v>0</v>
      </c>
      <c r="F141" s="1892" t="str">
        <f t="shared" si="3"/>
        <v>0</v>
      </c>
    </row>
    <row r="142" spans="1:6" x14ac:dyDescent="0.25">
      <c r="A142" s="1876" t="s">
        <v>155</v>
      </c>
      <c r="B142" s="1897"/>
      <c r="C142" s="1877"/>
      <c r="D142" s="1878">
        <f>SUM(D18:D141)</f>
        <v>2724551</v>
      </c>
      <c r="E142" s="1879">
        <f>SUM(E18:E141)</f>
        <v>392812</v>
      </c>
      <c r="F142" s="1880">
        <f>SUM(F18:F141)</f>
        <v>1731739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59" t="s">
        <v>1105</v>
      </c>
      <c r="B1" s="1360"/>
      <c r="C1" s="1361"/>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38" t="s">
        <v>1660</v>
      </c>
      <c r="B5" s="2439"/>
      <c r="C5" s="2439"/>
      <c r="D5" s="2439"/>
      <c r="E5" s="2439"/>
      <c r="F5" s="2439"/>
      <c r="G5" s="2440"/>
      <c r="H5" s="246"/>
      <c r="I5" s="500"/>
    </row>
    <row r="6" spans="1:13" s="541" customFormat="1" x14ac:dyDescent="0.2">
      <c r="A6" s="1362" t="s">
        <v>203</v>
      </c>
      <c r="B6" s="797"/>
      <c r="C6" s="797"/>
      <c r="D6" s="798"/>
      <c r="E6" s="798"/>
      <c r="F6" s="799"/>
      <c r="G6" s="800"/>
      <c r="H6" s="156"/>
      <c r="I6" s="156"/>
    </row>
    <row r="7" spans="1:13" s="541" customFormat="1" ht="12" customHeight="1" x14ac:dyDescent="0.2">
      <c r="A7" s="801" t="s">
        <v>902</v>
      </c>
      <c r="B7" s="802"/>
      <c r="C7" s="802"/>
      <c r="D7" s="803"/>
      <c r="E7" s="1790"/>
      <c r="F7" s="804"/>
      <c r="G7" s="805"/>
      <c r="H7" s="156"/>
      <c r="I7" s="156"/>
    </row>
    <row r="8" spans="1:13" s="541" customFormat="1" ht="12" customHeight="1" x14ac:dyDescent="0.2">
      <c r="A8" s="801" t="s">
        <v>129</v>
      </c>
      <c r="B8" s="802"/>
      <c r="C8" s="802"/>
      <c r="D8" s="803"/>
      <c r="E8" s="1790"/>
      <c r="F8" s="804"/>
      <c r="G8" s="805"/>
      <c r="H8" s="156"/>
      <c r="I8" s="156"/>
    </row>
    <row r="9" spans="1:13" s="541" customFormat="1" ht="12" customHeight="1" x14ac:dyDescent="0.2">
      <c r="A9" s="801" t="s">
        <v>130</v>
      </c>
      <c r="B9" s="802"/>
      <c r="C9" s="802"/>
      <c r="D9" s="803"/>
      <c r="E9" s="1790"/>
      <c r="F9" s="804"/>
      <c r="G9" s="805"/>
      <c r="H9" s="156"/>
      <c r="I9" s="156"/>
    </row>
    <row r="10" spans="1:13" s="541" customFormat="1" ht="12" customHeight="1" x14ac:dyDescent="0.2">
      <c r="A10" s="801" t="s">
        <v>1891</v>
      </c>
      <c r="B10" s="802"/>
      <c r="C10" s="806"/>
      <c r="D10" s="803"/>
      <c r="E10" s="1790">
        <f>+'Expenditures 15-22'!E63+'Expenditures 15-22'!F63</f>
        <v>500510</v>
      </c>
      <c r="F10" s="804"/>
      <c r="G10" s="805"/>
      <c r="H10" s="156"/>
      <c r="I10" s="156"/>
    </row>
    <row r="11" spans="1:13" s="541" customFormat="1" ht="22.5" customHeight="1" x14ac:dyDescent="0.2">
      <c r="A11" s="24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4"/>
      <c r="C11" s="2444"/>
      <c r="D11" s="2445"/>
      <c r="E11" s="1791">
        <v>40857</v>
      </c>
      <c r="F11" s="804"/>
      <c r="G11" s="807"/>
      <c r="H11" s="177"/>
      <c r="I11" s="177"/>
      <c r="J11" s="1841"/>
      <c r="K11" s="1841"/>
      <c r="L11" s="1841"/>
      <c r="M11" s="1841"/>
    </row>
    <row r="12" spans="1:13" s="541" customFormat="1" ht="12" customHeight="1" x14ac:dyDescent="0.2">
      <c r="A12" s="801" t="s">
        <v>131</v>
      </c>
      <c r="B12" s="802"/>
      <c r="C12" s="802"/>
      <c r="D12" s="803"/>
      <c r="E12" s="1790"/>
      <c r="F12" s="804"/>
      <c r="G12" s="805"/>
      <c r="H12" s="156"/>
      <c r="I12" s="156"/>
    </row>
    <row r="13" spans="1:13" s="541" customFormat="1" ht="12" customHeight="1" x14ac:dyDescent="0.2">
      <c r="A13" s="801" t="s">
        <v>201</v>
      </c>
      <c r="B13" s="802"/>
      <c r="C13" s="802"/>
      <c r="D13" s="803"/>
      <c r="E13" s="1790"/>
      <c r="F13" s="804"/>
      <c r="G13" s="805"/>
      <c r="H13" s="156"/>
      <c r="I13" s="156"/>
    </row>
    <row r="14" spans="1:13" s="541" customFormat="1" ht="12" customHeight="1" x14ac:dyDescent="0.2">
      <c r="A14" s="801" t="s">
        <v>202</v>
      </c>
      <c r="B14" s="802"/>
      <c r="C14" s="802"/>
      <c r="D14" s="803"/>
      <c r="E14" s="1790"/>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63" t="s">
        <v>529</v>
      </c>
      <c r="E17" s="1364"/>
      <c r="F17" s="1363" t="s">
        <v>430</v>
      </c>
      <c r="G17" s="1365"/>
      <c r="H17" s="156"/>
      <c r="I17" s="156"/>
    </row>
    <row r="18" spans="1:9" s="253" customFormat="1" ht="11.25" x14ac:dyDescent="0.2">
      <c r="A18" s="817"/>
      <c r="C18" s="818" t="s">
        <v>431</v>
      </c>
      <c r="D18" s="1366" t="s">
        <v>432</v>
      </c>
      <c r="E18" s="1366" t="s">
        <v>53</v>
      </c>
      <c r="F18" s="1366" t="s">
        <v>432</v>
      </c>
      <c r="G18" s="1366" t="s">
        <v>53</v>
      </c>
      <c r="H18" s="172"/>
      <c r="I18" s="172"/>
    </row>
    <row r="19" spans="1:9" s="541" customFormat="1" ht="12" customHeight="1" x14ac:dyDescent="0.2">
      <c r="A19" s="819" t="s">
        <v>453</v>
      </c>
      <c r="B19" s="820"/>
      <c r="C19" s="821" t="s">
        <v>566</v>
      </c>
      <c r="D19" s="1792"/>
      <c r="E19" s="1793">
        <f>'Expenditures 15-22'!K33-SUM('Expenditures 15-22'!G33,'Expenditures 15-22'!I33)+'Expenditures 15-22'!D229</f>
        <v>4719450</v>
      </c>
      <c r="F19" s="1792"/>
      <c r="G19" s="1794">
        <f>'Expenditures 15-22'!K33-SUM('Expenditures 15-22'!G33,'Expenditures 15-22'!I33)+'Expenditures 15-22'!D229</f>
        <v>4719450</v>
      </c>
      <c r="H19" s="816"/>
      <c r="I19" s="156"/>
    </row>
    <row r="20" spans="1:9" s="541" customFormat="1" ht="12" customHeight="1" x14ac:dyDescent="0.2">
      <c r="A20" s="819" t="s">
        <v>54</v>
      </c>
      <c r="B20" s="820"/>
      <c r="C20" s="822"/>
      <c r="D20" s="1795"/>
      <c r="E20" s="1795"/>
      <c r="F20" s="1795"/>
      <c r="G20" s="1796"/>
      <c r="H20" s="816"/>
      <c r="I20" s="156"/>
    </row>
    <row r="21" spans="1:9" s="541" customFormat="1" ht="12" customHeight="1" x14ac:dyDescent="0.2">
      <c r="A21" s="823" t="s">
        <v>398</v>
      </c>
      <c r="B21" s="824"/>
      <c r="C21" s="822">
        <v>2100</v>
      </c>
      <c r="D21" s="1795"/>
      <c r="E21" s="1797">
        <f>'Expenditures 15-22'!K42-SUM('Expenditures 15-22'!G42,'Expenditures 15-22'!I42)+'Expenditures 15-22'!K120-SUM('Expenditures 15-22'!G120,'Expenditures 15-22'!I120)+'Expenditures 15-22'!K180-SUM('Expenditures 15-22'!G180,'Expenditures 15-22'!I180)+'Expenditures 15-22'!D238</f>
        <v>470958</v>
      </c>
      <c r="F21" s="1795"/>
      <c r="G21" s="1798">
        <f>'Expenditures 15-22'!K42-SUM('Expenditures 15-22'!G42,'Expenditures 15-22'!I42)+'Expenditures 15-22'!K120-SUM('Expenditures 15-22'!G120,'Expenditures 15-22'!I120)+'Expenditures 15-22'!K180-SUM('Expenditures 15-22'!G180,'Expenditures 15-22'!I180)+'Expenditures 15-22'!D238</f>
        <v>470958</v>
      </c>
      <c r="H21" s="816"/>
      <c r="I21" s="156"/>
    </row>
    <row r="22" spans="1:9" s="541" customFormat="1" ht="12" customHeight="1" x14ac:dyDescent="0.2">
      <c r="A22" s="823" t="s">
        <v>560</v>
      </c>
      <c r="B22" s="824"/>
      <c r="C22" s="822">
        <v>2200</v>
      </c>
      <c r="D22" s="1795"/>
      <c r="E22" s="1797">
        <f>'Expenditures 15-22'!K47-SUM('Expenditures 15-22'!G47,'Expenditures 15-22'!I47)+'Expenditures 15-22'!D243</f>
        <v>1051674</v>
      </c>
      <c r="F22" s="1795"/>
      <c r="G22" s="1798">
        <f>'Expenditures 15-22'!K47-SUM('Expenditures 15-22'!G47,'Expenditures 15-22'!I47)+'Expenditures 15-22'!D243</f>
        <v>1051674</v>
      </c>
      <c r="H22" s="816"/>
      <c r="I22" s="156"/>
    </row>
    <row r="23" spans="1:9" s="541" customFormat="1" ht="12" customHeight="1" x14ac:dyDescent="0.2">
      <c r="A23" s="823" t="s">
        <v>561</v>
      </c>
      <c r="B23" s="824"/>
      <c r="C23" s="822">
        <v>2300</v>
      </c>
      <c r="D23" s="1795"/>
      <c r="E23" s="1797">
        <f>'Expenditures 15-22'!K53-SUM('Expenditures 15-22'!G53,'Expenditures 15-22'!I53)+'Expenditures 15-22'!D257+'Expenditures 15-22'!K330-SUM('Expenditures 15-22'!G330,'Expenditures 15-22'!I330)</f>
        <v>1709884</v>
      </c>
      <c r="F23" s="1795"/>
      <c r="G23" s="1797">
        <f>'Expenditures 15-22'!K53-SUM('Expenditures 15-22'!G53,'Expenditures 15-22'!I53)+'Expenditures 15-22'!D257+'Expenditures 15-22'!K330-SUM('Expenditures 15-22'!G330,'Expenditures 15-22'!I330)</f>
        <v>1709884</v>
      </c>
      <c r="H23" s="816"/>
      <c r="I23" s="156"/>
    </row>
    <row r="24" spans="1:9" s="541" customFormat="1" ht="12" customHeight="1" x14ac:dyDescent="0.2">
      <c r="A24" s="823" t="s">
        <v>562</v>
      </c>
      <c r="B24" s="824"/>
      <c r="C24" s="822">
        <v>2400</v>
      </c>
      <c r="D24" s="1795"/>
      <c r="E24" s="1797">
        <f>'Expenditures 15-22'!K57-SUM('Expenditures 15-22'!G57,'Expenditures 15-22'!I57)+'Expenditures 15-22'!D261</f>
        <v>939502</v>
      </c>
      <c r="F24" s="1795"/>
      <c r="G24" s="1798">
        <f>'Expenditures 15-22'!K57-SUM('Expenditures 15-22'!G57,'Expenditures 15-22'!I57)+'Expenditures 15-22'!D261</f>
        <v>939502</v>
      </c>
      <c r="H24" s="816"/>
      <c r="I24" s="156"/>
    </row>
    <row r="25" spans="1:9" s="541" customFormat="1" ht="12" customHeight="1" x14ac:dyDescent="0.2">
      <c r="A25" s="819" t="s">
        <v>563</v>
      </c>
      <c r="B25" s="825"/>
      <c r="C25" s="822"/>
      <c r="D25" s="1795"/>
      <c r="E25" s="1797"/>
      <c r="F25" s="1795"/>
      <c r="G25" s="1798"/>
      <c r="H25" s="816"/>
      <c r="I25" s="156"/>
    </row>
    <row r="26" spans="1:9" s="541" customFormat="1" ht="12" customHeight="1" x14ac:dyDescent="0.2">
      <c r="A26" s="823" t="s">
        <v>512</v>
      </c>
      <c r="B26" s="826"/>
      <c r="C26" s="822">
        <v>2510</v>
      </c>
      <c r="D26" s="1797">
        <f>'Expenditures 15-22'!K59-SUM('Expenditures 15-22'!G59,'Expenditures 15-22'!I59)+'Expenditures 15-22'!D263-E7</f>
        <v>401588</v>
      </c>
      <c r="E26" s="1797">
        <f>'Expenditures 15-22'!K122-SUM('Expenditures 15-22'!G122,'Expenditures 15-22'!I122)+E7</f>
        <v>0</v>
      </c>
      <c r="F26" s="1797">
        <f>'Expenditures 15-22'!K59-SUM('Expenditures 15-22'!G59,'Expenditures 15-22'!I59)+'Expenditures 15-22'!D263-E7</f>
        <v>401588</v>
      </c>
      <c r="G26" s="1798">
        <f>'Expenditures 15-22'!K122-SUM('Expenditures 15-22'!G122,'Expenditures 15-22'!I122)+E7</f>
        <v>0</v>
      </c>
      <c r="H26" s="816"/>
      <c r="I26" s="156"/>
    </row>
    <row r="27" spans="1:9" s="541" customFormat="1" ht="12" customHeight="1" x14ac:dyDescent="0.2">
      <c r="A27" s="823" t="s">
        <v>460</v>
      </c>
      <c r="B27" s="826"/>
      <c r="C27" s="822">
        <v>2520</v>
      </c>
      <c r="D27" s="1797">
        <f>'Expenditures 15-22'!K60-SUM('Expenditures 15-22'!G60,'Expenditures 15-22'!I60)+'Expenditures 15-22'!D264-E8</f>
        <v>0</v>
      </c>
      <c r="E27" s="1797">
        <f>E8</f>
        <v>0</v>
      </c>
      <c r="F27" s="1797">
        <f>'Expenditures 15-22'!K60-SUM('Expenditures 15-22'!G60,'Expenditures 15-22'!I60)+'Expenditures 15-22'!D264-E8</f>
        <v>0</v>
      </c>
      <c r="G27" s="1798">
        <f>E8</f>
        <v>0</v>
      </c>
      <c r="H27" s="816"/>
      <c r="I27" s="156"/>
    </row>
    <row r="28" spans="1:9" s="541" customFormat="1" ht="12" customHeight="1" x14ac:dyDescent="0.2">
      <c r="A28" s="823" t="s">
        <v>513</v>
      </c>
      <c r="B28" s="826"/>
      <c r="C28" s="822">
        <v>2540</v>
      </c>
      <c r="D28" s="1799"/>
      <c r="E28" s="1797">
        <f>'Expenditures 15-22'!K61-SUM('Expenditures 15-22'!G61,'Expenditures 15-22'!I61)+'Expenditures 15-22'!K124-SUM('Expenditures 15-22'!G124,'Expenditures 15-22'!I124)+'Expenditures 15-22'!D266</f>
        <v>1631475</v>
      </c>
      <c r="F28" s="1799">
        <f>'Expenditures 15-22'!K61-SUM('Expenditures 15-22'!G61,'Expenditures 15-22'!I61)+'Expenditures 15-22'!K124-SUM('Expenditures 15-22'!G124,'Expenditures 15-22'!I124)+'Expenditures 15-22'!D266-E9</f>
        <v>1631475</v>
      </c>
      <c r="G28" s="1798">
        <f>E9</f>
        <v>0</v>
      </c>
      <c r="H28" s="816"/>
      <c r="I28" s="156"/>
    </row>
    <row r="29" spans="1:9" ht="12" customHeight="1" x14ac:dyDescent="0.2">
      <c r="A29" s="823" t="s">
        <v>514</v>
      </c>
      <c r="B29" s="826"/>
      <c r="C29" s="822">
        <v>2550</v>
      </c>
      <c r="D29" s="1795"/>
      <c r="E29" s="1797">
        <f>'Expenditures 15-22'!K62-SUM('Expenditures 15-22'!G62,'Expenditures 15-22'!I62)+'Expenditures 15-22'!K125-SUM('Expenditures 15-22'!G125,'Expenditures 15-22'!I125)+'Expenditures 15-22'!K182-SUM('Expenditures 15-22'!G182,'Expenditures 15-22'!I182)+'Expenditures 15-22'!D267</f>
        <v>1118562</v>
      </c>
      <c r="F29" s="1795"/>
      <c r="G29" s="1798">
        <f>'Expenditures 15-22'!K62-SUM('Expenditures 15-22'!G62,'Expenditures 15-22'!I62)+'Expenditures 15-22'!K125-SUM('Expenditures 15-22'!G125,'Expenditures 15-22'!I125)+'Expenditures 15-22'!K182-SUM('Expenditures 15-22'!G182,'Expenditures 15-22'!I182)+'Expenditures 15-22'!D267</f>
        <v>1118562</v>
      </c>
      <c r="H29" s="814"/>
    </row>
    <row r="30" spans="1:9" ht="12" customHeight="1" x14ac:dyDescent="0.2">
      <c r="A30" s="823" t="s">
        <v>100</v>
      </c>
      <c r="B30" s="826"/>
      <c r="C30" s="822">
        <v>2560</v>
      </c>
      <c r="D30" s="1795"/>
      <c r="E30" s="1797">
        <f>'Expenditures 15-22'!K63-SUM('Expenditures 15-22'!G63,'Expenditures 15-22'!I63)+'Expenditures 15-22'!D268-E10</f>
        <v>56908</v>
      </c>
      <c r="F30" s="1795"/>
      <c r="G30" s="1797">
        <f>'Expenditures 15-22'!K63-SUM('Expenditures 15-22'!G63,'Expenditures 15-22'!I63)+'Expenditures 15-22'!D268-E10</f>
        <v>56908</v>
      </c>
    </row>
    <row r="31" spans="1:9" ht="12" customHeight="1" x14ac:dyDescent="0.2">
      <c r="A31" s="823" t="s">
        <v>101</v>
      </c>
      <c r="B31" s="826"/>
      <c r="C31" s="822">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819" t="s">
        <v>515</v>
      </c>
      <c r="B32" s="825"/>
      <c r="C32" s="822"/>
      <c r="D32" s="1795"/>
      <c r="E32" s="1795"/>
      <c r="F32" s="1795"/>
      <c r="G32" s="1795"/>
    </row>
    <row r="33" spans="1:7" ht="12" customHeight="1" x14ac:dyDescent="0.2">
      <c r="A33" s="823" t="s">
        <v>516</v>
      </c>
      <c r="B33" s="826"/>
      <c r="C33" s="822">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823" t="s">
        <v>517</v>
      </c>
      <c r="B34" s="826"/>
      <c r="C34" s="822">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823" t="s">
        <v>1052</v>
      </c>
      <c r="B35" s="826"/>
      <c r="C35" s="822">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823" t="s">
        <v>400</v>
      </c>
      <c r="B36" s="826"/>
      <c r="C36" s="822">
        <v>2640</v>
      </c>
      <c r="D36" s="1797">
        <f>'Expenditures 15-22'!K70-SUM('Expenditures 15-22'!G70,'Expenditures 15-22'!I70)+'Expenditures 15-22'!D275-E13</f>
        <v>1298</v>
      </c>
      <c r="E36" s="1797">
        <f>E13</f>
        <v>0</v>
      </c>
      <c r="F36" s="1797">
        <f>'Expenditures 15-22'!K70-SUM('Expenditures 15-22'!G70,'Expenditures 15-22'!I70)+'Expenditures 15-22'!D275-E13</f>
        <v>1298</v>
      </c>
      <c r="G36" s="1797">
        <f>E13</f>
        <v>0</v>
      </c>
    </row>
    <row r="37" spans="1:7" ht="12" customHeight="1" x14ac:dyDescent="0.2">
      <c r="A37" s="823" t="s">
        <v>401</v>
      </c>
      <c r="B37" s="826"/>
      <c r="C37" s="822">
        <v>2660</v>
      </c>
      <c r="D37" s="1797">
        <f>'Expenditures 15-22'!K71-SUM('Expenditures 15-22'!G71,'Expenditures 15-22'!I71)+'Expenditures 15-22'!D276-E14</f>
        <v>0</v>
      </c>
      <c r="E37" s="1797">
        <f>E14</f>
        <v>0</v>
      </c>
      <c r="F37" s="1797">
        <f>'Expenditures 15-22'!K71-SUM('Expenditures 15-22'!G71,'Expenditures 15-22'!I71)+'Expenditures 15-22'!D276-E14</f>
        <v>0</v>
      </c>
      <c r="G37" s="1797">
        <f>E14</f>
        <v>0</v>
      </c>
    </row>
    <row r="38" spans="1:7" ht="12" customHeight="1" x14ac:dyDescent="0.2">
      <c r="A38" s="819" t="s">
        <v>518</v>
      </c>
      <c r="B38" s="820"/>
      <c r="C38" s="822">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95"/>
      <c r="E39" s="1797">
        <f>'Expenditures 15-22'!K75-SUM('Expenditures 15-22'!G75,'Expenditures 15-22'!I75)+'Expenditures 15-22'!K130-SUM('Expenditures 15-22'!G130,'Expenditures 15-22'!I130)+'Expenditures 15-22'!K185-SUM('Expenditures 15-22'!G185,'Expenditures 15-22'!I185)+'Expenditures 15-22'!D280</f>
        <v>2345</v>
      </c>
      <c r="F39" s="1795"/>
      <c r="G39" s="1797">
        <f>'Expenditures 15-22'!K75-SUM('Expenditures 15-22'!G75,'Expenditures 15-22'!I75)+'Expenditures 15-22'!K130-SUM('Expenditures 15-22'!G130,'Expenditures 15-22'!I130)+'Expenditures 15-22'!K185-SUM('Expenditures 15-22'!G185,'Expenditures 15-22'!I185)+'Expenditures 15-22'!D280</f>
        <v>2345</v>
      </c>
    </row>
    <row r="40" spans="1:7" ht="12" customHeight="1" x14ac:dyDescent="0.2">
      <c r="A40" s="819" t="s">
        <v>1795</v>
      </c>
      <c r="B40" s="820"/>
      <c r="C40" s="822"/>
      <c r="D40" s="1795"/>
      <c r="E40" s="1799">
        <f>-'Contracts Paid in CY 29'!F142</f>
        <v>-1731739</v>
      </c>
      <c r="F40" s="1795"/>
      <c r="G40" s="1799">
        <f>-'Contracts Paid in CY 29'!F142</f>
        <v>-1731739</v>
      </c>
    </row>
    <row r="41" spans="1:7" ht="12" customHeight="1" x14ac:dyDescent="0.2">
      <c r="A41" s="827" t="s">
        <v>155</v>
      </c>
      <c r="B41" s="828"/>
      <c r="C41" s="829"/>
      <c r="D41" s="1799">
        <f>SUM(D19:D39)</f>
        <v>402886</v>
      </c>
      <c r="E41" s="1799">
        <f>SUM(E19:E40)</f>
        <v>9969019</v>
      </c>
      <c r="F41" s="1799">
        <f>SUM(F19:F39)</f>
        <v>2034361</v>
      </c>
      <c r="G41" s="1799">
        <f>SUM(G19:G40)</f>
        <v>8337544</v>
      </c>
    </row>
    <row r="42" spans="1:7" x14ac:dyDescent="0.2">
      <c r="A42" s="816"/>
      <c r="B42" s="156"/>
      <c r="C42" s="830"/>
      <c r="D42" s="2441" t="s">
        <v>519</v>
      </c>
      <c r="E42" s="2442"/>
      <c r="F42" s="831" t="s">
        <v>520</v>
      </c>
      <c r="G42" s="832"/>
    </row>
    <row r="43" spans="1:7" ht="12" customHeight="1" x14ac:dyDescent="0.2">
      <c r="A43" s="816"/>
      <c r="B43" s="156"/>
      <c r="C43" s="830"/>
      <c r="D43" s="1448" t="s">
        <v>470</v>
      </c>
      <c r="E43" s="1800">
        <f>D41</f>
        <v>402886</v>
      </c>
      <c r="F43" s="1448" t="s">
        <v>470</v>
      </c>
      <c r="G43" s="1800">
        <f>F41</f>
        <v>2034361</v>
      </c>
    </row>
    <row r="44" spans="1:7" ht="12" customHeight="1" x14ac:dyDescent="0.2">
      <c r="A44" s="816"/>
      <c r="B44" s="156"/>
      <c r="C44" s="830"/>
      <c r="D44" s="1448" t="s">
        <v>471</v>
      </c>
      <c r="E44" s="1800">
        <f>E41</f>
        <v>9969019</v>
      </c>
      <c r="F44" s="1448" t="s">
        <v>471</v>
      </c>
      <c r="G44" s="1800">
        <f>G41</f>
        <v>8337544</v>
      </c>
    </row>
    <row r="45" spans="1:7" ht="12" customHeight="1" x14ac:dyDescent="0.2">
      <c r="A45" s="816"/>
      <c r="B45" s="156"/>
      <c r="C45" s="156"/>
      <c r="D45" s="1449" t="s">
        <v>999</v>
      </c>
      <c r="E45" s="1801">
        <f>(E43/E44)</f>
        <v>4.0413806012407037E-2</v>
      </c>
      <c r="F45" s="1449" t="s">
        <v>999</v>
      </c>
      <c r="G45" s="1801">
        <f>(G43/G44)</f>
        <v>0.2440000316640008</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0" sqref="F20"/>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7.5703125" style="1497" bestFit="1" customWidth="1"/>
    <col min="9" max="9" width="4" style="1497" bestFit="1" customWidth="1"/>
    <col min="10" max="10" width="2.7109375" style="1497" bestFit="1" customWidth="1"/>
    <col min="11" max="11" width="9" style="1497" customWidth="1"/>
    <col min="12" max="16384" width="9.140625" style="1467"/>
  </cols>
  <sheetData>
    <row r="1" spans="1:15" x14ac:dyDescent="0.2">
      <c r="A1" s="2449" t="s">
        <v>1363</v>
      </c>
      <c r="B1" s="2449"/>
      <c r="C1" s="2449"/>
      <c r="D1" s="2449"/>
      <c r="E1" s="2449"/>
      <c r="F1" s="2449"/>
    </row>
    <row r="2" spans="1:15" x14ac:dyDescent="0.2">
      <c r="A2" s="1503" t="s">
        <v>1875</v>
      </c>
      <c r="B2" s="1468"/>
      <c r="C2" s="1503"/>
      <c r="D2" s="1468"/>
      <c r="E2" s="1468"/>
      <c r="F2" s="1469"/>
    </row>
    <row r="3" spans="1:15" x14ac:dyDescent="0.2">
      <c r="A3" s="1802" t="str">
        <f>"Fiscal Year Ending June 30, "&amp;'AFR20'!E2</f>
        <v>Fiscal Year Ending June 30, 2020</v>
      </c>
      <c r="B3" s="1468"/>
      <c r="C3" s="1503"/>
      <c r="D3" s="1468"/>
      <c r="E3" s="1468"/>
      <c r="F3" s="1469"/>
      <c r="H3" s="1842"/>
      <c r="I3" s="1842"/>
      <c r="J3" s="1842"/>
      <c r="K3" s="1842"/>
    </row>
    <row r="4" spans="1:15" ht="3.75" customHeight="1" x14ac:dyDescent="0.2">
      <c r="A4" s="1468"/>
      <c r="B4" s="1468"/>
      <c r="C4" s="1468"/>
      <c r="D4" s="1468"/>
      <c r="E4" s="1468"/>
      <c r="F4" s="1469"/>
    </row>
    <row r="5" spans="1:15" ht="15" x14ac:dyDescent="0.25">
      <c r="A5" s="2450" t="s">
        <v>1529</v>
      </c>
      <c r="B5" s="2451"/>
      <c r="C5" s="2452"/>
      <c r="D5" s="2452"/>
      <c r="E5" s="2452"/>
      <c r="F5" s="2452"/>
      <c r="G5" s="1497"/>
      <c r="L5" s="1497"/>
      <c r="M5" s="1843"/>
      <c r="N5" s="1843"/>
      <c r="O5" s="1843"/>
    </row>
    <row r="6" spans="1:15" ht="12" customHeight="1" x14ac:dyDescent="0.25">
      <c r="A6" s="1470"/>
      <c r="B6" s="1471"/>
      <c r="C6" s="2453" t="str">
        <f>COVER!A17</f>
        <v>Hazel Crest SD 152-5</v>
      </c>
      <c r="D6" s="2453"/>
      <c r="E6" s="2453"/>
      <c r="F6" s="1472"/>
      <c r="G6" s="1497"/>
      <c r="L6" s="1497"/>
      <c r="M6" s="1843"/>
      <c r="N6" s="1843"/>
      <c r="O6" s="1843"/>
    </row>
    <row r="7" spans="1:15" ht="11.25" customHeight="1" thickBot="1" x14ac:dyDescent="0.3">
      <c r="A7" s="1470"/>
      <c r="B7" s="1471"/>
      <c r="C7" s="2454">
        <f>COVER!A13</f>
        <v>7016152502</v>
      </c>
      <c r="D7" s="2454"/>
      <c r="E7" s="2454"/>
      <c r="F7" s="1472"/>
      <c r="G7" s="1497"/>
      <c r="L7" s="1497"/>
      <c r="M7" s="1843"/>
      <c r="N7" s="1843"/>
      <c r="O7" s="1843"/>
    </row>
    <row r="8" spans="1:15" ht="25.5" customHeight="1" thickBot="1" x14ac:dyDescent="0.25">
      <c r="A8" s="1509" t="s">
        <v>1871</v>
      </c>
      <c r="B8" s="1473"/>
      <c r="C8" s="1505" t="s">
        <v>1662</v>
      </c>
      <c r="D8" s="1504" t="s">
        <v>1663</v>
      </c>
      <c r="E8" s="1506" t="s">
        <v>1364</v>
      </c>
      <c r="F8" s="1504" t="s">
        <v>1664</v>
      </c>
      <c r="G8" s="1497"/>
      <c r="H8" s="1474" t="b">
        <v>0</v>
      </c>
      <c r="L8" s="1497"/>
      <c r="M8" s="1843"/>
      <c r="N8" s="1843"/>
      <c r="O8" s="1843"/>
    </row>
    <row r="9" spans="1:15" ht="15.75" customHeight="1" x14ac:dyDescent="0.2">
      <c r="A9" s="1475" t="s">
        <v>1525</v>
      </c>
      <c r="B9" s="1476"/>
      <c r="C9" s="1477"/>
      <c r="D9" s="1477"/>
      <c r="E9" s="1478"/>
      <c r="F9" s="1479"/>
      <c r="G9" s="1497"/>
      <c r="L9" s="1497"/>
      <c r="M9" s="1843"/>
      <c r="N9" s="1843"/>
      <c r="O9" s="1843"/>
    </row>
    <row r="10" spans="1:15" ht="27.75" customHeight="1" x14ac:dyDescent="0.2">
      <c r="A10" s="1480" t="s">
        <v>1661</v>
      </c>
      <c r="B10" s="1481"/>
      <c r="C10" s="1482"/>
      <c r="D10" s="1482"/>
      <c r="E10" s="1507" t="s">
        <v>1365</v>
      </c>
      <c r="F10" s="1508" t="s">
        <v>1366</v>
      </c>
      <c r="G10" s="1497"/>
      <c r="L10" s="1497"/>
      <c r="M10" s="1843"/>
      <c r="N10" s="1843"/>
      <c r="O10" s="1843"/>
    </row>
    <row r="11" spans="1:15" ht="12" customHeight="1" x14ac:dyDescent="0.2">
      <c r="A11" s="1483" t="s">
        <v>1367</v>
      </c>
      <c r="B11" s="1484"/>
      <c r="C11" s="1485"/>
      <c r="D11" s="1485"/>
      <c r="E11" s="1486"/>
      <c r="F11" s="1487"/>
      <c r="G11" s="1497"/>
      <c r="H11" s="1497">
        <f>IF(C11="X",5,0)</f>
        <v>0</v>
      </c>
      <c r="I11" s="1497">
        <f>IF(D11="X",5,0)</f>
        <v>0</v>
      </c>
      <c r="J11" s="1497">
        <f>IF(E11="X",5,0)</f>
        <v>0</v>
      </c>
      <c r="L11" s="1497"/>
      <c r="M11" s="1843"/>
      <c r="N11" s="1843"/>
      <c r="O11" s="1843"/>
    </row>
    <row r="12" spans="1:15" ht="12" customHeight="1" x14ac:dyDescent="0.2">
      <c r="A12" s="1483" t="s">
        <v>1368</v>
      </c>
      <c r="B12" s="1484"/>
      <c r="C12" s="1485"/>
      <c r="D12" s="1485"/>
      <c r="E12" s="1488"/>
      <c r="F12" s="1487"/>
      <c r="G12" s="1497"/>
      <c r="H12" s="1497">
        <f t="shared" ref="H12:H33" si="0">IF(C12="X",5,0)</f>
        <v>0</v>
      </c>
      <c r="I12" s="1497">
        <f t="shared" ref="I12:I33" si="1">IF(D12="X",5,0)</f>
        <v>0</v>
      </c>
      <c r="J12" s="1497">
        <f t="shared" ref="J12:J33" si="2">IF(E12="X",5,0)</f>
        <v>0</v>
      </c>
      <c r="L12" s="1497"/>
      <c r="M12" s="1843"/>
      <c r="N12" s="1843"/>
      <c r="O12" s="1843"/>
    </row>
    <row r="13" spans="1:15" ht="12" customHeight="1" x14ac:dyDescent="0.2">
      <c r="A13" s="1483" t="s">
        <v>1369</v>
      </c>
      <c r="B13" s="1484"/>
      <c r="C13" s="1485"/>
      <c r="D13" s="1485"/>
      <c r="E13" s="1488"/>
      <c r="F13" s="1487"/>
      <c r="G13" s="1497"/>
      <c r="H13" s="1497">
        <f t="shared" si="0"/>
        <v>0</v>
      </c>
      <c r="I13" s="1497">
        <f t="shared" si="1"/>
        <v>0</v>
      </c>
      <c r="J13" s="1497">
        <f t="shared" si="2"/>
        <v>0</v>
      </c>
      <c r="L13" s="1497"/>
      <c r="M13" s="1843"/>
      <c r="N13" s="1843"/>
      <c r="O13" s="1843"/>
    </row>
    <row r="14" spans="1:15" ht="12" customHeight="1" x14ac:dyDescent="0.2">
      <c r="A14" s="1483" t="s">
        <v>1370</v>
      </c>
      <c r="B14" s="1484"/>
      <c r="C14" s="1485"/>
      <c r="D14" s="1485"/>
      <c r="E14" s="1488"/>
      <c r="F14" s="1487"/>
      <c r="G14" s="1497"/>
      <c r="H14" s="1497">
        <f t="shared" si="0"/>
        <v>0</v>
      </c>
      <c r="I14" s="1497">
        <f t="shared" si="1"/>
        <v>0</v>
      </c>
      <c r="J14" s="1497">
        <f t="shared" si="2"/>
        <v>0</v>
      </c>
      <c r="L14" s="1497"/>
      <c r="M14" s="1843"/>
      <c r="N14" s="1843"/>
      <c r="O14" s="1843"/>
    </row>
    <row r="15" spans="1:15" ht="12" customHeight="1" x14ac:dyDescent="0.2">
      <c r="A15" s="1483" t="s">
        <v>1371</v>
      </c>
      <c r="B15" s="1484"/>
      <c r="C15" s="1485"/>
      <c r="D15" s="1485"/>
      <c r="E15" s="1488"/>
      <c r="F15" s="1487"/>
      <c r="G15" s="1497"/>
      <c r="H15" s="1497">
        <f t="shared" si="0"/>
        <v>0</v>
      </c>
      <c r="I15" s="1497">
        <f t="shared" si="1"/>
        <v>0</v>
      </c>
      <c r="J15" s="1497">
        <f t="shared" si="2"/>
        <v>0</v>
      </c>
      <c r="L15" s="1497"/>
      <c r="M15" s="1843"/>
      <c r="N15" s="1843"/>
      <c r="O15" s="1843"/>
    </row>
    <row r="16" spans="1:15" ht="12" customHeight="1" x14ac:dyDescent="0.2">
      <c r="A16" s="1483" t="s">
        <v>1372</v>
      </c>
      <c r="B16" s="1484"/>
      <c r="C16" s="1485"/>
      <c r="D16" s="1485"/>
      <c r="E16" s="1488"/>
      <c r="F16" s="1487"/>
      <c r="G16" s="1497"/>
      <c r="H16" s="1497">
        <f t="shared" si="0"/>
        <v>0</v>
      </c>
      <c r="I16" s="1497">
        <f t="shared" si="1"/>
        <v>0</v>
      </c>
      <c r="J16" s="1497">
        <f t="shared" si="2"/>
        <v>0</v>
      </c>
      <c r="L16" s="1497"/>
      <c r="M16" s="1843"/>
      <c r="N16" s="1843"/>
      <c r="O16" s="1843"/>
    </row>
    <row r="17" spans="1:15" ht="12" customHeight="1" x14ac:dyDescent="0.2">
      <c r="A17" s="1483" t="s">
        <v>1373</v>
      </c>
      <c r="B17" s="1484"/>
      <c r="C17" s="1485"/>
      <c r="D17" s="1485"/>
      <c r="E17" s="1488"/>
      <c r="F17" s="1487"/>
      <c r="G17" s="1497"/>
      <c r="H17" s="1497">
        <f t="shared" si="0"/>
        <v>0</v>
      </c>
      <c r="I17" s="1497">
        <f t="shared" si="1"/>
        <v>0</v>
      </c>
      <c r="J17" s="1497">
        <f t="shared" si="2"/>
        <v>0</v>
      </c>
      <c r="L17" s="1497"/>
      <c r="M17" s="1843"/>
      <c r="N17" s="1843"/>
      <c r="O17" s="1843"/>
    </row>
    <row r="18" spans="1:15" ht="12" customHeight="1" x14ac:dyDescent="0.2">
      <c r="A18" s="1483" t="s">
        <v>1374</v>
      </c>
      <c r="B18" s="1484"/>
      <c r="C18" s="1485"/>
      <c r="D18" s="1485"/>
      <c r="E18" s="1488"/>
      <c r="F18" s="1487"/>
      <c r="G18" s="1497"/>
      <c r="H18" s="1497">
        <f t="shared" si="0"/>
        <v>0</v>
      </c>
      <c r="I18" s="1497">
        <f t="shared" si="1"/>
        <v>0</v>
      </c>
      <c r="J18" s="1497">
        <f t="shared" si="2"/>
        <v>0</v>
      </c>
      <c r="L18" s="1497"/>
      <c r="M18" s="1843"/>
      <c r="N18" s="1843"/>
      <c r="O18" s="1843"/>
    </row>
    <row r="19" spans="1:15" ht="12" customHeight="1" x14ac:dyDescent="0.2">
      <c r="A19" s="1483" t="s">
        <v>1510</v>
      </c>
      <c r="B19" s="1484"/>
      <c r="C19" s="1485" t="s">
        <v>2048</v>
      </c>
      <c r="D19" s="1485" t="s">
        <v>2048</v>
      </c>
      <c r="E19" s="1488" t="s">
        <v>2075</v>
      </c>
      <c r="F19" s="1487" t="s">
        <v>2268</v>
      </c>
      <c r="G19" s="1497"/>
      <c r="H19" s="1497">
        <f t="shared" si="0"/>
        <v>5</v>
      </c>
      <c r="I19" s="1497">
        <f t="shared" si="1"/>
        <v>5</v>
      </c>
      <c r="J19" s="1497">
        <f t="shared" si="2"/>
        <v>0</v>
      </c>
      <c r="L19" s="1497"/>
      <c r="M19" s="1843"/>
      <c r="N19" s="1843"/>
      <c r="O19" s="1843"/>
    </row>
    <row r="20" spans="1:15" ht="12" customHeight="1" x14ac:dyDescent="0.2">
      <c r="A20" s="1483" t="s">
        <v>1511</v>
      </c>
      <c r="B20" s="1484"/>
      <c r="C20" s="1485" t="s">
        <v>2048</v>
      </c>
      <c r="D20" s="1485" t="s">
        <v>2048</v>
      </c>
      <c r="E20" s="1488" t="s">
        <v>2075</v>
      </c>
      <c r="F20" s="1487" t="s">
        <v>2076</v>
      </c>
      <c r="G20" s="1497"/>
      <c r="H20" s="1497">
        <f t="shared" si="0"/>
        <v>5</v>
      </c>
      <c r="I20" s="1497">
        <f t="shared" si="1"/>
        <v>5</v>
      </c>
      <c r="J20" s="1497">
        <f t="shared" si="2"/>
        <v>0</v>
      </c>
      <c r="L20" s="1497"/>
      <c r="M20" s="1843"/>
      <c r="N20" s="1843"/>
      <c r="O20" s="1843"/>
    </row>
    <row r="21" spans="1:15" ht="12" customHeight="1" x14ac:dyDescent="0.2">
      <c r="A21" s="1483" t="s">
        <v>1512</v>
      </c>
      <c r="B21" s="1484"/>
      <c r="C21" s="1485"/>
      <c r="D21" s="1485"/>
      <c r="E21" s="1488"/>
      <c r="F21" s="1487"/>
      <c r="G21" s="1497"/>
      <c r="H21" s="1497">
        <f t="shared" si="0"/>
        <v>0</v>
      </c>
      <c r="I21" s="1497">
        <f t="shared" si="1"/>
        <v>0</v>
      </c>
      <c r="J21" s="1497">
        <f t="shared" si="2"/>
        <v>0</v>
      </c>
      <c r="L21" s="1497"/>
      <c r="M21" s="1843"/>
      <c r="N21" s="1843"/>
      <c r="O21" s="1843"/>
    </row>
    <row r="22" spans="1:15" ht="12" customHeight="1" x14ac:dyDescent="0.2">
      <c r="A22" s="1483" t="s">
        <v>1513</v>
      </c>
      <c r="B22" s="1484"/>
      <c r="C22" s="1485"/>
      <c r="D22" s="1485"/>
      <c r="E22" s="1488"/>
      <c r="F22" s="1487"/>
      <c r="G22" s="1497"/>
      <c r="H22" s="1497">
        <f t="shared" si="0"/>
        <v>0</v>
      </c>
      <c r="I22" s="1497">
        <f t="shared" si="1"/>
        <v>0</v>
      </c>
      <c r="J22" s="1497">
        <f t="shared" si="2"/>
        <v>0</v>
      </c>
      <c r="L22" s="1497"/>
      <c r="M22" s="1843"/>
      <c r="N22" s="1843"/>
      <c r="O22" s="1843"/>
    </row>
    <row r="23" spans="1:15" ht="12" customHeight="1" x14ac:dyDescent="0.2">
      <c r="A23" s="1483" t="s">
        <v>1514</v>
      </c>
      <c r="B23" s="1484"/>
      <c r="C23" s="1485"/>
      <c r="D23" s="1485"/>
      <c r="E23" s="1488"/>
      <c r="F23" s="1487"/>
      <c r="G23" s="1497"/>
      <c r="H23" s="1497">
        <f t="shared" si="0"/>
        <v>0</v>
      </c>
      <c r="I23" s="1497">
        <f t="shared" si="1"/>
        <v>0</v>
      </c>
      <c r="J23" s="1497">
        <f t="shared" si="2"/>
        <v>0</v>
      </c>
      <c r="L23" s="1497"/>
      <c r="M23" s="1843"/>
      <c r="N23" s="1843"/>
      <c r="O23" s="1843"/>
    </row>
    <row r="24" spans="1:15" ht="12" customHeight="1" x14ac:dyDescent="0.2">
      <c r="A24" s="1483" t="s">
        <v>1515</v>
      </c>
      <c r="B24" s="1484"/>
      <c r="C24" s="1485"/>
      <c r="D24" s="1485"/>
      <c r="E24" s="1488"/>
      <c r="F24" s="1487"/>
      <c r="G24" s="1497"/>
      <c r="H24" s="1497">
        <f t="shared" si="0"/>
        <v>0</v>
      </c>
      <c r="I24" s="1497">
        <f t="shared" si="1"/>
        <v>0</v>
      </c>
      <c r="J24" s="1497">
        <f t="shared" si="2"/>
        <v>0</v>
      </c>
      <c r="L24" s="1497"/>
      <c r="M24" s="1843"/>
      <c r="N24" s="1843"/>
      <c r="O24" s="1843"/>
    </row>
    <row r="25" spans="1:15" ht="12" customHeight="1" x14ac:dyDescent="0.2">
      <c r="A25" s="1483" t="s">
        <v>1516</v>
      </c>
      <c r="B25" s="1484"/>
      <c r="C25" s="1485"/>
      <c r="D25" s="1485"/>
      <c r="E25" s="1488"/>
      <c r="F25" s="1487"/>
      <c r="G25" s="1497"/>
      <c r="H25" s="1497">
        <f t="shared" si="0"/>
        <v>0</v>
      </c>
      <c r="I25" s="1497">
        <f t="shared" si="1"/>
        <v>0</v>
      </c>
      <c r="J25" s="1497">
        <f t="shared" si="2"/>
        <v>0</v>
      </c>
      <c r="L25" s="1497"/>
      <c r="M25" s="1843"/>
      <c r="N25" s="1843"/>
      <c r="O25" s="1843"/>
    </row>
    <row r="26" spans="1:15" ht="12" customHeight="1" x14ac:dyDescent="0.2">
      <c r="A26" s="1483" t="s">
        <v>1517</v>
      </c>
      <c r="B26" s="1484"/>
      <c r="C26" s="1485" t="s">
        <v>2048</v>
      </c>
      <c r="D26" s="1485" t="s">
        <v>2048</v>
      </c>
      <c r="E26" s="1488" t="s">
        <v>2075</v>
      </c>
      <c r="F26" s="1487" t="s">
        <v>2077</v>
      </c>
      <c r="G26" s="1497"/>
      <c r="H26" s="1497">
        <f t="shared" si="0"/>
        <v>5</v>
      </c>
      <c r="I26" s="1497">
        <f t="shared" si="1"/>
        <v>5</v>
      </c>
      <c r="J26" s="1497">
        <f t="shared" si="2"/>
        <v>0</v>
      </c>
      <c r="L26" s="1497"/>
      <c r="M26" s="1843"/>
      <c r="N26" s="1843"/>
      <c r="O26" s="1843"/>
    </row>
    <row r="27" spans="1:15" ht="18.75" x14ac:dyDescent="0.2">
      <c r="A27" s="1483" t="s">
        <v>1518</v>
      </c>
      <c r="B27" s="1484"/>
      <c r="C27" s="1485"/>
      <c r="D27" s="1485"/>
      <c r="E27" s="1488"/>
      <c r="F27" s="1487"/>
      <c r="G27" s="1497"/>
      <c r="H27" s="1497">
        <f t="shared" si="0"/>
        <v>0</v>
      </c>
      <c r="I27" s="1497">
        <f t="shared" si="1"/>
        <v>0</v>
      </c>
      <c r="J27" s="1497">
        <f t="shared" si="2"/>
        <v>0</v>
      </c>
      <c r="L27" s="1497"/>
      <c r="M27" s="1843"/>
      <c r="N27" s="1843"/>
      <c r="O27" s="1843"/>
    </row>
    <row r="28" spans="1:15" ht="12" customHeight="1" x14ac:dyDescent="0.2">
      <c r="A28" s="1483" t="s">
        <v>1519</v>
      </c>
      <c r="B28" s="1484"/>
      <c r="C28" s="1485"/>
      <c r="D28" s="1485"/>
      <c r="E28" s="1488"/>
      <c r="F28" s="1487"/>
      <c r="G28" s="1497"/>
      <c r="H28" s="1497">
        <f t="shared" si="0"/>
        <v>0</v>
      </c>
      <c r="I28" s="1497">
        <f t="shared" si="1"/>
        <v>0</v>
      </c>
      <c r="J28" s="1497">
        <f t="shared" si="2"/>
        <v>0</v>
      </c>
      <c r="L28" s="1497"/>
      <c r="M28" s="1843"/>
      <c r="N28" s="1843"/>
      <c r="O28" s="1843"/>
    </row>
    <row r="29" spans="1:15" ht="12" customHeight="1" x14ac:dyDescent="0.2">
      <c r="A29" s="1483" t="s">
        <v>1520</v>
      </c>
      <c r="B29" s="1484"/>
      <c r="C29" s="1485"/>
      <c r="D29" s="1485"/>
      <c r="E29" s="1488"/>
      <c r="F29" s="1487"/>
      <c r="G29" s="1497"/>
      <c r="H29" s="1497">
        <f t="shared" si="0"/>
        <v>0</v>
      </c>
      <c r="I29" s="1497">
        <f t="shared" si="1"/>
        <v>0</v>
      </c>
      <c r="J29" s="1497">
        <f t="shared" si="2"/>
        <v>0</v>
      </c>
      <c r="L29" s="1497"/>
      <c r="M29" s="1843"/>
      <c r="N29" s="1843"/>
      <c r="O29" s="1843"/>
    </row>
    <row r="30" spans="1:15" ht="12" customHeight="1" x14ac:dyDescent="0.2">
      <c r="A30" s="1483" t="s">
        <v>1521</v>
      </c>
      <c r="B30" s="1484"/>
      <c r="C30" s="1485"/>
      <c r="D30" s="1485"/>
      <c r="E30" s="1488"/>
      <c r="F30" s="1487"/>
      <c r="G30" s="1497"/>
      <c r="H30" s="1497">
        <f t="shared" si="0"/>
        <v>0</v>
      </c>
      <c r="I30" s="1497">
        <f t="shared" si="1"/>
        <v>0</v>
      </c>
      <c r="J30" s="1497">
        <f t="shared" si="2"/>
        <v>0</v>
      </c>
      <c r="L30" s="1497"/>
      <c r="M30" s="1843"/>
      <c r="N30" s="1843"/>
      <c r="O30" s="1843"/>
    </row>
    <row r="31" spans="1:15" ht="12" customHeight="1" x14ac:dyDescent="0.2">
      <c r="A31" s="1483" t="s">
        <v>1522</v>
      </c>
      <c r="B31" s="1484"/>
      <c r="C31" s="1485"/>
      <c r="D31" s="1485"/>
      <c r="E31" s="1488"/>
      <c r="F31" s="1487"/>
      <c r="G31" s="1497"/>
      <c r="H31" s="1497">
        <f t="shared" si="0"/>
        <v>0</v>
      </c>
      <c r="I31" s="1497">
        <f t="shared" si="1"/>
        <v>0</v>
      </c>
      <c r="J31" s="1497">
        <f t="shared" si="2"/>
        <v>0</v>
      </c>
      <c r="L31" s="1844"/>
      <c r="M31" s="1843"/>
      <c r="N31" s="1843"/>
      <c r="O31" s="1843"/>
    </row>
    <row r="32" spans="1:15" ht="12" customHeight="1" x14ac:dyDescent="0.2">
      <c r="A32" s="1483" t="s">
        <v>1523</v>
      </c>
      <c r="B32" s="1484"/>
      <c r="C32" s="1485"/>
      <c r="D32" s="1485"/>
      <c r="E32" s="1488"/>
      <c r="F32" s="1487"/>
      <c r="G32" s="1497"/>
      <c r="H32" s="1497">
        <f t="shared" si="0"/>
        <v>0</v>
      </c>
      <c r="I32" s="1497">
        <f t="shared" si="1"/>
        <v>0</v>
      </c>
      <c r="J32" s="1497">
        <f t="shared" si="2"/>
        <v>0</v>
      </c>
      <c r="L32" s="1497"/>
      <c r="M32" s="1843"/>
      <c r="N32" s="1843"/>
      <c r="O32" s="1843"/>
    </row>
    <row r="33" spans="1:15" ht="12" customHeight="1" x14ac:dyDescent="0.2">
      <c r="A33" s="1483" t="s">
        <v>1524</v>
      </c>
      <c r="B33" s="1484"/>
      <c r="C33" s="1485"/>
      <c r="D33" s="1485"/>
      <c r="E33" s="1488"/>
      <c r="F33" s="1487"/>
      <c r="G33" s="1497"/>
      <c r="H33" s="1497">
        <f t="shared" si="0"/>
        <v>0</v>
      </c>
      <c r="I33" s="1497">
        <f t="shared" si="1"/>
        <v>0</v>
      </c>
      <c r="J33" s="1497">
        <f t="shared" si="2"/>
        <v>0</v>
      </c>
      <c r="L33" s="1497"/>
      <c r="M33" s="1843"/>
      <c r="N33" s="1843"/>
      <c r="O33" s="1843"/>
    </row>
    <row r="34" spans="1:15" ht="12" customHeight="1" x14ac:dyDescent="0.25">
      <c r="A34" s="1489"/>
      <c r="B34" s="1489"/>
      <c r="C34" s="1489"/>
      <c r="D34" s="1489"/>
      <c r="E34" s="1489"/>
      <c r="F34" s="1489"/>
      <c r="G34" s="1497"/>
      <c r="H34" s="1497">
        <f>SUM(H11:H32)</f>
        <v>15</v>
      </c>
      <c r="I34" s="1497">
        <f>SUM(I11:I32)</f>
        <v>15</v>
      </c>
      <c r="J34" s="1497">
        <f>SUM(J11:J32)</f>
        <v>0</v>
      </c>
      <c r="K34" s="1497">
        <f>SUM(H34:J34)</f>
        <v>30</v>
      </c>
      <c r="L34" s="1497"/>
      <c r="M34" s="1843"/>
      <c r="N34" s="1843"/>
      <c r="O34" s="1843"/>
    </row>
    <row r="35" spans="1:15" ht="12" customHeight="1" x14ac:dyDescent="0.2">
      <c r="A35" s="1490" t="s">
        <v>1376</v>
      </c>
      <c r="B35" s="1491"/>
      <c r="C35" s="2455"/>
      <c r="D35" s="2455"/>
      <c r="E35" s="2455"/>
      <c r="F35" s="2456"/>
    </row>
    <row r="36" spans="1:15" ht="12" customHeight="1" x14ac:dyDescent="0.2">
      <c r="A36" s="2446"/>
      <c r="B36" s="2447"/>
      <c r="C36" s="2447"/>
      <c r="D36" s="2447"/>
      <c r="E36" s="2447"/>
      <c r="F36" s="2448"/>
    </row>
    <row r="37" spans="1:15" ht="12" customHeight="1" x14ac:dyDescent="0.2">
      <c r="A37" s="2446"/>
      <c r="B37" s="2447"/>
      <c r="C37" s="2447"/>
      <c r="D37" s="2447"/>
      <c r="E37" s="2447"/>
      <c r="F37" s="2448"/>
    </row>
    <row r="38" spans="1:15" ht="12" customHeight="1" x14ac:dyDescent="0.2">
      <c r="A38" s="2460"/>
      <c r="B38" s="2461"/>
      <c r="C38" s="2461"/>
      <c r="D38" s="2461"/>
      <c r="E38" s="2461"/>
      <c r="F38" s="2462"/>
    </row>
    <row r="39" spans="1:15" ht="4.5" hidden="1" customHeight="1" x14ac:dyDescent="0.2">
      <c r="A39" s="1492"/>
      <c r="B39" s="1492"/>
      <c r="C39" s="1492"/>
      <c r="D39" s="1492"/>
      <c r="E39" s="1492"/>
      <c r="F39" s="1492"/>
    </row>
    <row r="40" spans="1:15" s="1489" customFormat="1" ht="12" customHeight="1" x14ac:dyDescent="0.25">
      <c r="A40" s="1493" t="s">
        <v>1375</v>
      </c>
      <c r="B40" s="1494"/>
      <c r="C40" s="2463"/>
      <c r="D40" s="2463"/>
      <c r="E40" s="2463"/>
      <c r="F40" s="2464"/>
      <c r="H40" s="1498"/>
      <c r="I40" s="1498"/>
      <c r="J40" s="1498"/>
      <c r="K40" s="1498"/>
    </row>
    <row r="41" spans="1:15" s="1489" customFormat="1" ht="12" customHeight="1" x14ac:dyDescent="0.25">
      <c r="A41" s="2465"/>
      <c r="B41" s="2466"/>
      <c r="C41" s="2466"/>
      <c r="D41" s="2466"/>
      <c r="E41" s="2466"/>
      <c r="F41" s="2467"/>
      <c r="H41" s="1498"/>
      <c r="I41" s="1498"/>
      <c r="J41" s="1498"/>
      <c r="K41" s="1498"/>
    </row>
    <row r="42" spans="1:15" s="1489" customFormat="1" ht="12" customHeight="1" x14ac:dyDescent="0.25">
      <c r="A42" s="2465"/>
      <c r="B42" s="2466"/>
      <c r="C42" s="2466"/>
      <c r="D42" s="2466"/>
      <c r="E42" s="2466"/>
      <c r="F42" s="2467"/>
      <c r="H42" s="1498"/>
      <c r="I42" s="1498"/>
      <c r="J42" s="1498"/>
      <c r="K42" s="1498"/>
    </row>
    <row r="43" spans="1:15" s="1489" customFormat="1" ht="15" x14ac:dyDescent="0.25">
      <c r="A43" s="2457"/>
      <c r="B43" s="2458"/>
      <c r="C43" s="2458"/>
      <c r="D43" s="2458"/>
      <c r="E43" s="2458"/>
      <c r="F43" s="2459"/>
      <c r="H43" s="1498"/>
      <c r="I43" s="1498"/>
      <c r="J43" s="1498"/>
      <c r="K43" s="1498"/>
    </row>
    <row r="44" spans="1:15" s="1489" customFormat="1" ht="12" hidden="1" customHeight="1" x14ac:dyDescent="0.25">
      <c r="A44" s="2457"/>
      <c r="B44" s="2458"/>
      <c r="C44" s="2458"/>
      <c r="D44" s="2458"/>
      <c r="E44" s="2458"/>
      <c r="F44" s="2459"/>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6" sqref="M66"/>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65"/>
      <c r="B1" s="1966"/>
      <c r="C1" s="1966"/>
      <c r="D1" s="1966"/>
      <c r="E1" s="1966"/>
      <c r="F1" s="1966"/>
      <c r="G1" s="1981" t="s">
        <v>402</v>
      </c>
      <c r="H1" s="1982"/>
      <c r="I1" s="1966"/>
      <c r="J1" s="1966"/>
      <c r="K1" s="1966"/>
      <c r="L1" s="1966"/>
      <c r="M1" s="1966"/>
      <c r="N1" s="1967"/>
    </row>
    <row r="2" spans="1:14" x14ac:dyDescent="0.2">
      <c r="A2" s="1983"/>
      <c r="B2" s="837"/>
      <c r="C2" s="837"/>
      <c r="D2" s="837"/>
      <c r="E2" s="837"/>
      <c r="F2" s="837"/>
      <c r="G2" s="1909" t="s">
        <v>1999</v>
      </c>
      <c r="H2" s="1906"/>
      <c r="I2" s="837"/>
      <c r="J2" s="837"/>
      <c r="K2" s="837"/>
      <c r="L2" s="837"/>
      <c r="M2" s="837"/>
      <c r="N2" s="1984"/>
    </row>
    <row r="3" spans="1:14" x14ac:dyDescent="0.2">
      <c r="A3" s="1983"/>
      <c r="B3" s="837"/>
      <c r="C3" s="837"/>
      <c r="D3" s="837"/>
      <c r="E3" s="837"/>
      <c r="F3" s="837"/>
      <c r="G3" s="1909" t="s">
        <v>403</v>
      </c>
      <c r="H3" s="837"/>
      <c r="I3" s="837"/>
      <c r="J3" s="837"/>
      <c r="K3" s="837"/>
      <c r="L3" s="837"/>
      <c r="M3" s="837"/>
      <c r="N3" s="1984"/>
    </row>
    <row r="4" spans="1:14" x14ac:dyDescent="0.2">
      <c r="A4" s="1983"/>
      <c r="B4" s="837"/>
      <c r="C4" s="837"/>
      <c r="D4" s="837"/>
      <c r="E4" s="837"/>
      <c r="F4" s="837"/>
      <c r="G4" s="1909" t="s">
        <v>863</v>
      </c>
      <c r="H4" s="837"/>
      <c r="I4" s="837"/>
      <c r="J4" s="837"/>
      <c r="K4" s="837"/>
      <c r="L4" s="837"/>
      <c r="M4" s="837"/>
      <c r="N4" s="1984"/>
    </row>
    <row r="5" spans="1:14" x14ac:dyDescent="0.2">
      <c r="A5" s="1983"/>
      <c r="B5" s="837"/>
      <c r="C5" s="837"/>
      <c r="D5" s="837"/>
      <c r="E5" s="837"/>
      <c r="F5" s="1909"/>
      <c r="G5" s="1909"/>
      <c r="H5" s="837"/>
      <c r="I5" s="837"/>
      <c r="J5" s="837"/>
      <c r="K5" s="837"/>
      <c r="L5" s="837"/>
      <c r="M5" s="837"/>
      <c r="N5" s="1984"/>
    </row>
    <row r="6" spans="1:14" x14ac:dyDescent="0.2">
      <c r="A6" s="1985" t="s">
        <v>667</v>
      </c>
      <c r="B6" s="1367"/>
      <c r="C6" s="1367"/>
      <c r="D6" s="1367"/>
      <c r="E6" s="1368"/>
      <c r="F6" s="1908"/>
      <c r="G6" s="1909"/>
      <c r="H6" s="837"/>
      <c r="I6" s="1910" t="s">
        <v>1021</v>
      </c>
      <c r="J6" s="2469" t="str">
        <f>COVER!A17</f>
        <v>Hazel Crest SD 152-5</v>
      </c>
      <c r="K6" s="2469"/>
      <c r="L6" s="2470"/>
      <c r="M6" s="837"/>
      <c r="N6" s="1984"/>
    </row>
    <row r="7" spans="1:14" x14ac:dyDescent="0.2">
      <c r="A7" s="2471" t="s">
        <v>864</v>
      </c>
      <c r="B7" s="2472"/>
      <c r="C7" s="2472"/>
      <c r="D7" s="2472"/>
      <c r="E7" s="2473"/>
      <c r="F7" s="838"/>
      <c r="G7" s="837"/>
      <c r="H7" s="837"/>
      <c r="I7" s="1910" t="s">
        <v>369</v>
      </c>
      <c r="J7" s="2474">
        <f>COVER!A13</f>
        <v>7016152502</v>
      </c>
      <c r="K7" s="2474"/>
      <c r="L7" s="2474"/>
      <c r="M7" s="837"/>
      <c r="N7" s="1984"/>
    </row>
    <row r="8" spans="1:14" x14ac:dyDescent="0.2">
      <c r="A8" s="1986"/>
      <c r="B8" s="1911"/>
      <c r="C8" s="1911"/>
      <c r="D8" s="1911"/>
      <c r="E8" s="1912"/>
      <c r="F8" s="1913"/>
      <c r="G8" s="1898"/>
      <c r="H8" s="1898"/>
      <c r="I8" s="1898"/>
      <c r="J8" s="1898"/>
      <c r="K8" s="1898"/>
      <c r="L8" s="1898"/>
      <c r="M8" s="837"/>
      <c r="N8" s="1984"/>
    </row>
    <row r="9" spans="1:14" x14ac:dyDescent="0.2">
      <c r="A9" s="1987"/>
      <c r="B9" s="839"/>
      <c r="C9" s="839"/>
      <c r="D9" s="840"/>
      <c r="E9" s="1914" t="s">
        <v>2015</v>
      </c>
      <c r="F9" s="1845"/>
      <c r="G9" s="1845"/>
      <c r="H9" s="1845"/>
      <c r="I9" s="1915" t="s">
        <v>2016</v>
      </c>
      <c r="J9" s="1845"/>
      <c r="K9" s="1845"/>
      <c r="L9" s="1846"/>
      <c r="M9" s="837"/>
      <c r="N9" s="1984"/>
    </row>
    <row r="10" spans="1:14" x14ac:dyDescent="0.2">
      <c r="A10" s="1988"/>
      <c r="B10" s="1916"/>
      <c r="C10" s="1917"/>
      <c r="D10" s="1918"/>
      <c r="E10" s="1919" t="s">
        <v>422</v>
      </c>
      <c r="F10" s="1920" t="s">
        <v>423</v>
      </c>
      <c r="G10" s="1921" t="s">
        <v>429</v>
      </c>
      <c r="H10" s="1922"/>
      <c r="I10" s="1920" t="s">
        <v>422</v>
      </c>
      <c r="J10" s="1920" t="s">
        <v>423</v>
      </c>
      <c r="K10" s="1921" t="s">
        <v>429</v>
      </c>
      <c r="L10" s="1920"/>
      <c r="M10" s="837"/>
      <c r="N10" s="1984"/>
    </row>
    <row r="11" spans="1:14" ht="51" x14ac:dyDescent="0.2">
      <c r="A11" s="2475" t="s">
        <v>478</v>
      </c>
      <c r="B11" s="2476"/>
      <c r="C11" s="2477"/>
      <c r="D11" s="1923" t="s">
        <v>866</v>
      </c>
      <c r="E11" s="1923" t="s">
        <v>64</v>
      </c>
      <c r="F11" s="1923" t="s">
        <v>6</v>
      </c>
      <c r="G11" s="1924" t="s">
        <v>2017</v>
      </c>
      <c r="H11" s="1925" t="s">
        <v>155</v>
      </c>
      <c r="I11" s="1923" t="s">
        <v>64</v>
      </c>
      <c r="J11" s="1923" t="s">
        <v>6</v>
      </c>
      <c r="K11" s="1924" t="s">
        <v>1998</v>
      </c>
      <c r="L11" s="1925" t="s">
        <v>155</v>
      </c>
      <c r="M11" s="837"/>
      <c r="N11" s="1984"/>
    </row>
    <row r="12" spans="1:14" x14ac:dyDescent="0.2">
      <c r="A12" s="1989">
        <v>1</v>
      </c>
      <c r="B12" s="1926" t="s">
        <v>813</v>
      </c>
      <c r="C12" s="841"/>
      <c r="D12" s="1927">
        <v>2320</v>
      </c>
      <c r="E12" s="1930">
        <f>'Expenditures 15-22'!K50</f>
        <v>479294</v>
      </c>
      <c r="F12" s="1928"/>
      <c r="G12" s="1954">
        <f>G68</f>
        <v>0</v>
      </c>
      <c r="H12" s="1930">
        <f t="shared" ref="H12:H18" si="0">SUM(E12:G12)</f>
        <v>479294</v>
      </c>
      <c r="I12" s="1929">
        <f>460000+80000+5000+5000</f>
        <v>550000</v>
      </c>
      <c r="J12" s="1928"/>
      <c r="K12" s="1929">
        <v>0</v>
      </c>
      <c r="L12" s="1930">
        <f t="shared" ref="L12:L18" si="1">SUM(I12:K12)</f>
        <v>550000</v>
      </c>
      <c r="M12" s="837"/>
      <c r="N12" s="1984"/>
    </row>
    <row r="13" spans="1:14" x14ac:dyDescent="0.2">
      <c r="A13" s="1989">
        <v>2</v>
      </c>
      <c r="B13" s="1926" t="s">
        <v>42</v>
      </c>
      <c r="C13" s="841"/>
      <c r="D13" s="1927">
        <v>2330</v>
      </c>
      <c r="E13" s="1930">
        <f>'Expenditures 15-22'!K51</f>
        <v>212337</v>
      </c>
      <c r="F13" s="1928"/>
      <c r="G13" s="1954">
        <f>H68</f>
        <v>0</v>
      </c>
      <c r="H13" s="1930">
        <f t="shared" si="0"/>
        <v>212337</v>
      </c>
      <c r="I13" s="1929">
        <f>148000+20000+5000</f>
        <v>173000</v>
      </c>
      <c r="J13" s="1928"/>
      <c r="K13" s="1929">
        <v>0</v>
      </c>
      <c r="L13" s="1930">
        <f t="shared" si="1"/>
        <v>173000</v>
      </c>
      <c r="M13" s="837"/>
      <c r="N13" s="1984"/>
    </row>
    <row r="14" spans="1:14" x14ac:dyDescent="0.2">
      <c r="A14" s="1989">
        <v>3</v>
      </c>
      <c r="B14" s="1926" t="s">
        <v>43</v>
      </c>
      <c r="C14" s="841"/>
      <c r="D14" s="1931">
        <v>2490</v>
      </c>
      <c r="E14" s="1930">
        <f>'Expenditures 15-22'!K56</f>
        <v>0</v>
      </c>
      <c r="F14" s="1928"/>
      <c r="G14" s="1954">
        <f>I68</f>
        <v>0</v>
      </c>
      <c r="H14" s="1930">
        <f t="shared" si="0"/>
        <v>0</v>
      </c>
      <c r="I14" s="1929">
        <v>0</v>
      </c>
      <c r="J14" s="1928"/>
      <c r="K14" s="1929">
        <v>0</v>
      </c>
      <c r="L14" s="1930">
        <f t="shared" si="1"/>
        <v>0</v>
      </c>
      <c r="M14" s="837"/>
      <c r="N14" s="1984"/>
    </row>
    <row r="15" spans="1:14" x14ac:dyDescent="0.2">
      <c r="A15" s="1989">
        <v>4</v>
      </c>
      <c r="B15" s="1926" t="s">
        <v>1059</v>
      </c>
      <c r="C15" s="841"/>
      <c r="D15" s="1927">
        <v>2510</v>
      </c>
      <c r="E15" s="1930">
        <f>'Expenditures 15-22'!K59</f>
        <v>382389</v>
      </c>
      <c r="F15" s="1930">
        <f>'Expenditures 15-22'!K122</f>
        <v>0</v>
      </c>
      <c r="G15" s="1954">
        <f>J68</f>
        <v>0</v>
      </c>
      <c r="H15" s="1930">
        <f t="shared" si="0"/>
        <v>382389</v>
      </c>
      <c r="I15" s="1929">
        <f>272500+25000+87500+11500+1500</f>
        <v>398000</v>
      </c>
      <c r="J15" s="1929">
        <v>0</v>
      </c>
      <c r="K15" s="1929">
        <v>0</v>
      </c>
      <c r="L15" s="1930">
        <f t="shared" si="1"/>
        <v>398000</v>
      </c>
      <c r="M15" s="837"/>
      <c r="N15" s="1984"/>
    </row>
    <row r="16" spans="1:14" x14ac:dyDescent="0.2">
      <c r="A16" s="1989">
        <v>5</v>
      </c>
      <c r="B16" s="1926" t="s">
        <v>101</v>
      </c>
      <c r="C16" s="841"/>
      <c r="D16" s="1927">
        <v>2570</v>
      </c>
      <c r="E16" s="1930">
        <f>'Expenditures 15-22'!K64</f>
        <v>0</v>
      </c>
      <c r="F16" s="1928"/>
      <c r="G16" s="1954">
        <f>K68</f>
        <v>0</v>
      </c>
      <c r="H16" s="1930">
        <f t="shared" si="0"/>
        <v>0</v>
      </c>
      <c r="I16" s="1929">
        <v>0</v>
      </c>
      <c r="J16" s="1928"/>
      <c r="K16" s="1929">
        <v>0</v>
      </c>
      <c r="L16" s="1930">
        <f t="shared" si="1"/>
        <v>0</v>
      </c>
      <c r="M16" s="837"/>
      <c r="N16" s="1984"/>
    </row>
    <row r="17" spans="1:14" x14ac:dyDescent="0.2">
      <c r="A17" s="1989">
        <v>6</v>
      </c>
      <c r="B17" s="1926" t="s">
        <v>1051</v>
      </c>
      <c r="C17" s="841"/>
      <c r="D17" s="1927">
        <v>2610</v>
      </c>
      <c r="E17" s="1930">
        <f>'Expenditures 15-22'!K67</f>
        <v>0</v>
      </c>
      <c r="F17" s="1928"/>
      <c r="G17" s="1954">
        <f>L68</f>
        <v>0</v>
      </c>
      <c r="H17" s="1930">
        <f t="shared" si="0"/>
        <v>0</v>
      </c>
      <c r="I17" s="1929">
        <v>0</v>
      </c>
      <c r="J17" s="1928"/>
      <c r="K17" s="1929">
        <v>0</v>
      </c>
      <c r="L17" s="1930">
        <f t="shared" si="1"/>
        <v>0</v>
      </c>
      <c r="M17" s="837"/>
      <c r="N17" s="1984"/>
    </row>
    <row r="18" spans="1:14" ht="26.25" customHeight="1" x14ac:dyDescent="0.2">
      <c r="A18" s="1990">
        <v>7</v>
      </c>
      <c r="B18" s="2478" t="s">
        <v>7</v>
      </c>
      <c r="C18" s="2479"/>
      <c r="D18" s="2480"/>
      <c r="E18" s="1932">
        <v>0</v>
      </c>
      <c r="F18" s="1932">
        <v>0</v>
      </c>
      <c r="G18" s="1929">
        <v>0</v>
      </c>
      <c r="H18" s="1933">
        <f t="shared" si="0"/>
        <v>0</v>
      </c>
      <c r="I18" s="1929">
        <v>0</v>
      </c>
      <c r="J18" s="1929">
        <v>0</v>
      </c>
      <c r="K18" s="1929">
        <v>0</v>
      </c>
      <c r="L18" s="1930">
        <f t="shared" si="1"/>
        <v>0</v>
      </c>
      <c r="M18" s="837"/>
      <c r="N18" s="1984"/>
    </row>
    <row r="19" spans="1:14" ht="13.5" thickBot="1" x14ac:dyDescent="0.25">
      <c r="A19" s="1989">
        <v>8</v>
      </c>
      <c r="B19" s="1934" t="s">
        <v>1151</v>
      </c>
      <c r="C19" s="837"/>
      <c r="D19" s="1935"/>
      <c r="E19" s="1936">
        <f t="shared" ref="E19:L19" si="2">SUM(E12:E17)-E18</f>
        <v>1074020</v>
      </c>
      <c r="F19" s="1936">
        <f t="shared" si="2"/>
        <v>0</v>
      </c>
      <c r="G19" s="1936">
        <f t="shared" ref="G19" si="3">SUM(G12:G17)-G18</f>
        <v>0</v>
      </c>
      <c r="H19" s="1936">
        <f t="shared" si="2"/>
        <v>1074020</v>
      </c>
      <c r="I19" s="1936">
        <f t="shared" si="2"/>
        <v>1121000</v>
      </c>
      <c r="J19" s="1936">
        <f t="shared" si="2"/>
        <v>0</v>
      </c>
      <c r="K19" s="1936">
        <f t="shared" si="2"/>
        <v>0</v>
      </c>
      <c r="L19" s="1936">
        <f t="shared" si="2"/>
        <v>1121000</v>
      </c>
      <c r="M19" s="837"/>
      <c r="N19" s="1984"/>
    </row>
    <row r="20" spans="1:14" ht="13.5" thickTop="1" x14ac:dyDescent="0.2">
      <c r="A20" s="1989">
        <v>9</v>
      </c>
      <c r="B20" s="2481" t="s">
        <v>2018</v>
      </c>
      <c r="C20" s="2481"/>
      <c r="D20" s="2482"/>
      <c r="E20" s="1937"/>
      <c r="F20" s="1937"/>
      <c r="G20" s="1937"/>
      <c r="H20" s="1937"/>
      <c r="I20" s="1937"/>
      <c r="J20" s="1937"/>
      <c r="K20" s="1937"/>
      <c r="L20" s="1938">
        <f>IF(AND(H19&gt;0,L19&gt;0),(((L19-H19)/H19)),"Enter Budget Data")</f>
        <v>4.3742202193627677E-2</v>
      </c>
      <c r="M20" s="837"/>
      <c r="N20" s="1984"/>
    </row>
    <row r="21" spans="1:14" x14ac:dyDescent="0.2">
      <c r="A21" s="1991" t="s">
        <v>194</v>
      </c>
      <c r="B21" s="1992" t="s">
        <v>2043</v>
      </c>
      <c r="C21" s="837"/>
      <c r="D21" s="1939"/>
      <c r="E21" s="1940"/>
      <c r="F21" s="1941"/>
      <c r="G21" s="1941"/>
      <c r="H21" s="1941"/>
      <c r="I21" s="1941"/>
      <c r="J21" s="1941"/>
      <c r="K21" s="1941"/>
      <c r="L21" s="1942"/>
      <c r="M21" s="837"/>
      <c r="N21" s="1984"/>
    </row>
    <row r="22" spans="1:14" x14ac:dyDescent="0.2">
      <c r="A22" s="1983"/>
      <c r="B22" s="1993"/>
      <c r="C22" s="837"/>
      <c r="D22" s="837"/>
      <c r="E22" s="837"/>
      <c r="F22" s="837"/>
      <c r="G22" s="837"/>
      <c r="H22" s="837"/>
      <c r="I22" s="837"/>
      <c r="J22" s="837"/>
      <c r="K22" s="837"/>
      <c r="L22" s="837"/>
      <c r="M22" s="837"/>
      <c r="N22" s="1984"/>
    </row>
    <row r="23" spans="1:14" x14ac:dyDescent="0.2">
      <c r="A23" s="1994" t="s">
        <v>132</v>
      </c>
      <c r="B23" s="1993"/>
      <c r="C23" s="837"/>
      <c r="D23" s="837"/>
      <c r="E23" s="837"/>
      <c r="F23" s="837"/>
      <c r="G23" s="837"/>
      <c r="H23" s="837"/>
      <c r="I23" s="837"/>
      <c r="J23" s="837"/>
      <c r="K23" s="837"/>
      <c r="L23" s="837"/>
      <c r="M23" s="837"/>
      <c r="N23" s="1984"/>
    </row>
    <row r="24" spans="1:14" x14ac:dyDescent="0.2">
      <c r="A24" s="1995" t="s">
        <v>2019</v>
      </c>
      <c r="B24" s="1996"/>
      <c r="C24" s="1997"/>
      <c r="D24" s="1997"/>
      <c r="E24" s="1997"/>
      <c r="F24" s="1997"/>
      <c r="G24" s="1997"/>
      <c r="H24" s="1997"/>
      <c r="I24" s="1997"/>
      <c r="J24" s="1997"/>
      <c r="K24" s="1997"/>
      <c r="L24" s="837"/>
      <c r="M24" s="837"/>
      <c r="N24" s="1984"/>
    </row>
    <row r="25" spans="1:14" x14ac:dyDescent="0.2">
      <c r="A25" s="1995" t="s">
        <v>2020</v>
      </c>
      <c r="B25" s="1996"/>
      <c r="C25" s="1997"/>
      <c r="D25" s="1997"/>
      <c r="E25" s="1997"/>
      <c r="F25" s="1997"/>
      <c r="G25" s="1997"/>
      <c r="H25" s="1997"/>
      <c r="I25" s="1997"/>
      <c r="J25" s="1997"/>
      <c r="K25" s="1997"/>
      <c r="L25" s="837"/>
      <c r="M25" s="837"/>
      <c r="N25" s="1984"/>
    </row>
    <row r="26" spans="1:14" x14ac:dyDescent="0.2">
      <c r="A26" s="1998"/>
      <c r="B26" s="1993"/>
      <c r="C26" s="837"/>
      <c r="D26" s="837"/>
      <c r="E26" s="837"/>
      <c r="F26" s="837"/>
      <c r="G26" s="837"/>
      <c r="H26" s="837"/>
      <c r="I26" s="837"/>
      <c r="J26" s="837"/>
      <c r="K26" s="837"/>
      <c r="L26" s="837"/>
      <c r="M26" s="837"/>
      <c r="N26" s="1984"/>
    </row>
    <row r="27" spans="1:14" x14ac:dyDescent="0.2">
      <c r="A27" s="1983"/>
      <c r="B27" s="1993"/>
      <c r="C27" s="2483"/>
      <c r="D27" s="2483"/>
      <c r="E27" s="842"/>
      <c r="F27" s="2484"/>
      <c r="G27" s="2484"/>
      <c r="H27" s="2484"/>
      <c r="I27" s="837"/>
      <c r="J27" s="837"/>
      <c r="K27" s="837"/>
      <c r="L27" s="837"/>
      <c r="M27" s="837"/>
      <c r="N27" s="1984"/>
    </row>
    <row r="28" spans="1:14" x14ac:dyDescent="0.2">
      <c r="A28" s="1983"/>
      <c r="B28" s="1993"/>
      <c r="C28" s="1943" t="s">
        <v>1026</v>
      </c>
      <c r="D28" s="843"/>
      <c r="E28" s="1944"/>
      <c r="F28" s="2485" t="s">
        <v>1492</v>
      </c>
      <c r="G28" s="2485"/>
      <c r="H28" s="2485"/>
      <c r="I28" s="837"/>
      <c r="J28" s="837"/>
      <c r="K28" s="837"/>
      <c r="L28" s="837"/>
      <c r="M28" s="837"/>
      <c r="N28" s="1984"/>
    </row>
    <row r="29" spans="1:14" x14ac:dyDescent="0.2">
      <c r="A29" s="1983"/>
      <c r="B29" s="1993"/>
      <c r="C29" s="2486" t="s">
        <v>2052</v>
      </c>
      <c r="D29" s="2486"/>
      <c r="E29" s="844"/>
      <c r="F29" s="2486" t="s">
        <v>2054</v>
      </c>
      <c r="G29" s="2486"/>
      <c r="H29" s="2486"/>
      <c r="I29" s="837"/>
      <c r="J29" s="837"/>
      <c r="K29" s="837"/>
      <c r="L29" s="837"/>
      <c r="M29" s="837"/>
      <c r="N29" s="1984"/>
    </row>
    <row r="30" spans="1:14" x14ac:dyDescent="0.2">
      <c r="A30" s="1983"/>
      <c r="B30" s="1993"/>
      <c r="C30" s="1946" t="s">
        <v>1544</v>
      </c>
      <c r="D30" s="837"/>
      <c r="E30" s="1945"/>
      <c r="F30" s="2468" t="s">
        <v>1493</v>
      </c>
      <c r="G30" s="2468"/>
      <c r="H30" s="2468"/>
      <c r="I30" s="837"/>
      <c r="J30" s="837"/>
      <c r="K30" s="837"/>
      <c r="L30" s="837"/>
      <c r="M30" s="837"/>
      <c r="N30" s="1984"/>
    </row>
    <row r="31" spans="1:14" x14ac:dyDescent="0.2">
      <c r="A31" s="1983"/>
      <c r="B31" s="1993"/>
      <c r="C31" s="1999"/>
      <c r="D31" s="837"/>
      <c r="E31" s="1939"/>
      <c r="F31" s="1940"/>
      <c r="G31" s="1940"/>
      <c r="H31" s="1940"/>
      <c r="I31" s="837"/>
      <c r="J31" s="837"/>
      <c r="K31" s="837"/>
      <c r="L31" s="837"/>
      <c r="M31" s="837"/>
      <c r="N31" s="1984"/>
    </row>
    <row r="32" spans="1:14" x14ac:dyDescent="0.2">
      <c r="A32" s="1983"/>
      <c r="B32" s="2000" t="s">
        <v>1027</v>
      </c>
      <c r="C32" s="837"/>
      <c r="D32" s="837"/>
      <c r="E32" s="837"/>
      <c r="F32" s="837"/>
      <c r="G32" s="837"/>
      <c r="H32" s="837"/>
      <c r="I32" s="837"/>
      <c r="J32" s="837"/>
      <c r="K32" s="837"/>
      <c r="L32" s="837"/>
      <c r="M32" s="837"/>
      <c r="N32" s="1984"/>
    </row>
    <row r="33" spans="1:14" x14ac:dyDescent="0.2">
      <c r="A33" s="1983"/>
      <c r="B33" s="2001"/>
      <c r="C33" s="837"/>
      <c r="D33" s="837"/>
      <c r="E33" s="837"/>
      <c r="F33" s="837"/>
      <c r="G33" s="837"/>
      <c r="H33" s="837"/>
      <c r="I33" s="837"/>
      <c r="J33" s="837"/>
      <c r="K33" s="837"/>
      <c r="L33" s="837"/>
      <c r="M33" s="837"/>
      <c r="N33" s="1984"/>
    </row>
    <row r="34" spans="1:14" x14ac:dyDescent="0.2">
      <c r="A34" s="1983"/>
      <c r="B34" s="845"/>
      <c r="C34" s="2489" t="s">
        <v>2021</v>
      </c>
      <c r="D34" s="2490"/>
      <c r="E34" s="2490"/>
      <c r="F34" s="2490"/>
      <c r="G34" s="2490"/>
      <c r="H34" s="2490"/>
      <c r="I34" s="2490"/>
      <c r="J34" s="2490"/>
      <c r="K34" s="2002"/>
      <c r="L34" s="837"/>
      <c r="M34" s="837"/>
      <c r="N34" s="1984"/>
    </row>
    <row r="35" spans="1:14" x14ac:dyDescent="0.2">
      <c r="A35" s="1983"/>
      <c r="B35" s="837"/>
      <c r="C35" s="2490"/>
      <c r="D35" s="2490"/>
      <c r="E35" s="2490"/>
      <c r="F35" s="2490"/>
      <c r="G35" s="2490"/>
      <c r="H35" s="2490"/>
      <c r="I35" s="2490"/>
      <c r="J35" s="2490"/>
      <c r="K35" s="2002"/>
      <c r="L35" s="837"/>
      <c r="M35" s="837"/>
      <c r="N35" s="1984"/>
    </row>
    <row r="36" spans="1:14" x14ac:dyDescent="0.2">
      <c r="A36" s="1983"/>
      <c r="B36" s="837"/>
      <c r="C36" s="2003"/>
      <c r="D36" s="837"/>
      <c r="E36" s="837"/>
      <c r="F36" s="837"/>
      <c r="G36" s="837"/>
      <c r="H36" s="837"/>
      <c r="I36" s="837"/>
      <c r="J36" s="837"/>
      <c r="K36" s="837"/>
      <c r="L36" s="837"/>
      <c r="M36" s="837"/>
      <c r="N36" s="1984"/>
    </row>
    <row r="37" spans="1:14" x14ac:dyDescent="0.2">
      <c r="A37" s="1983"/>
      <c r="B37" s="845"/>
      <c r="C37" s="2489" t="s">
        <v>2022</v>
      </c>
      <c r="D37" s="2490"/>
      <c r="E37" s="2490"/>
      <c r="F37" s="2490"/>
      <c r="G37" s="2490"/>
      <c r="H37" s="2490"/>
      <c r="I37" s="2490"/>
      <c r="J37" s="2490"/>
      <c r="K37" s="2002"/>
      <c r="L37" s="2004"/>
      <c r="M37" s="837"/>
      <c r="N37" s="1984"/>
    </row>
    <row r="38" spans="1:14" x14ac:dyDescent="0.2">
      <c r="A38" s="1983"/>
      <c r="B38" s="837"/>
      <c r="C38" s="2490"/>
      <c r="D38" s="2490"/>
      <c r="E38" s="2490"/>
      <c r="F38" s="2490"/>
      <c r="G38" s="2490"/>
      <c r="H38" s="2490"/>
      <c r="I38" s="2490"/>
      <c r="J38" s="2490"/>
      <c r="K38" s="2002"/>
      <c r="L38" s="2004"/>
      <c r="M38" s="837"/>
      <c r="N38" s="1984"/>
    </row>
    <row r="39" spans="1:14" x14ac:dyDescent="0.2">
      <c r="A39" s="1983"/>
      <c r="B39" s="837"/>
      <c r="C39" s="2003"/>
      <c r="D39" s="837"/>
      <c r="E39" s="1947"/>
      <c r="F39" s="1948"/>
      <c r="G39" s="1948"/>
      <c r="H39" s="1947"/>
      <c r="I39" s="837"/>
      <c r="J39" s="837"/>
      <c r="K39" s="837"/>
      <c r="L39" s="837"/>
      <c r="M39" s="837"/>
      <c r="N39" s="1984"/>
    </row>
    <row r="40" spans="1:14" x14ac:dyDescent="0.2">
      <c r="A40" s="1983"/>
      <c r="B40" s="845"/>
      <c r="C40" s="2491" t="s">
        <v>2023</v>
      </c>
      <c r="D40" s="2492"/>
      <c r="E40" s="2492"/>
      <c r="F40" s="2492"/>
      <c r="G40" s="2492"/>
      <c r="H40" s="2492"/>
      <c r="I40" s="2492"/>
      <c r="J40" s="2492"/>
      <c r="K40" s="1949"/>
      <c r="L40" s="837"/>
      <c r="M40" s="837"/>
      <c r="N40" s="1984"/>
    </row>
    <row r="41" spans="1:14" x14ac:dyDescent="0.2">
      <c r="A41" s="1983"/>
      <c r="B41" s="837"/>
      <c r="C41" s="2005"/>
      <c r="D41" s="2005"/>
      <c r="E41" s="2005"/>
      <c r="F41" s="2005"/>
      <c r="G41" s="2005"/>
      <c r="H41" s="2005"/>
      <c r="I41" s="2005"/>
      <c r="J41" s="2005"/>
      <c r="K41" s="2005"/>
      <c r="L41" s="837"/>
      <c r="M41" s="837"/>
      <c r="N41" s="1984"/>
    </row>
    <row r="42" spans="1:14" ht="13.5" thickBot="1" x14ac:dyDescent="0.25">
      <c r="A42" s="2006"/>
      <c r="B42" s="2007"/>
      <c r="C42" s="2007"/>
      <c r="D42" s="2007"/>
      <c r="E42" s="2007"/>
      <c r="F42" s="2007"/>
      <c r="G42" s="2007"/>
      <c r="H42" s="2007"/>
      <c r="I42" s="2007"/>
      <c r="J42" s="2007"/>
      <c r="K42" s="2007"/>
      <c r="L42" s="2007"/>
      <c r="M42" s="2007"/>
      <c r="N42" s="2008"/>
    </row>
    <row r="43" spans="1:14" ht="27" thickBot="1" x14ac:dyDescent="0.45">
      <c r="A43" s="2493" t="s">
        <v>2024</v>
      </c>
      <c r="B43" s="2494"/>
      <c r="C43" s="2494"/>
      <c r="D43" s="2494"/>
      <c r="E43" s="2494"/>
      <c r="F43" s="2494"/>
      <c r="G43" s="2494"/>
      <c r="H43" s="2494"/>
      <c r="I43" s="2494"/>
      <c r="J43" s="2494"/>
      <c r="K43" s="2494"/>
      <c r="L43" s="2494"/>
      <c r="M43" s="2494"/>
      <c r="N43" s="2495"/>
    </row>
    <row r="44" spans="1:14" x14ac:dyDescent="0.2">
      <c r="A44" s="1968"/>
      <c r="B44" s="1969"/>
      <c r="C44" s="1969"/>
      <c r="D44" s="1969"/>
      <c r="E44" s="1969"/>
      <c r="F44" s="1969"/>
      <c r="G44" s="1969"/>
      <c r="H44" s="1969"/>
      <c r="I44" s="1969"/>
      <c r="J44" s="1969"/>
      <c r="K44" s="1969"/>
      <c r="L44" s="1969"/>
      <c r="M44" s="1969"/>
      <c r="N44" s="1970"/>
    </row>
    <row r="45" spans="1:14" x14ac:dyDescent="0.2">
      <c r="A45" s="1968" t="s">
        <v>2025</v>
      </c>
      <c r="B45" s="1969"/>
      <c r="C45" s="1969"/>
      <c r="D45" s="1969"/>
      <c r="E45" s="1969"/>
      <c r="F45" s="1969"/>
      <c r="G45" s="1969"/>
      <c r="H45" s="1969"/>
      <c r="I45" s="1969"/>
      <c r="J45" s="1969"/>
      <c r="K45" s="1969"/>
      <c r="L45" s="1969"/>
      <c r="M45" s="1969"/>
      <c r="N45" s="1970"/>
    </row>
    <row r="46" spans="1:14" x14ac:dyDescent="0.2">
      <c r="A46" s="2496" t="s">
        <v>2026</v>
      </c>
      <c r="B46" s="2497"/>
      <c r="C46" s="2497"/>
      <c r="D46" s="2497"/>
      <c r="E46" s="2497"/>
      <c r="F46" s="2497"/>
      <c r="G46" s="2497"/>
      <c r="H46" s="2497"/>
      <c r="I46" s="2497"/>
      <c r="J46" s="2497"/>
      <c r="K46" s="2497"/>
      <c r="L46" s="2497"/>
      <c r="M46" s="2497"/>
      <c r="N46" s="2498"/>
    </row>
    <row r="47" spans="1:14" x14ac:dyDescent="0.2">
      <c r="A47" s="2496"/>
      <c r="B47" s="2497"/>
      <c r="C47" s="2497"/>
      <c r="D47" s="2497"/>
      <c r="E47" s="2497"/>
      <c r="F47" s="2497"/>
      <c r="G47" s="2497"/>
      <c r="H47" s="2497"/>
      <c r="I47" s="2497"/>
      <c r="J47" s="2497"/>
      <c r="K47" s="2497"/>
      <c r="L47" s="2497"/>
      <c r="M47" s="2497"/>
      <c r="N47" s="2498"/>
    </row>
    <row r="48" spans="1:14" x14ac:dyDescent="0.2">
      <c r="A48" s="1971"/>
      <c r="B48" s="1969"/>
      <c r="C48" s="1969"/>
      <c r="D48" s="1972"/>
      <c r="E48" s="1972"/>
      <c r="F48" s="1972"/>
      <c r="G48" s="1972"/>
      <c r="H48" s="1972"/>
      <c r="I48" s="1972"/>
      <c r="J48" s="1972"/>
      <c r="K48" s="1972"/>
      <c r="L48" s="1972"/>
      <c r="M48" s="1972"/>
      <c r="N48" s="1973"/>
    </row>
    <row r="49" spans="1:14" s="2013" customFormat="1" ht="15.75" x14ac:dyDescent="0.25">
      <c r="A49" s="2014" t="s">
        <v>2042</v>
      </c>
      <c r="B49" s="2010"/>
      <c r="C49" s="2010"/>
      <c r="D49" s="2011"/>
      <c r="E49" s="2011"/>
      <c r="F49" s="2011"/>
      <c r="G49" s="2011"/>
      <c r="H49" s="2011"/>
      <c r="I49" s="2011"/>
      <c r="J49" s="2011"/>
      <c r="K49" s="2011"/>
      <c r="L49" s="2011"/>
      <c r="M49" s="2011"/>
      <c r="N49" s="2012"/>
    </row>
    <row r="50" spans="1:14" ht="15" x14ac:dyDescent="0.25">
      <c r="A50" s="2014" t="s">
        <v>2041</v>
      </c>
      <c r="B50" s="1969"/>
      <c r="C50" s="1969"/>
      <c r="D50" s="1969"/>
      <c r="E50" s="1969"/>
      <c r="F50" s="1969"/>
      <c r="G50" s="1969"/>
      <c r="H50" s="1969"/>
      <c r="I50" s="1969"/>
      <c r="J50" s="1969"/>
      <c r="K50" s="1969"/>
      <c r="L50" s="1969"/>
      <c r="M50" s="1969"/>
      <c r="N50" s="1970"/>
    </row>
    <row r="51" spans="1:14" x14ac:dyDescent="0.2">
      <c r="A51" s="1968"/>
      <c r="B51" s="1969"/>
      <c r="C51" s="1969"/>
      <c r="D51" s="1969"/>
      <c r="E51" s="1969"/>
      <c r="F51" s="1969"/>
      <c r="G51" s="1969"/>
      <c r="H51" s="1969"/>
      <c r="I51" s="1969"/>
      <c r="J51" s="1969"/>
      <c r="K51" s="1969"/>
      <c r="L51" s="1969"/>
      <c r="M51" s="1969"/>
      <c r="N51" s="1970"/>
    </row>
    <row r="52" spans="1:14" x14ac:dyDescent="0.2">
      <c r="A52" s="1968"/>
      <c r="B52" s="1969"/>
      <c r="C52" s="1969"/>
      <c r="D52" s="1969"/>
      <c r="E52" s="1969"/>
      <c r="F52" s="1969"/>
      <c r="G52" s="1969"/>
      <c r="H52" s="1969"/>
      <c r="I52" s="1969"/>
      <c r="J52" s="1969"/>
      <c r="K52" s="1910" t="s">
        <v>1021</v>
      </c>
      <c r="L52" s="2469" t="str">
        <f>J6</f>
        <v>Hazel Crest SD 152-5</v>
      </c>
      <c r="M52" s="2469"/>
      <c r="N52" s="2499"/>
    </row>
    <row r="53" spans="1:14" x14ac:dyDescent="0.2">
      <c r="A53" s="1968"/>
      <c r="B53" s="1969"/>
      <c r="C53" s="1969"/>
      <c r="D53" s="1969"/>
      <c r="E53" s="1969"/>
      <c r="F53" s="1969"/>
      <c r="G53" s="1969"/>
      <c r="H53" s="1969"/>
      <c r="I53" s="1969"/>
      <c r="J53" s="1969"/>
      <c r="K53" s="1910" t="s">
        <v>369</v>
      </c>
      <c r="L53" s="2474">
        <f>J7</f>
        <v>7016152502</v>
      </c>
      <c r="M53" s="2474"/>
      <c r="N53" s="2500"/>
    </row>
    <row r="54" spans="1:14" ht="13.5" thickBot="1" x14ac:dyDescent="0.25">
      <c r="A54" s="1968"/>
      <c r="B54" s="1969"/>
      <c r="C54" s="1969"/>
      <c r="D54" s="1969"/>
      <c r="E54" s="1969"/>
      <c r="F54" s="1969"/>
      <c r="G54" s="1969"/>
      <c r="H54" s="1969"/>
      <c r="I54" s="1969"/>
      <c r="J54" s="1969"/>
      <c r="K54" s="1969"/>
      <c r="L54" s="1969"/>
      <c r="M54" s="1969"/>
      <c r="N54" s="1970"/>
    </row>
    <row r="55" spans="1:14" x14ac:dyDescent="0.2">
      <c r="A55" s="2501"/>
      <c r="B55" s="2502"/>
      <c r="C55" s="2502"/>
      <c r="D55" s="1956"/>
      <c r="E55" s="1956"/>
      <c r="F55" s="1956"/>
      <c r="G55" s="2503" t="s">
        <v>2027</v>
      </c>
      <c r="H55" s="2503"/>
      <c r="I55" s="2503"/>
      <c r="J55" s="2503"/>
      <c r="K55" s="2503"/>
      <c r="L55" s="2503"/>
      <c r="M55" s="2503"/>
      <c r="N55" s="2504"/>
    </row>
    <row r="56" spans="1:14" ht="63.75" x14ac:dyDescent="0.2">
      <c r="A56" s="2505" t="s">
        <v>2028</v>
      </c>
      <c r="B56" s="2506"/>
      <c r="C56" s="2507"/>
      <c r="D56" s="1950" t="s">
        <v>2029</v>
      </c>
      <c r="E56" s="1950" t="s">
        <v>2030</v>
      </c>
      <c r="F56" s="1957"/>
      <c r="G56" s="1950" t="s">
        <v>2031</v>
      </c>
      <c r="H56" s="1950" t="s">
        <v>2032</v>
      </c>
      <c r="I56" s="1950" t="s">
        <v>2033</v>
      </c>
      <c r="J56" s="1950" t="s">
        <v>2034</v>
      </c>
      <c r="K56" s="1950" t="s">
        <v>2035</v>
      </c>
      <c r="L56" s="1950" t="s">
        <v>2036</v>
      </c>
      <c r="M56" s="1950" t="s">
        <v>2037</v>
      </c>
      <c r="N56" s="1951" t="s">
        <v>2044</v>
      </c>
    </row>
    <row r="57" spans="1:14" ht="24.75" customHeight="1" x14ac:dyDescent="0.2">
      <c r="A57" s="2508" t="s">
        <v>296</v>
      </c>
      <c r="B57" s="2509"/>
      <c r="C57" s="2509"/>
      <c r="D57" s="1952">
        <v>2361</v>
      </c>
      <c r="E57" s="1962">
        <f>'Expenditures 15-22'!K319</f>
        <v>0</v>
      </c>
      <c r="F57" s="1958"/>
      <c r="G57" s="2015"/>
      <c r="H57" s="2016"/>
      <c r="I57" s="2016"/>
      <c r="J57" s="2016"/>
      <c r="K57" s="2016"/>
      <c r="L57" s="2016"/>
      <c r="M57" s="2016"/>
      <c r="N57" s="1961">
        <f>IF((SUM(G57:M57))=E57,SUM(G57:M57),"Column N does not agree with Column E")</f>
        <v>0</v>
      </c>
    </row>
    <row r="58" spans="1:14" ht="24" customHeight="1" x14ac:dyDescent="0.2">
      <c r="A58" s="2487" t="s">
        <v>2038</v>
      </c>
      <c r="B58" s="2488"/>
      <c r="C58" s="2488"/>
      <c r="D58" s="1953">
        <v>2362</v>
      </c>
      <c r="E58" s="1963">
        <f>'Expenditures 15-22'!K320</f>
        <v>102516</v>
      </c>
      <c r="F58" s="1958"/>
      <c r="G58" s="2017"/>
      <c r="H58" s="2018"/>
      <c r="I58" s="2018"/>
      <c r="J58" s="2018"/>
      <c r="K58" s="2018"/>
      <c r="L58" s="2018"/>
      <c r="M58" s="2018">
        <v>102516</v>
      </c>
      <c r="N58" s="1961">
        <f>IF((SUM(G58:M58))=E58,SUM(G58:M58),"Column N does not agree with Column E")</f>
        <v>102516</v>
      </c>
    </row>
    <row r="59" spans="1:14" ht="24.75" customHeight="1" x14ac:dyDescent="0.2">
      <c r="A59" s="2510" t="s">
        <v>297</v>
      </c>
      <c r="B59" s="2511"/>
      <c r="C59" s="2511"/>
      <c r="D59" s="1953">
        <v>2363</v>
      </c>
      <c r="E59" s="1963">
        <f>'Expenditures 15-22'!K321</f>
        <v>39324</v>
      </c>
      <c r="F59" s="1958"/>
      <c r="G59" s="2017"/>
      <c r="H59" s="2018"/>
      <c r="I59" s="2018"/>
      <c r="J59" s="2018"/>
      <c r="K59" s="2018"/>
      <c r="L59" s="2018"/>
      <c r="M59" s="2018">
        <v>39324</v>
      </c>
      <c r="N59" s="1961">
        <f>IF((SUM(G59:M59))=E59,SUM(G59:M59),"Column N does not agree with Column E")</f>
        <v>39324</v>
      </c>
    </row>
    <row r="60" spans="1:14" ht="24" customHeight="1" x14ac:dyDescent="0.2">
      <c r="A60" s="2510" t="s">
        <v>236</v>
      </c>
      <c r="B60" s="2511"/>
      <c r="C60" s="2511"/>
      <c r="D60" s="1953">
        <v>2364</v>
      </c>
      <c r="E60" s="1963">
        <f>'Expenditures 15-22'!K322</f>
        <v>0</v>
      </c>
      <c r="F60" s="1958"/>
      <c r="G60" s="2017"/>
      <c r="H60" s="2018"/>
      <c r="I60" s="2018"/>
      <c r="J60" s="2018"/>
      <c r="K60" s="2018"/>
      <c r="L60" s="2018"/>
      <c r="M60" s="2018"/>
      <c r="N60" s="1961">
        <f t="shared" ref="N60:N67" si="4">IF((SUM(G60:M60))=E60,SUM(G60:M60),"Column N does not agree with Column E")</f>
        <v>0</v>
      </c>
    </row>
    <row r="61" spans="1:14" ht="24.75" customHeight="1" x14ac:dyDescent="0.2">
      <c r="A61" s="2510" t="s">
        <v>697</v>
      </c>
      <c r="B61" s="2511"/>
      <c r="C61" s="2511"/>
      <c r="D61" s="1953">
        <v>2365</v>
      </c>
      <c r="E61" s="1963">
        <f>'Expenditures 15-22'!K323</f>
        <v>113034</v>
      </c>
      <c r="F61" s="1958"/>
      <c r="G61" s="2017"/>
      <c r="H61" s="2018"/>
      <c r="I61" s="2018"/>
      <c r="J61" s="2018"/>
      <c r="K61" s="2018"/>
      <c r="L61" s="2018"/>
      <c r="M61" s="2018">
        <v>113034</v>
      </c>
      <c r="N61" s="1961">
        <f t="shared" si="4"/>
        <v>113034</v>
      </c>
    </row>
    <row r="62" spans="1:14" ht="24" customHeight="1" x14ac:dyDescent="0.2">
      <c r="A62" s="2510" t="s">
        <v>237</v>
      </c>
      <c r="B62" s="2511"/>
      <c r="C62" s="2511"/>
      <c r="D62" s="1953">
        <v>2366</v>
      </c>
      <c r="E62" s="1963">
        <f>'Expenditures 15-22'!K324</f>
        <v>0</v>
      </c>
      <c r="F62" s="1958"/>
      <c r="G62" s="2017"/>
      <c r="H62" s="2018"/>
      <c r="I62" s="2018"/>
      <c r="J62" s="2018"/>
      <c r="K62" s="2018"/>
      <c r="L62" s="2018"/>
      <c r="M62" s="2018"/>
      <c r="N62" s="1961">
        <f t="shared" si="4"/>
        <v>0</v>
      </c>
    </row>
    <row r="63" spans="1:14" ht="24" customHeight="1" x14ac:dyDescent="0.2">
      <c r="A63" s="2487" t="s">
        <v>1022</v>
      </c>
      <c r="B63" s="2488"/>
      <c r="C63" s="2488"/>
      <c r="D63" s="1953">
        <v>2367</v>
      </c>
      <c r="E63" s="1963">
        <f>'Expenditures 15-22'!K325</f>
        <v>0</v>
      </c>
      <c r="F63" s="1958"/>
      <c r="G63" s="2017"/>
      <c r="H63" s="2018"/>
      <c r="I63" s="2018"/>
      <c r="J63" s="2018"/>
      <c r="K63" s="2018"/>
      <c r="L63" s="2018"/>
      <c r="M63" s="2018"/>
      <c r="N63" s="1961">
        <f t="shared" si="4"/>
        <v>0</v>
      </c>
    </row>
    <row r="64" spans="1:14" ht="24" customHeight="1" x14ac:dyDescent="0.2">
      <c r="A64" s="2510" t="s">
        <v>1023</v>
      </c>
      <c r="B64" s="2511"/>
      <c r="C64" s="2511"/>
      <c r="D64" s="1953">
        <v>2368</v>
      </c>
      <c r="E64" s="1963">
        <f>'Expenditures 15-22'!K326</f>
        <v>0</v>
      </c>
      <c r="F64" s="1958"/>
      <c r="G64" s="2017"/>
      <c r="H64" s="2018"/>
      <c r="I64" s="2018"/>
      <c r="J64" s="2018"/>
      <c r="K64" s="2018"/>
      <c r="L64" s="2018"/>
      <c r="M64" s="2018"/>
      <c r="N64" s="1961">
        <f t="shared" si="4"/>
        <v>0</v>
      </c>
    </row>
    <row r="65" spans="1:14" ht="24" customHeight="1" x14ac:dyDescent="0.2">
      <c r="A65" s="2510" t="s">
        <v>965</v>
      </c>
      <c r="B65" s="2511"/>
      <c r="C65" s="2511"/>
      <c r="D65" s="1953">
        <v>2369</v>
      </c>
      <c r="E65" s="1963">
        <f>'Expenditures 15-22'!K327</f>
        <v>95182</v>
      </c>
      <c r="F65" s="1958"/>
      <c r="G65" s="2017"/>
      <c r="H65" s="2018"/>
      <c r="I65" s="2018"/>
      <c r="J65" s="2018"/>
      <c r="K65" s="2018"/>
      <c r="L65" s="2018"/>
      <c r="M65" s="2018">
        <v>95182</v>
      </c>
      <c r="N65" s="1961">
        <f t="shared" si="4"/>
        <v>95182</v>
      </c>
    </row>
    <row r="66" spans="1:14" ht="24" customHeight="1" x14ac:dyDescent="0.2">
      <c r="A66" s="2510" t="s">
        <v>469</v>
      </c>
      <c r="B66" s="2511"/>
      <c r="C66" s="2511"/>
      <c r="D66" s="1953">
        <v>2371</v>
      </c>
      <c r="E66" s="1963">
        <f>'Expenditures 15-22'!K328</f>
        <v>0</v>
      </c>
      <c r="F66" s="1958"/>
      <c r="G66" s="2017"/>
      <c r="H66" s="2018"/>
      <c r="I66" s="2018"/>
      <c r="J66" s="2018"/>
      <c r="K66" s="2018"/>
      <c r="L66" s="2018"/>
      <c r="M66" s="2018"/>
      <c r="N66" s="1961">
        <f t="shared" si="4"/>
        <v>0</v>
      </c>
    </row>
    <row r="67" spans="1:14" ht="24.75" customHeight="1" x14ac:dyDescent="0.2">
      <c r="A67" s="2512" t="s">
        <v>2039</v>
      </c>
      <c r="B67" s="2513"/>
      <c r="C67" s="2513"/>
      <c r="D67" s="1955">
        <v>2372</v>
      </c>
      <c r="E67" s="1964">
        <f>'Expenditures 15-22'!K329</f>
        <v>0</v>
      </c>
      <c r="F67" s="1958"/>
      <c r="G67" s="2019"/>
      <c r="H67" s="2020"/>
      <c r="I67" s="2020"/>
      <c r="J67" s="2020"/>
      <c r="K67" s="2020"/>
      <c r="L67" s="2020"/>
      <c r="M67" s="2020"/>
      <c r="N67" s="1961">
        <f t="shared" si="4"/>
        <v>0</v>
      </c>
    </row>
    <row r="68" spans="1:14" x14ac:dyDescent="0.2">
      <c r="A68" s="2514" t="s">
        <v>1151</v>
      </c>
      <c r="B68" s="2515"/>
      <c r="C68" s="2515"/>
      <c r="D68" s="1956"/>
      <c r="E68" s="1960">
        <f>SUM(E57:E67)</f>
        <v>350056</v>
      </c>
      <c r="F68" s="1959"/>
      <c r="G68" s="1960">
        <f t="shared" ref="G68:N68" si="5">SUM(G57:G67)</f>
        <v>0</v>
      </c>
      <c r="H68" s="1960">
        <f t="shared" si="5"/>
        <v>0</v>
      </c>
      <c r="I68" s="1960">
        <f t="shared" si="5"/>
        <v>0</v>
      </c>
      <c r="J68" s="1960">
        <f t="shared" si="5"/>
        <v>0</v>
      </c>
      <c r="K68" s="1960">
        <f t="shared" si="5"/>
        <v>0</v>
      </c>
      <c r="L68" s="1960">
        <f t="shared" si="5"/>
        <v>0</v>
      </c>
      <c r="M68" s="1960">
        <f t="shared" si="5"/>
        <v>350056</v>
      </c>
      <c r="N68" s="1974">
        <f t="shared" si="5"/>
        <v>350056</v>
      </c>
    </row>
    <row r="69" spans="1:14" x14ac:dyDescent="0.2">
      <c r="A69" s="1975"/>
      <c r="B69" s="1976"/>
      <c r="C69" s="1976"/>
      <c r="D69" s="1976"/>
      <c r="E69" s="1976"/>
      <c r="F69" s="1976"/>
      <c r="G69" s="1976"/>
      <c r="H69" s="1976"/>
      <c r="I69" s="1976"/>
      <c r="J69" s="1976"/>
      <c r="K69" s="1976"/>
      <c r="L69" s="1976"/>
      <c r="M69" s="1976"/>
      <c r="N69" s="1977"/>
    </row>
    <row r="70" spans="1:14" ht="15.75" x14ac:dyDescent="0.25">
      <c r="A70" s="2009" t="s">
        <v>2040</v>
      </c>
      <c r="B70" s="1976"/>
      <c r="C70" s="1976"/>
      <c r="D70" s="1976"/>
      <c r="E70" s="1976"/>
      <c r="F70" s="1976"/>
      <c r="G70" s="1976"/>
      <c r="H70" s="1976"/>
      <c r="I70" s="1976"/>
      <c r="J70" s="1976"/>
      <c r="K70" s="1976"/>
      <c r="L70" s="1976"/>
      <c r="M70" s="1976"/>
      <c r="N70" s="1977"/>
    </row>
    <row r="71" spans="1:14" x14ac:dyDescent="0.2">
      <c r="A71" s="1975"/>
      <c r="B71" s="1976"/>
      <c r="C71" s="1976"/>
      <c r="D71" s="1976"/>
      <c r="E71" s="1976"/>
      <c r="F71" s="1976"/>
      <c r="G71" s="1976"/>
      <c r="H71" s="1976"/>
      <c r="I71" s="1976"/>
      <c r="J71" s="1976"/>
      <c r="K71" s="1976"/>
      <c r="L71" s="1976"/>
      <c r="M71" s="1976"/>
      <c r="N71" s="1977"/>
    </row>
    <row r="72" spans="1:14" x14ac:dyDescent="0.2">
      <c r="A72" s="1975"/>
      <c r="B72" s="1976"/>
      <c r="C72" s="1976"/>
      <c r="D72" s="1976"/>
      <c r="E72" s="1976"/>
      <c r="F72" s="1976"/>
      <c r="G72" s="1976"/>
      <c r="H72" s="1976"/>
      <c r="I72" s="1976"/>
      <c r="J72" s="1976"/>
      <c r="K72" s="1976"/>
      <c r="L72" s="1976"/>
      <c r="M72" s="1976"/>
      <c r="N72" s="1977"/>
    </row>
    <row r="73" spans="1:14" x14ac:dyDescent="0.2">
      <c r="A73" s="1975"/>
      <c r="B73" s="1976"/>
      <c r="C73" s="1976"/>
      <c r="D73" s="1976"/>
      <c r="E73" s="1976"/>
      <c r="F73" s="1976"/>
      <c r="G73" s="1976"/>
      <c r="H73" s="1976"/>
      <c r="I73" s="1976"/>
      <c r="J73" s="1976"/>
      <c r="K73" s="1976"/>
      <c r="L73" s="1976"/>
      <c r="M73" s="1976"/>
      <c r="N73" s="1977"/>
    </row>
    <row r="74" spans="1:14" x14ac:dyDescent="0.2">
      <c r="A74" s="1975"/>
      <c r="B74" s="1976"/>
      <c r="C74" s="1976"/>
      <c r="D74" s="1976"/>
      <c r="E74" s="1976"/>
      <c r="F74" s="1976"/>
      <c r="G74" s="1976"/>
      <c r="H74" s="1976"/>
      <c r="I74" s="1976"/>
      <c r="J74" s="1976"/>
      <c r="K74" s="1976"/>
      <c r="L74" s="1976"/>
      <c r="M74" s="1976"/>
      <c r="N74" s="1977"/>
    </row>
    <row r="75" spans="1:14" x14ac:dyDescent="0.2">
      <c r="A75" s="1975"/>
      <c r="B75" s="1976"/>
      <c r="C75" s="1976"/>
      <c r="D75" s="1976"/>
      <c r="E75" s="1976"/>
      <c r="F75" s="1976"/>
      <c r="G75" s="1976"/>
      <c r="H75" s="1976"/>
      <c r="I75" s="1976"/>
      <c r="J75" s="1976"/>
      <c r="K75" s="1976"/>
      <c r="L75" s="1976"/>
      <c r="M75" s="1976"/>
      <c r="N75" s="1977"/>
    </row>
    <row r="76" spans="1:14" x14ac:dyDescent="0.2">
      <c r="A76" s="1975"/>
      <c r="B76" s="1976"/>
      <c r="C76" s="1976"/>
      <c r="D76" s="1976"/>
      <c r="E76" s="1976"/>
      <c r="F76" s="1976"/>
      <c r="G76" s="1976"/>
      <c r="H76" s="1976"/>
      <c r="I76" s="1976"/>
      <c r="J76" s="1976"/>
      <c r="K76" s="1976"/>
      <c r="L76" s="1976"/>
      <c r="M76" s="1976"/>
      <c r="N76" s="1977"/>
    </row>
    <row r="77" spans="1:14" x14ac:dyDescent="0.2">
      <c r="A77" s="1975"/>
      <c r="B77" s="1976"/>
      <c r="C77" s="1976"/>
      <c r="D77" s="1976"/>
      <c r="E77" s="1976"/>
      <c r="F77" s="1976"/>
      <c r="G77" s="1976"/>
      <c r="H77" s="1976"/>
      <c r="I77" s="1976"/>
      <c r="J77" s="1976"/>
      <c r="K77" s="1976"/>
      <c r="L77" s="1976"/>
      <c r="M77" s="1976"/>
      <c r="N77" s="1977"/>
    </row>
    <row r="78" spans="1:14" x14ac:dyDescent="0.2">
      <c r="A78" s="1975"/>
      <c r="B78" s="1976"/>
      <c r="C78" s="1976"/>
      <c r="D78" s="1976"/>
      <c r="E78" s="1976"/>
      <c r="F78" s="1976"/>
      <c r="G78" s="1976"/>
      <c r="H78" s="1976"/>
      <c r="I78" s="1976"/>
      <c r="J78" s="1976"/>
      <c r="K78" s="1976"/>
      <c r="L78" s="1976"/>
      <c r="M78" s="1976"/>
      <c r="N78" s="1977"/>
    </row>
    <row r="79" spans="1:14" x14ac:dyDescent="0.2">
      <c r="A79" s="1975"/>
      <c r="B79" s="1976"/>
      <c r="C79" s="1976"/>
      <c r="D79" s="1976"/>
      <c r="E79" s="1976"/>
      <c r="F79" s="1976"/>
      <c r="G79" s="1976"/>
      <c r="H79" s="1976"/>
      <c r="I79" s="1976"/>
      <c r="J79" s="1976"/>
      <c r="K79" s="1976"/>
      <c r="L79" s="1976"/>
      <c r="M79" s="1976"/>
      <c r="N79" s="1977"/>
    </row>
    <row r="80" spans="1:14" x14ac:dyDescent="0.2">
      <c r="A80" s="1975"/>
      <c r="B80" s="1976"/>
      <c r="C80" s="1976"/>
      <c r="D80" s="1976"/>
      <c r="E80" s="1976"/>
      <c r="F80" s="1976"/>
      <c r="G80" s="1976"/>
      <c r="H80" s="1976"/>
      <c r="I80" s="1976"/>
      <c r="J80" s="1976"/>
      <c r="K80" s="1976"/>
      <c r="L80" s="1976"/>
      <c r="M80" s="1976"/>
      <c r="N80" s="1977"/>
    </row>
    <row r="81" spans="1:14" x14ac:dyDescent="0.2">
      <c r="A81" s="1975"/>
      <c r="B81" s="1976"/>
      <c r="C81" s="1976"/>
      <c r="D81" s="1976"/>
      <c r="E81" s="1976"/>
      <c r="F81" s="1976"/>
      <c r="G81" s="1976"/>
      <c r="H81" s="1976"/>
      <c r="I81" s="1976"/>
      <c r="J81" s="1976"/>
      <c r="K81" s="1976"/>
      <c r="L81" s="1976"/>
      <c r="M81" s="1976"/>
      <c r="N81" s="1977"/>
    </row>
    <row r="82" spans="1:14" x14ac:dyDescent="0.2">
      <c r="A82" s="1975"/>
      <c r="B82" s="1976"/>
      <c r="C82" s="1976"/>
      <c r="D82" s="1976"/>
      <c r="E82" s="1976"/>
      <c r="F82" s="1976"/>
      <c r="G82" s="1976"/>
      <c r="H82" s="1976"/>
      <c r="I82" s="1976"/>
      <c r="J82" s="1976"/>
      <c r="K82" s="1976"/>
      <c r="L82" s="1976"/>
      <c r="M82" s="1976"/>
      <c r="N82" s="1977"/>
    </row>
    <row r="83" spans="1:14" ht="13.5" thickBot="1" x14ac:dyDescent="0.25">
      <c r="A83" s="1978"/>
      <c r="B83" s="1979"/>
      <c r="C83" s="1979"/>
      <c r="D83" s="1979"/>
      <c r="E83" s="1979"/>
      <c r="F83" s="1979"/>
      <c r="G83" s="1979"/>
      <c r="H83" s="1979"/>
      <c r="I83" s="1979"/>
      <c r="J83" s="1979"/>
      <c r="K83" s="1979"/>
      <c r="L83" s="1979"/>
      <c r="M83" s="1979"/>
      <c r="N83" s="198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Q44"/>
  <sheetViews>
    <sheetView showGridLines="0" zoomScale="110" zoomScaleNormal="110" workbookViewId="0">
      <selection activeCell="X20" sqref="X20"/>
    </sheetView>
  </sheetViews>
  <sheetFormatPr defaultRowHeight="12.75" x14ac:dyDescent="0.2"/>
  <cols>
    <col min="1" max="9" width="2.7109375" style="306" customWidth="1"/>
    <col min="10" max="13" width="9.140625" style="306"/>
    <col min="14" max="14" width="8.28515625" style="306" customWidth="1"/>
    <col min="15" max="15" width="7" style="306" customWidth="1"/>
    <col min="16" max="16" width="9.140625" style="306"/>
    <col min="17" max="17" width="11" style="2081" bestFit="1" customWidth="1"/>
    <col min="18" max="16384" width="9.140625" style="306"/>
  </cols>
  <sheetData>
    <row r="2" spans="1:17" x14ac:dyDescent="0.2">
      <c r="A2" s="365" t="s">
        <v>256</v>
      </c>
    </row>
    <row r="3" spans="1:17" x14ac:dyDescent="0.2">
      <c r="A3" s="306" t="s">
        <v>257</v>
      </c>
    </row>
    <row r="5" spans="1:17" x14ac:dyDescent="0.2">
      <c r="A5" s="846"/>
      <c r="B5" s="306" t="s">
        <v>2243</v>
      </c>
    </row>
    <row r="6" spans="1:17" x14ac:dyDescent="0.2">
      <c r="A6" s="846"/>
      <c r="C6" s="306" t="s">
        <v>2245</v>
      </c>
    </row>
    <row r="7" spans="1:17" x14ac:dyDescent="0.2">
      <c r="A7" s="846"/>
      <c r="D7" s="306" t="s">
        <v>2250</v>
      </c>
    </row>
    <row r="8" spans="1:17" ht="13.5" thickBot="1" x14ac:dyDescent="0.25">
      <c r="A8" s="846"/>
      <c r="E8" s="306" t="s">
        <v>2246</v>
      </c>
      <c r="Q8" s="2083">
        <v>5577</v>
      </c>
    </row>
    <row r="9" spans="1:17" ht="13.5" thickTop="1" x14ac:dyDescent="0.2">
      <c r="A9" s="847"/>
    </row>
    <row r="10" spans="1:17" x14ac:dyDescent="0.2">
      <c r="A10" s="847"/>
      <c r="D10" s="306" t="s">
        <v>2247</v>
      </c>
    </row>
    <row r="11" spans="1:17" ht="13.5" thickBot="1" x14ac:dyDescent="0.25">
      <c r="A11" s="847"/>
      <c r="E11" s="306" t="s">
        <v>2248</v>
      </c>
      <c r="Q11" s="2083">
        <v>62867</v>
      </c>
    </row>
    <row r="12" spans="1:17" ht="13.5" thickTop="1" x14ac:dyDescent="0.2">
      <c r="A12" s="847"/>
    </row>
    <row r="13" spans="1:17" x14ac:dyDescent="0.2">
      <c r="A13" s="847"/>
      <c r="C13" s="306" t="s">
        <v>2249</v>
      </c>
    </row>
    <row r="14" spans="1:17" x14ac:dyDescent="0.2">
      <c r="A14" s="847"/>
      <c r="D14" s="306" t="s">
        <v>2250</v>
      </c>
    </row>
    <row r="15" spans="1:17" ht="13.5" thickBot="1" x14ac:dyDescent="0.25">
      <c r="A15" s="847"/>
      <c r="E15" s="306" t="s">
        <v>2251</v>
      </c>
      <c r="Q15" s="2083">
        <v>37295</v>
      </c>
    </row>
    <row r="16" spans="1:17" ht="13.5" thickTop="1" x14ac:dyDescent="0.2">
      <c r="A16" s="847"/>
    </row>
    <row r="17" spans="1:17" x14ac:dyDescent="0.2">
      <c r="A17" s="847"/>
    </row>
    <row r="18" spans="1:17" x14ac:dyDescent="0.2">
      <c r="A18" s="847"/>
      <c r="B18" s="306" t="s">
        <v>2252</v>
      </c>
    </row>
    <row r="19" spans="1:17" x14ac:dyDescent="0.2">
      <c r="A19" s="847"/>
      <c r="C19" s="306" t="s">
        <v>2250</v>
      </c>
    </row>
    <row r="20" spans="1:17" x14ac:dyDescent="0.2">
      <c r="A20" s="847"/>
      <c r="D20" s="306" t="s">
        <v>2253</v>
      </c>
    </row>
    <row r="21" spans="1:17" x14ac:dyDescent="0.2">
      <c r="A21" s="847"/>
      <c r="E21" s="306" t="s">
        <v>2254</v>
      </c>
      <c r="Q21" s="2082">
        <v>55573</v>
      </c>
    </row>
    <row r="22" spans="1:17" x14ac:dyDescent="0.2">
      <c r="A22" s="847"/>
      <c r="E22" s="306" t="s">
        <v>2255</v>
      </c>
      <c r="Q22" s="2081">
        <v>10057</v>
      </c>
    </row>
    <row r="23" spans="1:17" x14ac:dyDescent="0.2">
      <c r="A23" s="847"/>
      <c r="E23" s="306" t="s">
        <v>2256</v>
      </c>
      <c r="Q23" s="2084">
        <v>14795</v>
      </c>
    </row>
    <row r="24" spans="1:17" ht="13.5" thickBot="1" x14ac:dyDescent="0.25">
      <c r="A24" s="847"/>
      <c r="F24" s="306" t="s">
        <v>155</v>
      </c>
      <c r="Q24" s="2083">
        <f>SUM(Q21:Q23)</f>
        <v>80425</v>
      </c>
    </row>
    <row r="25" spans="1:17" ht="13.5" thickTop="1" x14ac:dyDescent="0.2">
      <c r="A25" s="847"/>
    </row>
    <row r="26" spans="1:17" x14ac:dyDescent="0.2">
      <c r="A26" s="847"/>
      <c r="C26" s="306" t="s">
        <v>2257</v>
      </c>
    </row>
    <row r="27" spans="1:17" x14ac:dyDescent="0.2">
      <c r="A27" s="847"/>
      <c r="D27" s="306" t="s">
        <v>2258</v>
      </c>
    </row>
    <row r="28" spans="1:17" ht="13.5" thickBot="1" x14ac:dyDescent="0.25">
      <c r="A28" s="847"/>
      <c r="E28" s="306" t="s">
        <v>2259</v>
      </c>
      <c r="Q28" s="2083">
        <v>853</v>
      </c>
    </row>
    <row r="29" spans="1:17" ht="13.5" thickTop="1" x14ac:dyDescent="0.2">
      <c r="A29" s="847"/>
    </row>
    <row r="30" spans="1:17" x14ac:dyDescent="0.2">
      <c r="A30" s="847"/>
      <c r="C30" s="306" t="s">
        <v>2260</v>
      </c>
    </row>
    <row r="31" spans="1:17" x14ac:dyDescent="0.2">
      <c r="A31" s="847"/>
      <c r="D31" s="306" t="s">
        <v>2253</v>
      </c>
    </row>
    <row r="32" spans="1:17" ht="13.5" thickBot="1" x14ac:dyDescent="0.25">
      <c r="A32" s="847"/>
      <c r="E32" s="306" t="s">
        <v>2261</v>
      </c>
      <c r="Q32" s="2083">
        <v>6448</v>
      </c>
    </row>
    <row r="33" spans="1:17" ht="13.5" thickTop="1" x14ac:dyDescent="0.2">
      <c r="A33" s="847"/>
    </row>
    <row r="34" spans="1:17" x14ac:dyDescent="0.2">
      <c r="A34" s="847"/>
    </row>
    <row r="35" spans="1:17" x14ac:dyDescent="0.2">
      <c r="A35" s="847"/>
      <c r="B35" s="306" t="s">
        <v>2266</v>
      </c>
    </row>
    <row r="36" spans="1:17" x14ac:dyDescent="0.2">
      <c r="A36" s="847"/>
      <c r="C36" s="306" t="s">
        <v>2262</v>
      </c>
      <c r="Q36" s="2082">
        <v>30279</v>
      </c>
    </row>
    <row r="37" spans="1:17" x14ac:dyDescent="0.2">
      <c r="A37" s="847"/>
      <c r="C37" s="306" t="s">
        <v>2263</v>
      </c>
      <c r="Q37" s="2081">
        <v>51433</v>
      </c>
    </row>
    <row r="38" spans="1:17" x14ac:dyDescent="0.2">
      <c r="A38" s="847"/>
      <c r="C38" s="306" t="s">
        <v>2264</v>
      </c>
      <c r="Q38" s="2084">
        <v>-62840</v>
      </c>
    </row>
    <row r="39" spans="1:17" ht="13.5" thickBot="1" x14ac:dyDescent="0.25">
      <c r="A39" s="847"/>
      <c r="C39" s="306" t="s">
        <v>2265</v>
      </c>
      <c r="Q39" s="2083">
        <f>SUM(Q36:Q38)</f>
        <v>18872</v>
      </c>
    </row>
    <row r="40" spans="1:17" ht="13.5" thickTop="1" x14ac:dyDescent="0.2">
      <c r="A40" s="847"/>
    </row>
    <row r="41" spans="1:17" x14ac:dyDescent="0.2">
      <c r="A41" s="847"/>
    </row>
    <row r="42" spans="1:17" x14ac:dyDescent="0.2">
      <c r="A42" s="847"/>
    </row>
    <row r="43" spans="1:17" x14ac:dyDescent="0.2">
      <c r="A43" s="847"/>
      <c r="B43" s="252" t="str">
        <f>COVER!A17</f>
        <v>Hazel Crest SD 152-5</v>
      </c>
    </row>
    <row r="44" spans="1:17" x14ac:dyDescent="0.2">
      <c r="B44" s="848">
        <f>COVER!A13</f>
        <v>7016152502</v>
      </c>
    </row>
  </sheetData>
  <phoneticPr fontId="15" type="noConversion"/>
  <pageMargins left="0.5" right="0.5" top="1" bottom="1" header="0.25" footer="0.25"/>
  <pageSetup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1827</v>
      </c>
      <c r="C4" s="156" t="s">
        <v>1159</v>
      </c>
      <c r="D4" s="163" t="s">
        <v>10</v>
      </c>
      <c r="E4" s="164" t="s">
        <v>22</v>
      </c>
    </row>
    <row r="5" spans="1:5" x14ac:dyDescent="0.2">
      <c r="A5" s="162" t="s">
        <v>1829</v>
      </c>
      <c r="C5" s="156" t="s">
        <v>1159</v>
      </c>
      <c r="D5" s="163" t="s">
        <v>10</v>
      </c>
      <c r="E5" s="164" t="s">
        <v>22</v>
      </c>
    </row>
    <row r="6" spans="1:5" x14ac:dyDescent="0.2">
      <c r="A6" s="162" t="s">
        <v>1828</v>
      </c>
      <c r="C6" s="156" t="s">
        <v>1159</v>
      </c>
      <c r="D6" s="161" t="s">
        <v>11</v>
      </c>
      <c r="E6" s="164" t="s">
        <v>935</v>
      </c>
    </row>
    <row r="7" spans="1:5" x14ac:dyDescent="0.2">
      <c r="A7" s="162" t="s">
        <v>1830</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1831</v>
      </c>
      <c r="C11" s="156" t="s">
        <v>1159</v>
      </c>
      <c r="D11" s="163" t="s">
        <v>14</v>
      </c>
      <c r="E11" s="164" t="s">
        <v>1146</v>
      </c>
    </row>
    <row r="12" spans="1:5" x14ac:dyDescent="0.2">
      <c r="B12" s="163" t="s">
        <v>1832</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1833</v>
      </c>
      <c r="C15" s="156" t="s">
        <v>1159</v>
      </c>
      <c r="D15" s="163" t="s">
        <v>17</v>
      </c>
      <c r="E15" s="164" t="s">
        <v>631</v>
      </c>
    </row>
    <row r="16" spans="1:5" x14ac:dyDescent="0.2">
      <c r="A16" s="166"/>
      <c r="B16" s="156" t="s">
        <v>1834</v>
      </c>
      <c r="C16" s="156" t="s">
        <v>1159</v>
      </c>
      <c r="D16" s="163" t="s">
        <v>676</v>
      </c>
      <c r="E16" s="164" t="s">
        <v>1033</v>
      </c>
    </row>
    <row r="17" spans="1:5" x14ac:dyDescent="0.2">
      <c r="B17" s="161" t="s">
        <v>981</v>
      </c>
      <c r="C17" s="156" t="s">
        <v>1159</v>
      </c>
    </row>
    <row r="18" spans="1:5" x14ac:dyDescent="0.2">
      <c r="B18" s="161" t="s">
        <v>1840</v>
      </c>
      <c r="D18" s="163" t="s">
        <v>18</v>
      </c>
      <c r="E18" s="164" t="s">
        <v>1034</v>
      </c>
    </row>
    <row r="19" spans="1:5" x14ac:dyDescent="0.2">
      <c r="A19" s="162" t="s">
        <v>1090</v>
      </c>
      <c r="C19" s="156" t="s">
        <v>1159</v>
      </c>
      <c r="D19" s="163"/>
      <c r="E19" s="165"/>
    </row>
    <row r="20" spans="1:5" x14ac:dyDescent="0.2">
      <c r="B20" s="161" t="s">
        <v>1835</v>
      </c>
      <c r="C20" s="156" t="s">
        <v>1159</v>
      </c>
      <c r="D20" s="163" t="s">
        <v>19</v>
      </c>
      <c r="E20" s="164" t="s">
        <v>51</v>
      </c>
    </row>
    <row r="21" spans="1:5" x14ac:dyDescent="0.2">
      <c r="B21" s="161" t="s">
        <v>1836</v>
      </c>
      <c r="C21" s="156" t="s">
        <v>1159</v>
      </c>
      <c r="D21" s="163" t="s">
        <v>20</v>
      </c>
      <c r="E21" s="164" t="s">
        <v>1593</v>
      </c>
    </row>
    <row r="22" spans="1:5" x14ac:dyDescent="0.2">
      <c r="A22" s="162"/>
      <c r="B22" s="156" t="s">
        <v>1824</v>
      </c>
      <c r="C22" s="156" t="s">
        <v>1159</v>
      </c>
      <c r="D22" s="161" t="s">
        <v>1826</v>
      </c>
      <c r="E22" s="1460" t="s">
        <v>1594</v>
      </c>
    </row>
    <row r="23" spans="1:5" x14ac:dyDescent="0.2">
      <c r="A23" s="162"/>
      <c r="B23" s="156" t="s">
        <v>1825</v>
      </c>
      <c r="D23" s="161" t="s">
        <v>632</v>
      </c>
      <c r="E23" s="1460" t="s">
        <v>953</v>
      </c>
    </row>
    <row r="24" spans="1:5" x14ac:dyDescent="0.2">
      <c r="A24" s="162" t="s">
        <v>1592</v>
      </c>
      <c r="C24" s="156" t="s">
        <v>1159</v>
      </c>
      <c r="D24" s="161" t="s">
        <v>1377</v>
      </c>
      <c r="E24" s="164" t="s">
        <v>954</v>
      </c>
    </row>
    <row r="25" spans="1:5" x14ac:dyDescent="0.2">
      <c r="A25" s="162" t="s">
        <v>1837</v>
      </c>
      <c r="C25" s="156" t="s">
        <v>1159</v>
      </c>
      <c r="D25" s="163" t="s">
        <v>21</v>
      </c>
      <c r="E25" s="1460" t="s">
        <v>2045</v>
      </c>
    </row>
    <row r="26" spans="1:5" x14ac:dyDescent="0.2">
      <c r="A26" s="162" t="s">
        <v>1838</v>
      </c>
      <c r="C26" s="156" t="s">
        <v>1159</v>
      </c>
      <c r="D26" s="163" t="s">
        <v>559</v>
      </c>
      <c r="E26" s="1460" t="s">
        <v>678</v>
      </c>
    </row>
    <row r="27" spans="1:5" x14ac:dyDescent="0.2">
      <c r="A27" s="162" t="s">
        <v>1839</v>
      </c>
      <c r="C27" s="156" t="s">
        <v>1159</v>
      </c>
      <c r="D27" s="163" t="s">
        <v>553</v>
      </c>
      <c r="E27" s="1460" t="s">
        <v>1350</v>
      </c>
    </row>
    <row r="28" spans="1:5" x14ac:dyDescent="0.2">
      <c r="A28" s="162" t="s">
        <v>1841</v>
      </c>
      <c r="D28" s="163" t="s">
        <v>679</v>
      </c>
      <c r="E28" s="1460" t="s">
        <v>1359</v>
      </c>
    </row>
    <row r="29" spans="1:5" x14ac:dyDescent="0.2">
      <c r="A29" s="162" t="s">
        <v>1842</v>
      </c>
      <c r="D29" s="163" t="s">
        <v>1378</v>
      </c>
      <c r="E29" s="1460" t="s">
        <v>2046</v>
      </c>
    </row>
    <row r="30" spans="1:5" x14ac:dyDescent="0.2">
      <c r="A30" s="167" t="s">
        <v>1843</v>
      </c>
      <c r="C30" s="156" t="s">
        <v>1159</v>
      </c>
      <c r="D30" s="163" t="s">
        <v>40</v>
      </c>
      <c r="E30" s="164" t="s">
        <v>975</v>
      </c>
    </row>
    <row r="31" spans="1:5" x14ac:dyDescent="0.2">
      <c r="A31" s="162" t="s">
        <v>1504</v>
      </c>
      <c r="C31" s="156" t="s">
        <v>1159</v>
      </c>
      <c r="D31" s="161"/>
      <c r="E31" s="165"/>
    </row>
    <row r="32" spans="1:5" x14ac:dyDescent="0.2">
      <c r="B32" s="161" t="s">
        <v>1844</v>
      </c>
      <c r="C32" s="156" t="s">
        <v>1159</v>
      </c>
      <c r="D32" s="163" t="s">
        <v>1505</v>
      </c>
      <c r="E32" s="164" t="s">
        <v>2047</v>
      </c>
    </row>
    <row r="33" spans="1:5" x14ac:dyDescent="0.2">
      <c r="A33" s="166"/>
      <c r="D33" s="163"/>
      <c r="E33" s="165"/>
    </row>
    <row r="34" spans="1:5" x14ac:dyDescent="0.2">
      <c r="A34" s="166"/>
      <c r="D34" s="163"/>
      <c r="E34" s="165"/>
    </row>
    <row r="35" spans="1:5" ht="15.75" customHeight="1" thickBot="1" x14ac:dyDescent="0.25">
      <c r="A35" s="2202" t="s">
        <v>1056</v>
      </c>
      <c r="B35" s="2202"/>
      <c r="C35" s="2202"/>
      <c r="D35" s="2202"/>
      <c r="E35" s="220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99" t="s">
        <v>686</v>
      </c>
      <c r="B40" s="2199"/>
      <c r="C40" s="2199"/>
      <c r="D40" s="2199"/>
      <c r="E40" s="2199"/>
    </row>
    <row r="41" spans="1:5" x14ac:dyDescent="0.2">
      <c r="A41" s="2200" t="s">
        <v>1591</v>
      </c>
      <c r="B41" s="2200"/>
      <c r="C41" s="2200"/>
      <c r="D41" s="2200"/>
      <c r="E41" s="2200"/>
    </row>
    <row r="42" spans="1:5" ht="12.75" customHeight="1" x14ac:dyDescent="0.2">
      <c r="A42" s="2201" t="s">
        <v>1015</v>
      </c>
      <c r="B42" s="2201"/>
      <c r="C42" s="2201"/>
      <c r="D42" s="2201"/>
      <c r="E42" s="2201"/>
    </row>
    <row r="43" spans="1:5" ht="6.75" customHeight="1" x14ac:dyDescent="0.2">
      <c r="A43" s="161"/>
      <c r="B43" s="170"/>
    </row>
    <row r="44" spans="1:5" x14ac:dyDescent="0.2">
      <c r="A44" s="179" t="s">
        <v>976</v>
      </c>
      <c r="B44" s="180" t="s">
        <v>1867</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1745</v>
      </c>
    </row>
    <row r="52" spans="1:3" x14ac:dyDescent="0.2">
      <c r="A52" s="184"/>
      <c r="B52" s="182" t="s">
        <v>1765</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1746</v>
      </c>
    </row>
    <row r="57" spans="1:3" x14ac:dyDescent="0.2">
      <c r="A57" s="187"/>
      <c r="B57" s="184" t="s">
        <v>1748</v>
      </c>
    </row>
    <row r="58" spans="1:3" x14ac:dyDescent="0.2">
      <c r="A58" s="188"/>
      <c r="B58" s="184" t="s">
        <v>1749</v>
      </c>
    </row>
    <row r="59" spans="1:3" x14ac:dyDescent="0.2">
      <c r="A59" s="189"/>
      <c r="B59" s="1246" t="s">
        <v>1750</v>
      </c>
    </row>
    <row r="60" spans="1:3" x14ac:dyDescent="0.2">
      <c r="A60" s="190"/>
      <c r="B60" s="1246" t="s">
        <v>1751</v>
      </c>
    </row>
    <row r="61" spans="1:3" ht="6" customHeight="1" x14ac:dyDescent="0.2">
      <c r="A61" s="191"/>
      <c r="B61" s="183"/>
    </row>
    <row r="62" spans="1:3" x14ac:dyDescent="0.2">
      <c r="A62" s="163" t="s">
        <v>1599</v>
      </c>
      <c r="B62" s="192" t="s">
        <v>1747</v>
      </c>
    </row>
    <row r="63" spans="1:3" x14ac:dyDescent="0.2">
      <c r="A63" s="182"/>
      <c r="B63" s="163" t="s">
        <v>1762</v>
      </c>
    </row>
    <row r="64" spans="1:3" x14ac:dyDescent="0.2">
      <c r="A64" s="189"/>
      <c r="B64" s="1248" t="s">
        <v>1752</v>
      </c>
    </row>
    <row r="65" spans="1:9" x14ac:dyDescent="0.2">
      <c r="A65" s="182"/>
      <c r="B65" s="163" t="s">
        <v>1763</v>
      </c>
    </row>
    <row r="66" spans="1:9" x14ac:dyDescent="0.2">
      <c r="A66" s="184"/>
      <c r="B66" s="184" t="s">
        <v>1753</v>
      </c>
    </row>
    <row r="67" spans="1:9" ht="12" customHeight="1" x14ac:dyDescent="0.2">
      <c r="A67" s="182"/>
      <c r="B67" s="163" t="s">
        <v>1764</v>
      </c>
    </row>
    <row r="68" spans="1:9" x14ac:dyDescent="0.2">
      <c r="A68" s="183"/>
      <c r="B68" s="184" t="s">
        <v>1754</v>
      </c>
    </row>
    <row r="69" spans="1:9" x14ac:dyDescent="0.2">
      <c r="A69" s="184"/>
      <c r="B69" s="182" t="s">
        <v>1755</v>
      </c>
    </row>
    <row r="70" spans="1:9" ht="13.5" customHeight="1" x14ac:dyDescent="0.2">
      <c r="A70" s="184"/>
      <c r="B70" s="182" t="s">
        <v>1756</v>
      </c>
    </row>
    <row r="71" spans="1:9" ht="12" customHeight="1" x14ac:dyDescent="0.2">
      <c r="A71" s="186"/>
      <c r="B71" s="1247" t="s">
        <v>1602</v>
      </c>
    </row>
    <row r="72" spans="1:9" ht="9" customHeight="1" x14ac:dyDescent="0.2">
      <c r="A72" s="186"/>
      <c r="B72" s="193"/>
    </row>
    <row r="73" spans="1:9" x14ac:dyDescent="0.2">
      <c r="A73" s="183" t="s">
        <v>1603</v>
      </c>
      <c r="B73" s="163" t="s">
        <v>1758</v>
      </c>
    </row>
    <row r="74" spans="1:9" x14ac:dyDescent="0.2">
      <c r="A74" s="183"/>
      <c r="B74" s="163" t="s">
        <v>1757</v>
      </c>
    </row>
    <row r="75" spans="1:9" ht="8.25" customHeight="1" x14ac:dyDescent="0.2">
      <c r="A75" s="183"/>
      <c r="B75" s="183"/>
    </row>
    <row r="76" spans="1:9" ht="12.2" customHeight="1" x14ac:dyDescent="0.2">
      <c r="A76" s="183" t="s">
        <v>1604</v>
      </c>
      <c r="B76" s="192" t="s">
        <v>1759</v>
      </c>
    </row>
    <row r="77" spans="1:9" ht="12.2" customHeight="1" x14ac:dyDescent="0.2">
      <c r="A77" s="184"/>
      <c r="B77" s="163" t="s">
        <v>1605</v>
      </c>
      <c r="C77" s="173"/>
      <c r="D77" s="174"/>
      <c r="E77" s="175"/>
      <c r="F77" s="175"/>
      <c r="G77" s="175"/>
      <c r="H77" s="175"/>
      <c r="I77" s="175"/>
    </row>
    <row r="78" spans="1:9" ht="11.25" customHeight="1" x14ac:dyDescent="0.2">
      <c r="A78" s="184"/>
      <c r="B78" s="184" t="s">
        <v>1761</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0" sqref="E10"/>
    </sheetView>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1970</v>
      </c>
    </row>
    <row r="17" spans="1:2" ht="6" customHeight="1" x14ac:dyDescent="0.2"/>
    <row r="18" spans="1:2" ht="24.75" customHeight="1" x14ac:dyDescent="0.2">
      <c r="A18" s="2516" t="s">
        <v>1665</v>
      </c>
      <c r="B18" s="251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838200</xdr:colOff>
                <xdr:row>0</xdr:row>
                <xdr:rowOff>19050</xdr:rowOff>
              </from>
              <to>
                <xdr:col>1</xdr:col>
                <xdr:colOff>1752600</xdr:colOff>
                <xdr:row>4</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1866900</xdr:colOff>
                <xdr:row>0</xdr:row>
                <xdr:rowOff>38100</xdr:rowOff>
              </from>
              <to>
                <xdr:col>1</xdr:col>
                <xdr:colOff>2781300</xdr:colOff>
                <xdr:row>4</xdr:row>
                <xdr:rowOff>76200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38100</xdr:colOff>
                <xdr:row>4</xdr:row>
                <xdr:rowOff>133350</xdr:rowOff>
              </from>
              <to>
                <xdr:col>1</xdr:col>
                <xdr:colOff>828675</xdr:colOff>
                <xdr:row>9</xdr:row>
                <xdr:rowOff>9525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838200</xdr:colOff>
                <xdr:row>4</xdr:row>
                <xdr:rowOff>123825</xdr:rowOff>
              </from>
              <to>
                <xdr:col>1</xdr:col>
                <xdr:colOff>1752600</xdr:colOff>
                <xdr:row>9</xdr:row>
                <xdr:rowOff>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1857375</xdr:colOff>
                <xdr:row>4</xdr:row>
                <xdr:rowOff>133350</xdr:rowOff>
              </from>
              <to>
                <xdr:col>1</xdr:col>
                <xdr:colOff>2771775</xdr:colOff>
                <xdr:row>9</xdr:row>
                <xdr:rowOff>9525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7" sqref="I7"/>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517" t="s">
        <v>1669</v>
      </c>
      <c r="B1" s="2518"/>
      <c r="C1" s="2518"/>
      <c r="D1" s="2518"/>
      <c r="E1" s="2518"/>
      <c r="F1" s="2519"/>
    </row>
    <row r="2" spans="1:8" ht="45" customHeight="1" x14ac:dyDescent="0.2">
      <c r="A2" s="252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8"/>
      <c r="C2" s="2528"/>
      <c r="D2" s="2528"/>
      <c r="E2" s="2528"/>
      <c r="F2" s="2529"/>
      <c r="G2" s="852"/>
      <c r="H2" s="852"/>
    </row>
    <row r="3" spans="1:8" ht="57" customHeight="1" x14ac:dyDescent="0.2">
      <c r="A3" s="2530" t="s">
        <v>1969</v>
      </c>
      <c r="B3" s="2531"/>
      <c r="C3" s="2531"/>
      <c r="D3" s="2531"/>
      <c r="E3" s="2531"/>
      <c r="F3" s="2532"/>
      <c r="G3" s="852"/>
      <c r="H3" s="852"/>
    </row>
    <row r="4" spans="1:8" ht="14.25" customHeight="1" x14ac:dyDescent="0.2">
      <c r="A4" s="253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7"/>
      <c r="C4" s="2537"/>
      <c r="D4" s="2537"/>
      <c r="E4" s="2537"/>
      <c r="F4" s="2538"/>
      <c r="G4" s="852"/>
      <c r="H4" s="852"/>
    </row>
    <row r="5" spans="1:8" ht="14.25" customHeight="1" x14ac:dyDescent="0.2">
      <c r="A5" s="253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0"/>
      <c r="C5" s="2540"/>
      <c r="D5" s="2540"/>
      <c r="E5" s="2540"/>
      <c r="F5" s="2541"/>
      <c r="G5" s="852"/>
      <c r="H5" s="852"/>
    </row>
    <row r="6" spans="1:8" s="853" customFormat="1" ht="41.25" customHeight="1" x14ac:dyDescent="0.2">
      <c r="A6" s="2533" t="s">
        <v>1670</v>
      </c>
      <c r="B6" s="2534"/>
      <c r="C6" s="2534"/>
      <c r="D6" s="2534"/>
      <c r="E6" s="2534"/>
      <c r="F6" s="253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03">
        <f>'Acct Summary 7-8'!C8</f>
        <v>12531872</v>
      </c>
      <c r="C8" s="1803">
        <f>'Acct Summary 7-8'!D8</f>
        <v>1411690</v>
      </c>
      <c r="D8" s="1803">
        <f>'Acct Summary 7-8'!F8</f>
        <v>1754139</v>
      </c>
      <c r="E8" s="1803">
        <f>'Acct Summary 7-8'!I8</f>
        <v>34790</v>
      </c>
      <c r="F8" s="1803">
        <f>SUM(B8:E8)</f>
        <v>15732491</v>
      </c>
    </row>
    <row r="9" spans="1:8" s="857" customFormat="1" ht="14.25" customHeight="1" thickBot="1" x14ac:dyDescent="0.25">
      <c r="A9" s="856" t="s">
        <v>1353</v>
      </c>
      <c r="B9" s="1804">
        <f>'Acct Summary 7-8'!C17</f>
        <v>10831063</v>
      </c>
      <c r="C9" s="1804">
        <f>'Acct Summary 7-8'!D17</f>
        <v>1611243</v>
      </c>
      <c r="D9" s="1804">
        <f>'Acct Summary 7-8'!F17</f>
        <v>1109062</v>
      </c>
      <c r="E9" s="1803"/>
      <c r="F9" s="1803">
        <f>SUM(B9:E9)</f>
        <v>13551368</v>
      </c>
    </row>
    <row r="10" spans="1:8" s="857" customFormat="1" ht="14.25" thickTop="1" thickBot="1" x14ac:dyDescent="0.25">
      <c r="A10" s="858" t="s">
        <v>1354</v>
      </c>
      <c r="B10" s="1805">
        <f>(B8-B9)</f>
        <v>1700809</v>
      </c>
      <c r="C10" s="1805">
        <f>(C8-C9)</f>
        <v>-199553</v>
      </c>
      <c r="D10" s="1805">
        <f>(D8-D9)</f>
        <v>645077</v>
      </c>
      <c r="E10" s="1804">
        <f>(E8-E9)</f>
        <v>34790</v>
      </c>
      <c r="F10" s="1806">
        <f>SUM(F8-F9)</f>
        <v>2181123</v>
      </c>
    </row>
    <row r="11" spans="1:8" s="857" customFormat="1" ht="14.25" thickTop="1" thickBot="1" x14ac:dyDescent="0.25">
      <c r="A11" s="859" t="s">
        <v>1900</v>
      </c>
      <c r="B11" s="1807">
        <f>'Acct Summary 7-8'!C81</f>
        <v>5754112</v>
      </c>
      <c r="C11" s="1807">
        <f>'Acct Summary 7-8'!D81</f>
        <v>18369</v>
      </c>
      <c r="D11" s="1807">
        <f>'Acct Summary 7-8'!F81</f>
        <v>1844727</v>
      </c>
      <c r="E11" s="1807">
        <f>'Acct Summary 7-8'!I81</f>
        <v>57089</v>
      </c>
      <c r="F11" s="1808">
        <f>SUM(B11:E11)</f>
        <v>7674297</v>
      </c>
    </row>
    <row r="12" spans="1:8" ht="16.5" customHeight="1" thickTop="1" x14ac:dyDescent="0.2">
      <c r="A12" s="860"/>
      <c r="B12" s="861"/>
      <c r="C12" s="2521" t="str">
        <f>IF(AND(F10&lt;0,F11&gt;=0,ABS(F10*3)&gt;ABS(F11)),A16,IF(AND(F10&lt;0,F11&gt;0,ABS(F10*3)&lt;=ABS(F11)),A17,IF(AND(F10&lt;0,F11&lt;0),A16,IF(F11=0,A19,A18))))</f>
        <v>Balanced - no deficit reduction plan is required.</v>
      </c>
      <c r="D12" s="2522"/>
      <c r="E12" s="2522"/>
      <c r="F12" s="2523"/>
    </row>
    <row r="13" spans="1:8" ht="19.5" customHeight="1" x14ac:dyDescent="0.2">
      <c r="A13" s="862"/>
      <c r="B13" s="863"/>
      <c r="C13" s="2521"/>
      <c r="D13" s="2522"/>
      <c r="E13" s="2522"/>
      <c r="F13" s="2523"/>
      <c r="H13" s="852"/>
    </row>
    <row r="14" spans="1:8" ht="19.5" customHeight="1" x14ac:dyDescent="0.2">
      <c r="A14" s="862"/>
      <c r="B14" s="863"/>
      <c r="C14" s="2521"/>
      <c r="D14" s="2522"/>
      <c r="E14" s="2522"/>
      <c r="F14" s="2523"/>
      <c r="H14" s="852"/>
    </row>
    <row r="15" spans="1:8" ht="17.25" customHeight="1" x14ac:dyDescent="0.2">
      <c r="A15" s="862"/>
      <c r="B15" s="863"/>
      <c r="C15" s="2524"/>
      <c r="D15" s="2525"/>
      <c r="E15" s="2525"/>
      <c r="F15" s="2526"/>
      <c r="H15" s="852"/>
    </row>
    <row r="16" spans="1:8" s="287" customFormat="1" ht="51.75" hidden="1" customHeight="1" x14ac:dyDescent="0.2">
      <c r="A16" s="2520" t="s">
        <v>1666</v>
      </c>
      <c r="B16" s="2520"/>
      <c r="C16" s="2520"/>
      <c r="D16" s="2520"/>
      <c r="E16" s="2520"/>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H20" sqref="H20"/>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0"/>
      <c r="B2" s="1511"/>
      <c r="C2" s="1512"/>
      <c r="D2" s="1513"/>
    </row>
    <row r="3" spans="1:4" ht="36" customHeight="1" x14ac:dyDescent="0.2">
      <c r="A3" s="2542" t="s">
        <v>660</v>
      </c>
      <c r="B3" s="2543"/>
      <c r="C3" s="2543"/>
      <c r="D3" s="2544"/>
    </row>
    <row r="4" spans="1:4" x14ac:dyDescent="0.2">
      <c r="A4" s="930" t="s">
        <v>1671</v>
      </c>
      <c r="B4" s="931"/>
      <c r="C4" s="932"/>
      <c r="D4" s="933"/>
    </row>
    <row r="5" spans="1:4" ht="21" customHeight="1" x14ac:dyDescent="0.2">
      <c r="A5" s="926"/>
      <c r="B5" s="927">
        <v>1</v>
      </c>
      <c r="C5" s="928" t="s">
        <v>1971</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53" t="s">
        <v>1487</v>
      </c>
      <c r="D7" s="2554"/>
    </row>
    <row r="8" spans="1:4" s="541" customFormat="1" ht="12.75" x14ac:dyDescent="0.2">
      <c r="A8" s="916"/>
      <c r="B8" s="871"/>
      <c r="C8" s="874" t="s">
        <v>1486</v>
      </c>
      <c r="D8" s="875"/>
    </row>
    <row r="9" spans="1:4" s="541" customFormat="1" ht="14.25" customHeight="1" x14ac:dyDescent="0.2">
      <c r="A9" s="916"/>
      <c r="B9" s="871">
        <f>B7+1</f>
        <v>4</v>
      </c>
      <c r="C9" s="872" t="s">
        <v>1876</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45" t="s">
        <v>1001</v>
      </c>
      <c r="B15" s="2546"/>
      <c r="C15" s="2546"/>
      <c r="D15" s="2547"/>
    </row>
    <row r="16" spans="1:4" s="541" customFormat="1" ht="24" customHeight="1" x14ac:dyDescent="0.2">
      <c r="A16" s="2548" t="s">
        <v>658</v>
      </c>
      <c r="B16" s="2549"/>
      <c r="C16" s="2549"/>
      <c r="D16" s="2550"/>
    </row>
    <row r="17" spans="1:10" s="541" customFormat="1" ht="12.75" customHeight="1" x14ac:dyDescent="0.2">
      <c r="A17" s="934" t="s">
        <v>1672</v>
      </c>
      <c r="B17" s="935"/>
      <c r="C17" s="936"/>
      <c r="D17" s="937"/>
    </row>
    <row r="18" spans="1:10" s="541"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57" t="s">
        <v>311</v>
      </c>
      <c r="D21" s="2558"/>
    </row>
    <row r="22" spans="1:10" ht="12.75" x14ac:dyDescent="0.2">
      <c r="A22" s="917"/>
      <c r="B22" s="918">
        <v>2</v>
      </c>
      <c r="C22" s="2555" t="s">
        <v>1507</v>
      </c>
      <c r="D22" s="255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59" t="s">
        <v>533</v>
      </c>
      <c r="D43" s="256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51" t="s">
        <v>779</v>
      </c>
      <c r="D56" s="255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51" t="s">
        <v>1674</v>
      </c>
      <c r="D70" s="255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7"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33" t="s">
        <v>1964</v>
      </c>
      <c r="F1" s="1533" t="s">
        <v>1965</v>
      </c>
      <c r="G1" s="1886" t="s">
        <v>1975</v>
      </c>
    </row>
    <row r="2" spans="1:7" ht="15.75" x14ac:dyDescent="0.25">
      <c r="A2" t="s">
        <v>260</v>
      </c>
      <c r="B2" s="134">
        <f>COVER!A13</f>
        <v>7016152502</v>
      </c>
      <c r="E2" s="1532">
        <v>2020</v>
      </c>
      <c r="F2" s="1532">
        <v>1</v>
      </c>
      <c r="G2" s="1885">
        <v>101000300</v>
      </c>
    </row>
    <row r="3" spans="1:7" ht="15" x14ac:dyDescent="0.25">
      <c r="A3" t="s">
        <v>950</v>
      </c>
      <c r="B3" s="134" t="str">
        <f>COVER!A15</f>
        <v>Cook</v>
      </c>
      <c r="E3" s="1818" t="s">
        <v>1968</v>
      </c>
      <c r="F3" s="1818" t="s">
        <v>1967</v>
      </c>
      <c r="G3" s="1885">
        <v>101000400</v>
      </c>
    </row>
    <row r="4" spans="1:7" ht="15" x14ac:dyDescent="0.25">
      <c r="A4" t="s">
        <v>1000</v>
      </c>
      <c r="B4" s="134" t="str">
        <f>COVER!A17</f>
        <v>Hazel Crest SD 152-5</v>
      </c>
      <c r="E4" s="1816">
        <v>44119</v>
      </c>
      <c r="F4" s="1817">
        <v>44151</v>
      </c>
      <c r="G4" s="1885">
        <v>101000600</v>
      </c>
    </row>
    <row r="5" spans="1:7" ht="15" x14ac:dyDescent="0.25">
      <c r="A5" t="s">
        <v>699</v>
      </c>
      <c r="B5" s="134" t="str">
        <f>COVER!A38</f>
        <v>Dr. Kenneth Spells</v>
      </c>
      <c r="G5" s="1885">
        <v>101000800</v>
      </c>
    </row>
    <row r="6" spans="1:7" ht="15" x14ac:dyDescent="0.25">
      <c r="A6" t="s">
        <v>704</v>
      </c>
      <c r="B6" s="134" t="str">
        <f>COVER!P35</f>
        <v>Thornton</v>
      </c>
      <c r="G6" s="1885">
        <v>102100300</v>
      </c>
    </row>
    <row r="7" spans="1:7" ht="15" x14ac:dyDescent="0.25">
      <c r="A7" t="s">
        <v>700</v>
      </c>
      <c r="B7" s="134" t="str">
        <f>COVER!I38</f>
        <v>Eugene C. Varnado</v>
      </c>
      <c r="G7" s="1885">
        <v>102100400</v>
      </c>
    </row>
    <row r="8" spans="1:7" ht="15" x14ac:dyDescent="0.25">
      <c r="A8" t="s">
        <v>701</v>
      </c>
      <c r="B8" s="134" t="str">
        <f>COVER!T38</f>
        <v>Dr. Vanessa Kinder (ISC#4)</v>
      </c>
      <c r="G8" s="1885">
        <v>102100600</v>
      </c>
    </row>
    <row r="9" spans="1:7" ht="15" x14ac:dyDescent="0.25">
      <c r="A9" s="3" t="s">
        <v>951</v>
      </c>
      <c r="B9" s="152" t="str">
        <f>AUDITCHECK!D23</f>
        <v>CASH</v>
      </c>
      <c r="G9" s="1885">
        <v>102100800</v>
      </c>
    </row>
    <row r="10" spans="1:7" ht="15" x14ac:dyDescent="0.25">
      <c r="A10" t="s">
        <v>970</v>
      </c>
      <c r="B10" s="134" t="str">
        <f>COVER!B5</f>
        <v>X</v>
      </c>
      <c r="G10" s="1885">
        <v>202100300</v>
      </c>
    </row>
    <row r="11" spans="1:7" ht="15" x14ac:dyDescent="0.25">
      <c r="A11" t="s">
        <v>971</v>
      </c>
      <c r="B11" s="134">
        <f>COVER!B6</f>
        <v>0</v>
      </c>
      <c r="G11" s="1885">
        <v>202100400</v>
      </c>
    </row>
    <row r="12" spans="1:7" ht="15" x14ac:dyDescent="0.25">
      <c r="A12" s="1" t="s">
        <v>1526</v>
      </c>
      <c r="B12" s="134" t="str">
        <f>IF(COVER!J29="x","Yes",IF(COVER!L29="X","No",0))</f>
        <v>Yes</v>
      </c>
      <c r="G12" s="1885">
        <v>202100600</v>
      </c>
    </row>
    <row r="13" spans="1:7" ht="15" x14ac:dyDescent="0.25">
      <c r="A13" s="1" t="s">
        <v>1527</v>
      </c>
      <c r="B13" s="134" t="str">
        <f>IF(COVER!J30="x","Yes",IF(COVER!L30="x","No",0))</f>
        <v>Yes</v>
      </c>
      <c r="G13" s="1885">
        <v>202100800</v>
      </c>
    </row>
    <row r="14" spans="1:7" ht="15" x14ac:dyDescent="0.25">
      <c r="A14" t="s">
        <v>473</v>
      </c>
      <c r="B14" s="134" t="str">
        <f>IF(COVER!J31="x","Yes",IF(COVER!L31="x","No",0))</f>
        <v>No</v>
      </c>
      <c r="G14" s="1885">
        <v>402100300</v>
      </c>
    </row>
    <row r="15" spans="1:7" ht="15" x14ac:dyDescent="0.25">
      <c r="A15" t="s">
        <v>573</v>
      </c>
      <c r="B15" s="134" t="str">
        <f>COVER!T23</f>
        <v>006-003925</v>
      </c>
      <c r="G15" s="1885">
        <v>402100400</v>
      </c>
    </row>
    <row r="16" spans="1:7" ht="15" x14ac:dyDescent="0.25">
      <c r="A16" t="s">
        <v>419</v>
      </c>
      <c r="B16" s="134" t="str">
        <f>COVER!T13</f>
        <v>Legacy Professionals LLP</v>
      </c>
      <c r="G16" s="1885">
        <v>402100600</v>
      </c>
    </row>
    <row r="17" spans="1:7" ht="15" x14ac:dyDescent="0.25">
      <c r="A17" t="s">
        <v>878</v>
      </c>
      <c r="B17" s="134" t="str">
        <f>COVER!T15</f>
        <v>Colin Thompson</v>
      </c>
      <c r="G17" s="1885">
        <v>402100800</v>
      </c>
    </row>
    <row r="18" spans="1:7" ht="15" x14ac:dyDescent="0.25">
      <c r="A18" t="s">
        <v>1140</v>
      </c>
      <c r="B18" s="134" t="str">
        <f>COVER!T17</f>
        <v>4 Westbrook Corporate Center, Suite 700</v>
      </c>
      <c r="G18" s="1885">
        <v>102200300</v>
      </c>
    </row>
    <row r="19" spans="1:7" ht="15" x14ac:dyDescent="0.25">
      <c r="A19" t="s">
        <v>880</v>
      </c>
      <c r="B19" s="134" t="str">
        <f>COVER!T25</f>
        <v>cthompson@legacycpas.com</v>
      </c>
      <c r="G19" s="1885">
        <v>102200400</v>
      </c>
    </row>
    <row r="20" spans="1:7" ht="15" x14ac:dyDescent="0.25">
      <c r="A20" t="s">
        <v>881</v>
      </c>
      <c r="B20" s="134" t="str">
        <f>COVER!T19</f>
        <v>Westchester</v>
      </c>
      <c r="G20" s="1885">
        <v>102200600</v>
      </c>
    </row>
    <row r="21" spans="1:7" ht="15" x14ac:dyDescent="0.25">
      <c r="A21" t="s">
        <v>476</v>
      </c>
      <c r="B21" s="134" t="str">
        <f>COVER!X19</f>
        <v>IL</v>
      </c>
      <c r="G21" s="1885">
        <v>102200800</v>
      </c>
    </row>
    <row r="22" spans="1:7" ht="15" x14ac:dyDescent="0.25">
      <c r="A22" t="s">
        <v>882</v>
      </c>
      <c r="B22" s="134">
        <f>COVER!Z19</f>
        <v>60154</v>
      </c>
      <c r="G22" s="1885">
        <v>102300300</v>
      </c>
    </row>
    <row r="23" spans="1:7" ht="15" x14ac:dyDescent="0.25">
      <c r="A23" t="s">
        <v>1142</v>
      </c>
      <c r="B23" s="134" t="str">
        <f>COVER!T21</f>
        <v>(312) 368-0500</v>
      </c>
      <c r="G23" s="1885">
        <v>102300400</v>
      </c>
    </row>
    <row r="24" spans="1:7" ht="15" x14ac:dyDescent="0.25">
      <c r="A24" t="s">
        <v>1141</v>
      </c>
      <c r="B24" s="134">
        <f>COVER!Y21</f>
        <v>0</v>
      </c>
      <c r="G24" s="1885">
        <v>102300600</v>
      </c>
    </row>
    <row r="25" spans="1:7" ht="15" x14ac:dyDescent="0.25">
      <c r="A25" t="s">
        <v>756</v>
      </c>
      <c r="B25" s="134" t="str">
        <f>COVER!B34</f>
        <v>X</v>
      </c>
      <c r="G25" s="1885">
        <v>102300800</v>
      </c>
    </row>
    <row r="26" spans="1:7" ht="15" x14ac:dyDescent="0.25">
      <c r="A26" t="s">
        <v>1143</v>
      </c>
      <c r="B26" s="134" t="str">
        <f>COVER!L34</f>
        <v>X</v>
      </c>
      <c r="G26" s="1885">
        <v>802300300</v>
      </c>
    </row>
    <row r="27" spans="1:7" ht="15" x14ac:dyDescent="0.25">
      <c r="A27" t="s">
        <v>266</v>
      </c>
      <c r="B27" s="134">
        <f>COVER!U34</f>
        <v>0</v>
      </c>
      <c r="G27" s="1885">
        <v>802300400</v>
      </c>
    </row>
    <row r="28" spans="1:7" ht="15" x14ac:dyDescent="0.25">
      <c r="A28" t="s">
        <v>313</v>
      </c>
      <c r="B28" s="134" t="str">
        <f>IF('Aud Quest 2'!B9="x","Yes",IF('Aud Quest 2'!B9&lt;&gt;"x","0"))</f>
        <v>0</v>
      </c>
      <c r="G28" s="1885">
        <v>802300600</v>
      </c>
    </row>
    <row r="29" spans="1:7" ht="15" x14ac:dyDescent="0.25">
      <c r="A29" t="s">
        <v>314</v>
      </c>
      <c r="B29" s="134" t="str">
        <f>IF('Aud Quest 2'!B11="x","Yes",IF('Aud Quest 2'!B11&lt;&gt;"x","0"))</f>
        <v>0</v>
      </c>
      <c r="G29" s="1885">
        <v>802300800</v>
      </c>
    </row>
    <row r="30" spans="1:7" ht="15" x14ac:dyDescent="0.25">
      <c r="A30" t="s">
        <v>315</v>
      </c>
      <c r="B30" s="134" t="str">
        <f>IF('Aud Quest 2'!B13="x","Yes",IF('Aud Quest 2'!B13&lt;&gt;"x","0"))</f>
        <v>0</v>
      </c>
      <c r="G30" s="1885">
        <v>102400300</v>
      </c>
    </row>
    <row r="31" spans="1:7" ht="15" x14ac:dyDescent="0.25">
      <c r="A31" t="s">
        <v>654</v>
      </c>
      <c r="B31" s="134" t="str">
        <f>IF('Aud Quest 2'!B14="x","Yes",IF('Aud Quest 2'!B14&lt;&gt;"x","0"))</f>
        <v>0</v>
      </c>
      <c r="G31" s="1885">
        <v>102400400</v>
      </c>
    </row>
    <row r="32" spans="1:7" ht="15" x14ac:dyDescent="0.25">
      <c r="A32" t="s">
        <v>653</v>
      </c>
      <c r="B32" s="134" t="str">
        <f>IF('Aud Quest 2'!B15="x","Yes",IF('Aud Quest 2'!B15&lt;&gt;"x","0"))</f>
        <v>0</v>
      </c>
      <c r="G32" s="1885">
        <v>102400600</v>
      </c>
    </row>
    <row r="33" spans="1:7" ht="15" x14ac:dyDescent="0.25">
      <c r="A33" t="s">
        <v>655</v>
      </c>
      <c r="B33" s="134" t="str">
        <f>IF('Aud Quest 2'!B16="x","Yes",IF('Aud Quest 2'!B16&lt;&gt;"x","0"))</f>
        <v>0</v>
      </c>
      <c r="G33" s="1885">
        <v>102400800</v>
      </c>
    </row>
    <row r="34" spans="1:7" ht="15" x14ac:dyDescent="0.25">
      <c r="A34" t="s">
        <v>656</v>
      </c>
      <c r="B34" s="134" t="str">
        <f>IF('Aud Quest 2'!B18="x","Yes",IF('Aud Quest 2'!B18&lt;&gt;"x","0"))</f>
        <v>0</v>
      </c>
      <c r="G34" s="1885">
        <v>102510300</v>
      </c>
    </row>
    <row r="35" spans="1:7" ht="15" x14ac:dyDescent="0.25">
      <c r="A35" t="s">
        <v>657</v>
      </c>
      <c r="B35" s="134" t="str">
        <f>IF('Aud Quest 2'!B20="x","Yes",IF('Aud Quest 2'!B20&lt;&gt;"x","0"))</f>
        <v>0</v>
      </c>
      <c r="G35" s="1885">
        <v>102510400</v>
      </c>
    </row>
    <row r="36" spans="1:7" ht="15" x14ac:dyDescent="0.25">
      <c r="A36" t="s">
        <v>651</v>
      </c>
      <c r="B36" s="134" t="str">
        <f>IF('Aud Quest 2'!B22="x","Yes",IF('Aud Quest 2'!B22&lt;&gt;"x","0"))</f>
        <v>0</v>
      </c>
      <c r="G36" s="1885">
        <v>102510600</v>
      </c>
    </row>
    <row r="37" spans="1:7" ht="15" x14ac:dyDescent="0.25">
      <c r="A37" t="s">
        <v>755</v>
      </c>
      <c r="B37" s="134" t="str">
        <f>IF('Aud Quest 2'!B24="x","Yes",IF('Aud Quest 2'!B24&lt;&gt;"x","0"))</f>
        <v>0</v>
      </c>
      <c r="G37" s="1885">
        <v>102510800</v>
      </c>
    </row>
    <row r="38" spans="1:7" ht="15" x14ac:dyDescent="0.25">
      <c r="A38" t="s">
        <v>324</v>
      </c>
      <c r="B38" s="134" t="str">
        <f>IF('Aud Quest 2'!B25="x","Yes",IF('Aud Quest 2'!B25&lt;&gt;"x","0"))</f>
        <v>0</v>
      </c>
      <c r="G38" s="1885">
        <v>202510300</v>
      </c>
    </row>
    <row r="39" spans="1:7" ht="15" x14ac:dyDescent="0.25">
      <c r="A39" t="s">
        <v>325</v>
      </c>
      <c r="B39" s="134" t="str">
        <f>IF('Aud Quest 2'!B27="x","Yes",IF('Aud Quest 2'!B27&lt;&gt;"x","0"))</f>
        <v>0</v>
      </c>
      <c r="G39" s="1885">
        <v>202510400</v>
      </c>
    </row>
    <row r="40" spans="1:7" ht="15" x14ac:dyDescent="0.25">
      <c r="A40" t="s">
        <v>316</v>
      </c>
      <c r="B40" s="134" t="str">
        <f>IF('Aud Quest 2'!B29="x","Yes",IF('Aud Quest 2'!B29&lt;&gt;"x","0"))</f>
        <v>0</v>
      </c>
      <c r="G40" s="1885">
        <v>202510600</v>
      </c>
    </row>
    <row r="41" spans="1:7" ht="15" x14ac:dyDescent="0.25">
      <c r="A41" t="s">
        <v>317</v>
      </c>
      <c r="B41" s="134" t="str">
        <f>IF('Aud Quest 2'!B31="x","Yes",IF('Aud Quest 2'!B31&lt;&gt;"x","0"))</f>
        <v>0</v>
      </c>
      <c r="G41" s="1885">
        <v>202510800</v>
      </c>
    </row>
    <row r="42" spans="1:7" ht="15" x14ac:dyDescent="0.25">
      <c r="A42" t="s">
        <v>318</v>
      </c>
      <c r="B42" s="134" t="str">
        <f>IF('Aud Quest 2'!B37="x","Yes",IF('Aud Quest 2'!B37&lt;&gt;"x","0"))</f>
        <v>0</v>
      </c>
      <c r="G42" s="1885">
        <v>102520300</v>
      </c>
    </row>
    <row r="43" spans="1:7" ht="15" x14ac:dyDescent="0.25">
      <c r="A43" t="s">
        <v>319</v>
      </c>
      <c r="B43" s="134" t="str">
        <f>IF('Aud Quest 2'!B40="x","Yes",IF('Aud Quest 2'!B40&lt;&gt;"x","0"))</f>
        <v>0</v>
      </c>
      <c r="G43" s="1885">
        <v>102520400</v>
      </c>
    </row>
    <row r="44" spans="1:7" ht="15" x14ac:dyDescent="0.25">
      <c r="A44" s="1" t="s">
        <v>320</v>
      </c>
      <c r="B44" s="134" t="str">
        <f>IF('Aud Quest 2'!B42="x","Yes",IF('Aud Quest 2'!B42&lt;&gt;"x","0"))</f>
        <v>0</v>
      </c>
      <c r="G44" s="1885">
        <v>102520600</v>
      </c>
    </row>
    <row r="45" spans="1:7" ht="15" x14ac:dyDescent="0.25">
      <c r="A45" t="s">
        <v>321</v>
      </c>
      <c r="B45" s="134" t="str">
        <f>IF('Aud Quest 2'!B44="x","Yes",IF('Aud Quest 2'!B44&lt;&gt;"x","0"))</f>
        <v>0</v>
      </c>
      <c r="G45" s="1885">
        <v>102520800</v>
      </c>
    </row>
    <row r="46" spans="1:7" ht="15" x14ac:dyDescent="0.25">
      <c r="A46" t="s">
        <v>322</v>
      </c>
      <c r="B46" s="134" t="str">
        <f>IF('Aud Quest 2'!B49="x","Yes",IF('Aud Quest 2'!B49&lt;&gt;"x","0"))</f>
        <v>0</v>
      </c>
      <c r="G46" s="1885">
        <v>102540300</v>
      </c>
    </row>
    <row r="47" spans="1:7" ht="15" x14ac:dyDescent="0.25">
      <c r="A47" t="s">
        <v>323</v>
      </c>
      <c r="B47" s="134" t="str">
        <f>IF('Aud Quest 2'!B50="x","Yes",IF('Aud Quest 2'!B50&lt;&gt;"x","0"))</f>
        <v>0</v>
      </c>
      <c r="G47" s="1885">
        <v>102540400</v>
      </c>
    </row>
    <row r="48" spans="1:7" ht="15" x14ac:dyDescent="0.25">
      <c r="A48" t="s">
        <v>480</v>
      </c>
      <c r="B48" s="134" t="str">
        <f>IF('Aud Quest 2'!B51="x","Yes",IF('Aud Quest 2'!B51&lt;&gt;"x","0"))</f>
        <v>0</v>
      </c>
      <c r="G48" s="1885">
        <v>102540600</v>
      </c>
    </row>
    <row r="49" spans="1:7" ht="15" x14ac:dyDescent="0.25">
      <c r="A49" s="1" t="s">
        <v>1464</v>
      </c>
      <c r="B49" s="134" t="str">
        <f>IF('Aud Quest 2'!B53="x","Yes",IF('Aud Quest 2'!B53&lt;&gt;"x","0"))</f>
        <v>Yes</v>
      </c>
      <c r="G49" s="1885">
        <v>102540800</v>
      </c>
    </row>
    <row r="50" spans="1:7" ht="15" x14ac:dyDescent="0.25">
      <c r="A50" s="1" t="s">
        <v>1463</v>
      </c>
      <c r="B50" s="145">
        <f>'Aud Quest 2'!H53</f>
        <v>34335</v>
      </c>
      <c r="G50" s="1885">
        <v>202540300</v>
      </c>
    </row>
    <row r="51" spans="1:7" ht="15" x14ac:dyDescent="0.25">
      <c r="A51" s="1" t="s">
        <v>1465</v>
      </c>
      <c r="B51" s="134" t="str">
        <f>IF('Aud Quest 2'!B54="x","Yes",IF('Aud Quest 2'!B54&lt;&gt;"x","0"))</f>
        <v>Yes</v>
      </c>
      <c r="G51" s="1885">
        <v>202540400</v>
      </c>
    </row>
    <row r="52" spans="1:7" ht="15" x14ac:dyDescent="0.25">
      <c r="A52" t="s">
        <v>326</v>
      </c>
      <c r="B52" s="134">
        <f>('Aud Quest 2'!D56)</f>
        <v>0</v>
      </c>
      <c r="G52" s="1885">
        <v>202540600</v>
      </c>
    </row>
    <row r="53" spans="1:7" ht="15" x14ac:dyDescent="0.25">
      <c r="A53" s="1" t="s">
        <v>327</v>
      </c>
      <c r="B53" s="134">
        <f>IF('FP Info 3'!B44="X","Yes",0)</f>
        <v>0</v>
      </c>
      <c r="G53" s="1885">
        <v>202540800</v>
      </c>
    </row>
    <row r="54" spans="1:7" ht="15" x14ac:dyDescent="0.25">
      <c r="A54" t="s">
        <v>328</v>
      </c>
      <c r="B54" s="134">
        <f>IF('FP Info 3'!B45="X","Yes",0)</f>
        <v>0</v>
      </c>
      <c r="G54" s="1885">
        <v>902540300</v>
      </c>
    </row>
    <row r="55" spans="1:7" ht="15" x14ac:dyDescent="0.25">
      <c r="A55" t="s">
        <v>329</v>
      </c>
      <c r="B55" s="134">
        <f>IF('FP Info 3'!B46="X","Yes",0)</f>
        <v>0</v>
      </c>
      <c r="G55" s="1885">
        <v>902540400</v>
      </c>
    </row>
    <row r="56" spans="1:7" ht="15" x14ac:dyDescent="0.25">
      <c r="A56" t="s">
        <v>330</v>
      </c>
      <c r="B56" s="134">
        <f>IF('FP Info 3'!B47="X","Yes",0)</f>
        <v>0</v>
      </c>
      <c r="G56" s="1885">
        <v>902540600</v>
      </c>
    </row>
    <row r="57" spans="1:7" ht="15" x14ac:dyDescent="0.25">
      <c r="A57" t="s">
        <v>331</v>
      </c>
      <c r="B57" s="134">
        <f>IF('FP Info 3'!B48="X","Yes",0)</f>
        <v>0</v>
      </c>
      <c r="G57" s="1885">
        <v>902540800</v>
      </c>
    </row>
    <row r="58" spans="1:7" ht="15" x14ac:dyDescent="0.25">
      <c r="A58" t="s">
        <v>332</v>
      </c>
      <c r="B58" s="134">
        <f>IF('FP Info 3'!B49="X","Yes",0)</f>
        <v>0</v>
      </c>
      <c r="G58" s="1885">
        <v>102550300</v>
      </c>
    </row>
    <row r="59" spans="1:7" ht="15" x14ac:dyDescent="0.25">
      <c r="A59" t="s">
        <v>333</v>
      </c>
      <c r="B59" s="134">
        <f>IF('FP Info 3'!B50="X","Yes",0)</f>
        <v>0</v>
      </c>
      <c r="G59" s="1885">
        <v>102550400</v>
      </c>
    </row>
    <row r="60" spans="1:7" ht="15" x14ac:dyDescent="0.25">
      <c r="A60" t="s">
        <v>334</v>
      </c>
      <c r="B60" s="134">
        <f>IF('FP Info 3'!B51="X","Yes",0)</f>
        <v>0</v>
      </c>
      <c r="G60" s="1885">
        <v>102550600</v>
      </c>
    </row>
    <row r="61" spans="1:7" ht="15" x14ac:dyDescent="0.25">
      <c r="A61" t="s">
        <v>335</v>
      </c>
      <c r="B61" s="134">
        <f>('FP Info 3'!A53)</f>
        <v>0</v>
      </c>
      <c r="D61" s="2" t="str">
        <f>IF(ISBLANK(B62),"OK",IF(A62-B62=0,"OK","Error?"))</f>
        <v>OK</v>
      </c>
      <c r="G61" s="1885">
        <v>102550800</v>
      </c>
    </row>
    <row r="62" spans="1:7" ht="15" x14ac:dyDescent="0.25">
      <c r="A62" s="10">
        <v>1</v>
      </c>
      <c r="B62" s="1820"/>
      <c r="D62" s="2" t="str">
        <f>IF(ISBLANK(B62),"OK",IF(A62-B62=0,"OK","Error?"))</f>
        <v>OK</v>
      </c>
      <c r="G62" s="1885">
        <v>202550300</v>
      </c>
    </row>
    <row r="63" spans="1:7" ht="15" x14ac:dyDescent="0.25">
      <c r="A63" s="10">
        <v>2</v>
      </c>
      <c r="B63" s="1820"/>
      <c r="D63" s="2" t="str">
        <f t="shared" ref="D63:D126" si="0">IF(ISBLANK(B63),"OK",IF(A63-B63=0,"OK","Error?"))</f>
        <v>OK</v>
      </c>
      <c r="G63" s="1885">
        <v>202550400</v>
      </c>
    </row>
    <row r="64" spans="1:7" ht="15" x14ac:dyDescent="0.25">
      <c r="A64" s="10">
        <v>3</v>
      </c>
      <c r="B64" s="1820"/>
      <c r="D64" s="2" t="str">
        <f t="shared" si="0"/>
        <v>OK</v>
      </c>
      <c r="G64" s="1885">
        <v>202550600</v>
      </c>
    </row>
    <row r="65" spans="1:7" ht="15" x14ac:dyDescent="0.25">
      <c r="A65" s="5">
        <v>4</v>
      </c>
      <c r="B65" s="1820">
        <f>'Assets-Liab 5-6'!C6</f>
        <v>0</v>
      </c>
      <c r="D65" s="2" t="str">
        <f t="shared" si="0"/>
        <v>Error?</v>
      </c>
      <c r="G65" s="1885">
        <v>202550800</v>
      </c>
    </row>
    <row r="66" spans="1:7" ht="15" x14ac:dyDescent="0.25">
      <c r="A66" s="10">
        <v>5</v>
      </c>
      <c r="B66" s="1820"/>
      <c r="D66" s="2" t="str">
        <f t="shared" si="0"/>
        <v>OK</v>
      </c>
      <c r="G66" s="1885">
        <v>402550300</v>
      </c>
    </row>
    <row r="67" spans="1:7" ht="15" x14ac:dyDescent="0.25">
      <c r="A67" s="10">
        <v>6</v>
      </c>
      <c r="B67" s="1820"/>
      <c r="D67" s="2" t="str">
        <f t="shared" si="0"/>
        <v>OK</v>
      </c>
      <c r="G67" s="1885">
        <v>402550400</v>
      </c>
    </row>
    <row r="68" spans="1:7" ht="15" x14ac:dyDescent="0.25">
      <c r="A68" s="10">
        <v>7</v>
      </c>
      <c r="B68" s="1820"/>
      <c r="D68" s="2" t="str">
        <f t="shared" si="0"/>
        <v>OK</v>
      </c>
      <c r="G68" s="1885">
        <v>402550600</v>
      </c>
    </row>
    <row r="69" spans="1:7" ht="15" x14ac:dyDescent="0.25">
      <c r="A69" s="10">
        <v>8</v>
      </c>
      <c r="B69" s="1820"/>
      <c r="D69" s="2" t="str">
        <f t="shared" si="0"/>
        <v>OK</v>
      </c>
      <c r="G69" s="1885">
        <v>402550800</v>
      </c>
    </row>
    <row r="70" spans="1:7" ht="15" x14ac:dyDescent="0.25">
      <c r="A70" s="10">
        <v>9</v>
      </c>
      <c r="B70" s="1820"/>
      <c r="D70" s="2" t="str">
        <f t="shared" si="0"/>
        <v>OK</v>
      </c>
      <c r="G70" s="1885">
        <v>102560300</v>
      </c>
    </row>
    <row r="71" spans="1:7" ht="15" x14ac:dyDescent="0.25">
      <c r="A71" s="10">
        <v>10</v>
      </c>
      <c r="B71" s="1820"/>
      <c r="D71" s="2" t="str">
        <f t="shared" si="0"/>
        <v>OK</v>
      </c>
      <c r="G71" s="1885">
        <v>102560400</v>
      </c>
    </row>
    <row r="72" spans="1:7" ht="15" x14ac:dyDescent="0.25">
      <c r="A72" s="5">
        <v>11</v>
      </c>
      <c r="B72" s="1820">
        <f>'Assets-Liab 5-6'!C10</f>
        <v>0</v>
      </c>
      <c r="D72" s="2" t="str">
        <f t="shared" si="0"/>
        <v>Error?</v>
      </c>
      <c r="G72" s="1885">
        <v>102560600</v>
      </c>
    </row>
    <row r="73" spans="1:7" ht="15" x14ac:dyDescent="0.25">
      <c r="A73" s="5">
        <v>12</v>
      </c>
      <c r="B73" s="1820">
        <f>'Assets-Liab 5-6'!C5</f>
        <v>5763252</v>
      </c>
      <c r="D73" s="2" t="str">
        <f t="shared" si="0"/>
        <v>Error?</v>
      </c>
      <c r="G73" s="1885">
        <v>102560800</v>
      </c>
    </row>
    <row r="74" spans="1:7" ht="15" x14ac:dyDescent="0.25">
      <c r="A74" s="10">
        <v>13</v>
      </c>
      <c r="B74" s="1820"/>
      <c r="D74" s="2" t="str">
        <f t="shared" si="0"/>
        <v>OK</v>
      </c>
      <c r="G74" s="1885">
        <v>102570300</v>
      </c>
    </row>
    <row r="75" spans="1:7" ht="15" x14ac:dyDescent="0.25">
      <c r="A75" s="10">
        <v>14</v>
      </c>
      <c r="B75" s="1820"/>
      <c r="D75" s="2" t="str">
        <f t="shared" si="0"/>
        <v>OK</v>
      </c>
      <c r="G75" s="1885">
        <v>102570400</v>
      </c>
    </row>
    <row r="76" spans="1:7" ht="15" x14ac:dyDescent="0.25">
      <c r="A76" s="5">
        <v>15</v>
      </c>
      <c r="B76" s="1820">
        <f>'Assets-Liab 5-6'!C12</f>
        <v>0</v>
      </c>
      <c r="D76" s="2" t="str">
        <f t="shared" si="0"/>
        <v>Error?</v>
      </c>
      <c r="G76" s="1885">
        <v>102570600</v>
      </c>
    </row>
    <row r="77" spans="1:7" ht="15" x14ac:dyDescent="0.25">
      <c r="A77" s="5">
        <v>16</v>
      </c>
      <c r="B77" s="1820">
        <f>'Assets-Liab 5-6'!C13</f>
        <v>5770502</v>
      </c>
      <c r="C77" s="2" t="s">
        <v>569</v>
      </c>
      <c r="D77" s="2" t="str">
        <f t="shared" si="0"/>
        <v>Error?</v>
      </c>
      <c r="G77" s="1885">
        <v>102570800</v>
      </c>
    </row>
    <row r="78" spans="1:7" ht="15" x14ac:dyDescent="0.25">
      <c r="A78" s="10">
        <v>17</v>
      </c>
      <c r="B78" s="1820"/>
      <c r="D78" s="2" t="str">
        <f t="shared" si="0"/>
        <v>OK</v>
      </c>
      <c r="G78" s="1885">
        <v>102610300</v>
      </c>
    </row>
    <row r="79" spans="1:7" ht="15" x14ac:dyDescent="0.25">
      <c r="A79" s="10">
        <v>18</v>
      </c>
      <c r="B79" s="1820"/>
      <c r="D79" s="2" t="str">
        <f t="shared" si="0"/>
        <v>OK</v>
      </c>
      <c r="G79" s="1885">
        <v>102610400</v>
      </c>
    </row>
    <row r="80" spans="1:7" ht="15" x14ac:dyDescent="0.25">
      <c r="A80" s="10">
        <v>19</v>
      </c>
      <c r="B80" s="1820"/>
      <c r="D80" s="2" t="str">
        <f t="shared" si="0"/>
        <v>OK</v>
      </c>
      <c r="G80" s="1885">
        <v>102610600</v>
      </c>
    </row>
    <row r="81" spans="1:7" ht="15" x14ac:dyDescent="0.25">
      <c r="A81" s="10">
        <v>20</v>
      </c>
      <c r="B81" s="1820"/>
      <c r="D81" s="2" t="str">
        <f t="shared" si="0"/>
        <v>OK</v>
      </c>
      <c r="G81" s="1885">
        <v>102610800</v>
      </c>
    </row>
    <row r="82" spans="1:7" ht="15" x14ac:dyDescent="0.25">
      <c r="A82" s="10">
        <v>21</v>
      </c>
      <c r="B82" s="1820"/>
      <c r="D82" s="2" t="str">
        <f t="shared" si="0"/>
        <v>OK</v>
      </c>
      <c r="G82" s="1885">
        <v>102620300</v>
      </c>
    </row>
    <row r="83" spans="1:7" ht="15" x14ac:dyDescent="0.25">
      <c r="A83" s="10">
        <v>22</v>
      </c>
      <c r="B83" s="1820"/>
      <c r="D83" s="2" t="str">
        <f t="shared" si="0"/>
        <v>OK</v>
      </c>
      <c r="G83" s="1885">
        <v>102620400</v>
      </c>
    </row>
    <row r="84" spans="1:7" ht="15" x14ac:dyDescent="0.25">
      <c r="A84" s="10">
        <v>23</v>
      </c>
      <c r="B84" s="1820"/>
      <c r="D84" s="2" t="str">
        <f t="shared" si="0"/>
        <v>OK</v>
      </c>
      <c r="G84" s="1885">
        <v>102620600</v>
      </c>
    </row>
    <row r="85" spans="1:7" ht="15" x14ac:dyDescent="0.25">
      <c r="A85" s="10">
        <v>24</v>
      </c>
      <c r="B85" s="1820"/>
      <c r="D85" s="2" t="str">
        <f t="shared" si="0"/>
        <v>OK</v>
      </c>
      <c r="G85" s="1885">
        <v>102620800</v>
      </c>
    </row>
    <row r="86" spans="1:7" ht="15" x14ac:dyDescent="0.25">
      <c r="A86" s="12">
        <v>25</v>
      </c>
      <c r="B86" s="1820">
        <f>'Assets-Liab 5-6'!C31</f>
        <v>16390</v>
      </c>
      <c r="D86" s="2" t="str">
        <f t="shared" si="0"/>
        <v>Error?</v>
      </c>
      <c r="G86" s="1885">
        <v>102630300</v>
      </c>
    </row>
    <row r="87" spans="1:7" ht="15" x14ac:dyDescent="0.25">
      <c r="A87" s="10">
        <v>26</v>
      </c>
      <c r="B87" s="1820"/>
      <c r="D87" s="2" t="str">
        <f t="shared" si="0"/>
        <v>OK</v>
      </c>
      <c r="G87" s="1885">
        <v>102630400</v>
      </c>
    </row>
    <row r="88" spans="1:7" ht="15" x14ac:dyDescent="0.25">
      <c r="A88" s="5">
        <v>27</v>
      </c>
      <c r="B88" s="1820">
        <f>'Assets-Liab 5-6'!C32</f>
        <v>0</v>
      </c>
      <c r="D88" s="2" t="str">
        <f t="shared" si="0"/>
        <v>Error?</v>
      </c>
      <c r="G88" s="1885">
        <v>102630600</v>
      </c>
    </row>
    <row r="89" spans="1:7" ht="15" x14ac:dyDescent="0.25">
      <c r="A89" s="10">
        <v>28</v>
      </c>
      <c r="B89" s="1820"/>
      <c r="D89" s="2" t="str">
        <f t="shared" si="0"/>
        <v>OK</v>
      </c>
      <c r="G89" s="1885">
        <v>102630800</v>
      </c>
    </row>
    <row r="90" spans="1:7" ht="15" x14ac:dyDescent="0.25">
      <c r="A90" s="10">
        <v>29</v>
      </c>
      <c r="B90" s="1820"/>
      <c r="D90" s="2" t="str">
        <f t="shared" si="0"/>
        <v>OK</v>
      </c>
      <c r="G90" s="1885">
        <v>102640300</v>
      </c>
    </row>
    <row r="91" spans="1:7" ht="15" x14ac:dyDescent="0.25">
      <c r="A91" s="5">
        <v>30</v>
      </c>
      <c r="B91" s="1820">
        <f>'Assets-Liab 5-6'!C34</f>
        <v>16390</v>
      </c>
      <c r="C91" s="2" t="s">
        <v>569</v>
      </c>
      <c r="D91" s="2" t="str">
        <f t="shared" si="0"/>
        <v>Error?</v>
      </c>
      <c r="G91" s="1885">
        <v>102640400</v>
      </c>
    </row>
    <row r="92" spans="1:7" ht="15" x14ac:dyDescent="0.25">
      <c r="A92" s="5">
        <v>31</v>
      </c>
      <c r="B92" s="1820">
        <f>'Assets-Liab 5-6'!C39</f>
        <v>5754112</v>
      </c>
      <c r="D92" s="2" t="str">
        <f t="shared" si="0"/>
        <v>Error?</v>
      </c>
      <c r="G92" s="1885">
        <v>102640600</v>
      </c>
    </row>
    <row r="93" spans="1:7" ht="15" x14ac:dyDescent="0.25">
      <c r="A93" s="5">
        <v>32</v>
      </c>
      <c r="B93" s="1820">
        <f>'Assets-Liab 5-6'!C41</f>
        <v>5770502</v>
      </c>
      <c r="C93" s="2" t="s">
        <v>569</v>
      </c>
      <c r="D93" s="2" t="str">
        <f t="shared" si="0"/>
        <v>Error?</v>
      </c>
      <c r="G93" s="1885">
        <v>102640800</v>
      </c>
    </row>
    <row r="94" spans="1:7" ht="15" x14ac:dyDescent="0.25">
      <c r="A94" s="10">
        <v>33</v>
      </c>
      <c r="B94" s="1820"/>
      <c r="D94" s="2" t="str">
        <f t="shared" si="0"/>
        <v>OK</v>
      </c>
      <c r="G94" s="1885">
        <v>102660300</v>
      </c>
    </row>
    <row r="95" spans="1:7" ht="15" x14ac:dyDescent="0.25">
      <c r="A95" s="10">
        <v>34</v>
      </c>
      <c r="B95" s="1820"/>
      <c r="D95" s="2" t="str">
        <f t="shared" si="0"/>
        <v>OK</v>
      </c>
      <c r="G95" s="1885">
        <v>102660400</v>
      </c>
    </row>
    <row r="96" spans="1:7" ht="15" x14ac:dyDescent="0.25">
      <c r="A96" s="10">
        <v>35</v>
      </c>
      <c r="B96" s="1820"/>
      <c r="D96" s="2" t="str">
        <f t="shared" si="0"/>
        <v>OK</v>
      </c>
      <c r="G96" s="1885">
        <v>102660600</v>
      </c>
    </row>
    <row r="97" spans="1:7" ht="15" x14ac:dyDescent="0.25">
      <c r="A97" s="5">
        <v>36</v>
      </c>
      <c r="B97" s="1820">
        <f>'Assets-Liab 5-6'!D6</f>
        <v>0</v>
      </c>
      <c r="D97" s="2" t="str">
        <f t="shared" si="0"/>
        <v>Error?</v>
      </c>
      <c r="G97" s="1885">
        <v>102660800</v>
      </c>
    </row>
    <row r="98" spans="1:7" ht="15" x14ac:dyDescent="0.25">
      <c r="A98" s="10">
        <v>37</v>
      </c>
      <c r="B98" s="1820"/>
      <c r="D98" s="2" t="str">
        <f t="shared" si="0"/>
        <v>OK</v>
      </c>
      <c r="G98" s="1885">
        <v>102900300</v>
      </c>
    </row>
    <row r="99" spans="1:7" ht="15" x14ac:dyDescent="0.25">
      <c r="A99" s="10">
        <v>38</v>
      </c>
      <c r="B99" s="1820"/>
      <c r="D99" s="2" t="str">
        <f t="shared" si="0"/>
        <v>OK</v>
      </c>
      <c r="G99" s="1885">
        <v>102900400</v>
      </c>
    </row>
    <row r="100" spans="1:7" ht="15" x14ac:dyDescent="0.25">
      <c r="A100" s="10">
        <v>39</v>
      </c>
      <c r="B100" s="1820"/>
      <c r="D100" s="2" t="str">
        <f t="shared" si="0"/>
        <v>OK</v>
      </c>
      <c r="G100" s="1885">
        <v>102900600</v>
      </c>
    </row>
    <row r="101" spans="1:7" ht="15" x14ac:dyDescent="0.25">
      <c r="A101" s="10">
        <v>40</v>
      </c>
      <c r="B101" s="1820"/>
      <c r="D101" s="2" t="str">
        <f t="shared" si="0"/>
        <v>OK</v>
      </c>
      <c r="G101" s="1885">
        <v>102900800</v>
      </c>
    </row>
    <row r="102" spans="1:7" ht="15" x14ac:dyDescent="0.25">
      <c r="A102" s="10">
        <v>41</v>
      </c>
      <c r="B102" s="1820"/>
      <c r="D102" s="2" t="str">
        <f t="shared" si="0"/>
        <v>OK</v>
      </c>
      <c r="G102" s="1885">
        <v>202900300</v>
      </c>
    </row>
    <row r="103" spans="1:7" ht="15" x14ac:dyDescent="0.25">
      <c r="A103" s="10">
        <v>42</v>
      </c>
      <c r="B103" s="1820"/>
      <c r="D103" s="2" t="str">
        <f t="shared" si="0"/>
        <v>OK</v>
      </c>
      <c r="G103" s="1885">
        <v>202900400</v>
      </c>
    </row>
    <row r="104" spans="1:7" ht="15" x14ac:dyDescent="0.25">
      <c r="A104" s="5">
        <v>43</v>
      </c>
      <c r="B104" s="1820">
        <f>'Assets-Liab 5-6'!D10</f>
        <v>0</v>
      </c>
      <c r="D104" s="2" t="str">
        <f t="shared" si="0"/>
        <v>Error?</v>
      </c>
      <c r="G104" s="1885">
        <v>202900600</v>
      </c>
    </row>
    <row r="105" spans="1:7" ht="15" x14ac:dyDescent="0.25">
      <c r="A105" s="5">
        <v>44</v>
      </c>
      <c r="B105" s="1820">
        <f>'Assets-Liab 5-6'!D5</f>
        <v>25739</v>
      </c>
      <c r="D105" s="2" t="str">
        <f t="shared" si="0"/>
        <v>Error?</v>
      </c>
      <c r="G105" s="1885">
        <v>202900800</v>
      </c>
    </row>
    <row r="106" spans="1:7" ht="15" x14ac:dyDescent="0.25">
      <c r="A106" s="10">
        <v>45</v>
      </c>
      <c r="B106" s="1820"/>
      <c r="D106" s="2" t="str">
        <f t="shared" si="0"/>
        <v>OK</v>
      </c>
      <c r="G106" s="1885">
        <v>402900300</v>
      </c>
    </row>
    <row r="107" spans="1:7" ht="15" x14ac:dyDescent="0.25">
      <c r="A107" s="10">
        <v>46</v>
      </c>
      <c r="B107" s="1820"/>
      <c r="D107" s="2" t="str">
        <f t="shared" si="0"/>
        <v>OK</v>
      </c>
      <c r="G107" s="1885">
        <v>402900400</v>
      </c>
    </row>
    <row r="108" spans="1:7" ht="15" x14ac:dyDescent="0.25">
      <c r="A108" s="5">
        <v>47</v>
      </c>
      <c r="B108" s="1820">
        <f>'Assets-Liab 5-6'!D12</f>
        <v>0</v>
      </c>
      <c r="D108" s="2" t="str">
        <f t="shared" si="0"/>
        <v>Error?</v>
      </c>
      <c r="G108" s="1885">
        <v>402900600</v>
      </c>
    </row>
    <row r="109" spans="1:7" ht="15" x14ac:dyDescent="0.25">
      <c r="A109" s="5">
        <v>48</v>
      </c>
      <c r="B109" s="1820">
        <f>'Assets-Liab 5-6'!D13</f>
        <v>25739</v>
      </c>
      <c r="C109" s="2" t="s">
        <v>569</v>
      </c>
      <c r="D109" s="2" t="str">
        <f t="shared" si="0"/>
        <v>Error?</v>
      </c>
      <c r="G109" s="1885">
        <v>402900800</v>
      </c>
    </row>
    <row r="110" spans="1:7" ht="15" x14ac:dyDescent="0.25">
      <c r="A110" s="10">
        <v>49</v>
      </c>
      <c r="B110" s="1820"/>
      <c r="D110" s="2" t="str">
        <f t="shared" si="0"/>
        <v>OK</v>
      </c>
      <c r="G110" s="1885">
        <v>602900300</v>
      </c>
    </row>
    <row r="111" spans="1:7" ht="15" x14ac:dyDescent="0.25">
      <c r="A111" s="10">
        <v>50</v>
      </c>
      <c r="B111" s="1820"/>
      <c r="D111" s="2" t="str">
        <f t="shared" si="0"/>
        <v>OK</v>
      </c>
      <c r="G111" s="1885">
        <v>602900400</v>
      </c>
    </row>
    <row r="112" spans="1:7" ht="15" x14ac:dyDescent="0.25">
      <c r="A112" s="10">
        <v>51</v>
      </c>
      <c r="B112" s="1820"/>
      <c r="D112" s="2" t="str">
        <f t="shared" si="0"/>
        <v>OK</v>
      </c>
      <c r="G112" s="1885">
        <v>602900600</v>
      </c>
    </row>
    <row r="113" spans="1:7" ht="15" x14ac:dyDescent="0.25">
      <c r="A113" s="10">
        <v>52</v>
      </c>
      <c r="B113" s="1820"/>
      <c r="D113" s="2" t="str">
        <f t="shared" si="0"/>
        <v>OK</v>
      </c>
      <c r="G113" s="1885">
        <v>602900800</v>
      </c>
    </row>
    <row r="114" spans="1:7" ht="15" x14ac:dyDescent="0.25">
      <c r="A114" s="10">
        <v>53</v>
      </c>
      <c r="B114" s="1820"/>
      <c r="D114" s="2" t="str">
        <f t="shared" si="0"/>
        <v>OK</v>
      </c>
      <c r="G114" s="1885">
        <v>902900300</v>
      </c>
    </row>
    <row r="115" spans="1:7" ht="15" x14ac:dyDescent="0.25">
      <c r="A115" s="10">
        <v>54</v>
      </c>
      <c r="B115" s="1820"/>
      <c r="D115" s="2" t="str">
        <f t="shared" si="0"/>
        <v>OK</v>
      </c>
      <c r="G115" s="1885">
        <v>902900400</v>
      </c>
    </row>
    <row r="116" spans="1:7" ht="15" x14ac:dyDescent="0.25">
      <c r="A116" s="10">
        <v>55</v>
      </c>
      <c r="B116" s="1820"/>
      <c r="D116" s="2" t="str">
        <f t="shared" si="0"/>
        <v>OK</v>
      </c>
      <c r="G116" s="1885">
        <v>902900600</v>
      </c>
    </row>
    <row r="117" spans="1:7" ht="15" x14ac:dyDescent="0.25">
      <c r="A117" s="5">
        <v>56</v>
      </c>
      <c r="B117" s="1820">
        <f>'Assets-Liab 5-6'!D31</f>
        <v>7370</v>
      </c>
      <c r="D117" s="2" t="str">
        <f t="shared" si="0"/>
        <v>Error?</v>
      </c>
      <c r="G117" s="1885">
        <v>902900800</v>
      </c>
    </row>
    <row r="118" spans="1:7" ht="15" x14ac:dyDescent="0.25">
      <c r="A118" s="10">
        <v>57</v>
      </c>
      <c r="B118" s="1820"/>
      <c r="D118" s="2" t="str">
        <f t="shared" si="0"/>
        <v>OK</v>
      </c>
      <c r="G118" s="1885">
        <v>103000300</v>
      </c>
    </row>
    <row r="119" spans="1:7" ht="15" x14ac:dyDescent="0.25">
      <c r="A119" s="5">
        <v>58</v>
      </c>
      <c r="B119" s="1820">
        <f>'Assets-Liab 5-6'!D32</f>
        <v>0</v>
      </c>
      <c r="D119" s="2" t="str">
        <f t="shared" si="0"/>
        <v>Error?</v>
      </c>
      <c r="G119" s="1885">
        <v>103000400</v>
      </c>
    </row>
    <row r="120" spans="1:7" ht="15" x14ac:dyDescent="0.25">
      <c r="A120" s="10">
        <v>59</v>
      </c>
      <c r="B120" s="1820"/>
      <c r="D120" s="2" t="str">
        <f t="shared" si="0"/>
        <v>OK</v>
      </c>
      <c r="G120" s="1885">
        <v>103000600</v>
      </c>
    </row>
    <row r="121" spans="1:7" ht="15" x14ac:dyDescent="0.25">
      <c r="A121" s="10">
        <v>60</v>
      </c>
      <c r="B121" s="1820"/>
      <c r="D121" s="2" t="str">
        <f t="shared" si="0"/>
        <v>OK</v>
      </c>
      <c r="G121" s="1885">
        <v>103000800</v>
      </c>
    </row>
    <row r="122" spans="1:7" ht="15" x14ac:dyDescent="0.25">
      <c r="A122" s="5">
        <v>61</v>
      </c>
      <c r="B122" s="1820">
        <f>'Assets-Liab 5-6'!D34</f>
        <v>7370</v>
      </c>
      <c r="C122" s="2" t="s">
        <v>569</v>
      </c>
      <c r="D122" s="2" t="str">
        <f t="shared" si="0"/>
        <v>Error?</v>
      </c>
      <c r="G122" s="1885">
        <v>203000300</v>
      </c>
    </row>
    <row r="123" spans="1:7" ht="15" x14ac:dyDescent="0.25">
      <c r="A123" s="5">
        <v>62</v>
      </c>
      <c r="B123" s="1820">
        <f>'Assets-Liab 5-6'!D39</f>
        <v>18369</v>
      </c>
      <c r="D123" s="2" t="str">
        <f t="shared" si="0"/>
        <v>Error?</v>
      </c>
      <c r="G123" s="1885">
        <v>203000400</v>
      </c>
    </row>
    <row r="124" spans="1:7" ht="15" x14ac:dyDescent="0.25">
      <c r="A124" s="5">
        <v>63</v>
      </c>
      <c r="B124" s="1820">
        <f>'Assets-Liab 5-6'!D41</f>
        <v>25739</v>
      </c>
      <c r="C124" s="2" t="s">
        <v>569</v>
      </c>
      <c r="D124" s="2" t="str">
        <f t="shared" si="0"/>
        <v>Error?</v>
      </c>
      <c r="G124" s="1885">
        <v>203000600</v>
      </c>
    </row>
    <row r="125" spans="1:7" ht="15" x14ac:dyDescent="0.25">
      <c r="A125" s="10">
        <v>64</v>
      </c>
      <c r="B125" s="1820"/>
      <c r="D125" s="2" t="str">
        <f t="shared" si="0"/>
        <v>OK</v>
      </c>
      <c r="G125" s="1885">
        <v>203000800</v>
      </c>
    </row>
    <row r="126" spans="1:7" ht="15" x14ac:dyDescent="0.25">
      <c r="A126" s="5">
        <v>65</v>
      </c>
      <c r="B126" s="1820">
        <f>'Assets-Liab 5-6'!E6</f>
        <v>0</v>
      </c>
      <c r="D126" s="2" t="str">
        <f t="shared" si="0"/>
        <v>Error?</v>
      </c>
      <c r="G126" s="1885">
        <v>403000300</v>
      </c>
    </row>
    <row r="127" spans="1:7" ht="15" x14ac:dyDescent="0.25">
      <c r="A127" s="10">
        <v>66</v>
      </c>
      <c r="B127" s="1820"/>
      <c r="D127" s="2" t="str">
        <f t="shared" ref="D127:D190" si="1">IF(ISBLANK(B127),"OK",IF(A127-B127=0,"OK","Error?"))</f>
        <v>OK</v>
      </c>
      <c r="G127" s="1885">
        <v>403000400</v>
      </c>
    </row>
    <row r="128" spans="1:7" ht="15" x14ac:dyDescent="0.25">
      <c r="A128" s="10">
        <v>67</v>
      </c>
      <c r="B128" s="1820"/>
      <c r="D128" s="2" t="str">
        <f t="shared" si="1"/>
        <v>OK</v>
      </c>
      <c r="G128" s="1885">
        <v>403000600</v>
      </c>
    </row>
    <row r="129" spans="1:7" ht="15" x14ac:dyDescent="0.25">
      <c r="A129" s="5">
        <v>68</v>
      </c>
      <c r="B129" s="1820">
        <f>'Assets-Liab 5-6'!E5</f>
        <v>-624973</v>
      </c>
      <c r="D129" s="2" t="str">
        <f t="shared" si="1"/>
        <v>Error?</v>
      </c>
      <c r="G129" s="1885">
        <v>403000800</v>
      </c>
    </row>
    <row r="130" spans="1:7" x14ac:dyDescent="0.2">
      <c r="A130" s="5">
        <v>69</v>
      </c>
      <c r="B130" s="1820">
        <f>'Assets-Liab 5-6'!E12</f>
        <v>0</v>
      </c>
      <c r="D130" s="2" t="str">
        <f t="shared" si="1"/>
        <v>Error?</v>
      </c>
    </row>
    <row r="131" spans="1:7" x14ac:dyDescent="0.2">
      <c r="A131" s="5">
        <v>70</v>
      </c>
      <c r="B131" s="1820">
        <f>'Assets-Liab 5-6'!E13</f>
        <v>-453936</v>
      </c>
      <c r="C131" s="2" t="s">
        <v>569</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569</v>
      </c>
      <c r="D139" s="2" t="str">
        <f t="shared" si="1"/>
        <v>Error?</v>
      </c>
    </row>
    <row r="140" spans="1:7" x14ac:dyDescent="0.2">
      <c r="A140" s="5">
        <v>79</v>
      </c>
      <c r="B140" s="1820">
        <f>'Assets-Liab 5-6'!E39</f>
        <v>-453936</v>
      </c>
      <c r="D140" s="2" t="str">
        <f t="shared" si="1"/>
        <v>Error?</v>
      </c>
    </row>
    <row r="141" spans="1:7" x14ac:dyDescent="0.2">
      <c r="A141" s="5">
        <v>80</v>
      </c>
      <c r="B141" s="1820">
        <f>'Assets-Liab 5-6'!E41</f>
        <v>-453936</v>
      </c>
      <c r="C141" s="2" t="s">
        <v>569</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1844727</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1844727</v>
      </c>
      <c r="C157" s="2" t="s">
        <v>569</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0</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0</v>
      </c>
      <c r="C169" s="2" t="s">
        <v>569</v>
      </c>
      <c r="D169" s="2" t="str">
        <f t="shared" si="1"/>
        <v>Error?</v>
      </c>
    </row>
    <row r="170" spans="1:4" x14ac:dyDescent="0.2">
      <c r="A170" s="5">
        <v>109</v>
      </c>
      <c r="B170" s="1820">
        <f>'Assets-Liab 5-6'!F39</f>
        <v>1844727</v>
      </c>
      <c r="D170" s="2" t="str">
        <f t="shared" si="1"/>
        <v>Error?</v>
      </c>
    </row>
    <row r="171" spans="1:4" x14ac:dyDescent="0.2">
      <c r="A171" s="5">
        <v>110</v>
      </c>
      <c r="B171" s="1820">
        <f>'Assets-Liab 5-6'!F41</f>
        <v>1844727</v>
      </c>
      <c r="C171" s="2" t="s">
        <v>569</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2641728</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2641728</v>
      </c>
      <c r="C180" s="2" t="s">
        <v>569</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-92</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-92</v>
      </c>
      <c r="C188" s="2" t="s">
        <v>569</v>
      </c>
      <c r="D188" s="2" t="str">
        <f t="shared" si="1"/>
        <v>Error?</v>
      </c>
    </row>
    <row r="189" spans="1:4" x14ac:dyDescent="0.2">
      <c r="A189" s="5">
        <v>128</v>
      </c>
      <c r="B189" s="1820">
        <f>'Assets-Liab 5-6'!G39</f>
        <v>2641820</v>
      </c>
      <c r="D189" s="2" t="str">
        <f t="shared" si="1"/>
        <v>Error?</v>
      </c>
    </row>
    <row r="190" spans="1:4" x14ac:dyDescent="0.2">
      <c r="A190" s="5">
        <v>129</v>
      </c>
      <c r="B190" s="1820">
        <f>'Assets-Liab 5-6'!G41</f>
        <v>2641728</v>
      </c>
      <c r="C190" s="2" t="s">
        <v>569</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905</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905</v>
      </c>
      <c r="C203" s="2" t="s">
        <v>569</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569</v>
      </c>
      <c r="D211" s="2" t="str">
        <f t="shared" si="2"/>
        <v>Error?</v>
      </c>
    </row>
    <row r="212" spans="1:4" x14ac:dyDescent="0.2">
      <c r="A212" s="5">
        <v>151</v>
      </c>
      <c r="B212" s="1820">
        <f>'Assets-Liab 5-6'!H39</f>
        <v>905</v>
      </c>
      <c r="D212" s="2" t="str">
        <f t="shared" si="2"/>
        <v>Error?</v>
      </c>
    </row>
    <row r="213" spans="1:4" x14ac:dyDescent="0.2">
      <c r="A213" s="12">
        <v>152</v>
      </c>
      <c r="B213" s="1820">
        <f>'Assets-Liab 5-6'!H41</f>
        <v>905</v>
      </c>
      <c r="C213" s="2" t="s">
        <v>569</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569</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569</v>
      </c>
      <c r="D247" s="2" t="str">
        <f t="shared" si="2"/>
        <v>OK</v>
      </c>
    </row>
    <row r="248" spans="1:4" x14ac:dyDescent="0.2">
      <c r="A248" s="10">
        <v>187</v>
      </c>
      <c r="B248" s="1820"/>
      <c r="D248" s="2" t="str">
        <f t="shared" si="2"/>
        <v>OK</v>
      </c>
    </row>
    <row r="249" spans="1:4" x14ac:dyDescent="0.2">
      <c r="A249" s="10">
        <v>188</v>
      </c>
      <c r="B249" s="1820"/>
      <c r="C249" s="2" t="s">
        <v>569</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280244</v>
      </c>
      <c r="D273" s="2" t="str">
        <f t="shared" si="3"/>
        <v>Error?</v>
      </c>
    </row>
    <row r="274" spans="1:4" x14ac:dyDescent="0.2">
      <c r="A274" s="5">
        <v>213</v>
      </c>
      <c r="B274" s="1820">
        <f>'Assets-Liab 5-6'!M17</f>
        <v>50238471</v>
      </c>
      <c r="D274" s="2" t="str">
        <f t="shared" si="3"/>
        <v>Error?</v>
      </c>
    </row>
    <row r="275" spans="1:4" x14ac:dyDescent="0.2">
      <c r="A275" s="5">
        <v>214</v>
      </c>
      <c r="B275" s="1820">
        <f>'Assets-Liab 5-6'!M18</f>
        <v>626100</v>
      </c>
      <c r="D275" s="2" t="str">
        <f t="shared" si="3"/>
        <v>Error?</v>
      </c>
    </row>
    <row r="276" spans="1:4" x14ac:dyDescent="0.2">
      <c r="A276" s="5">
        <v>215</v>
      </c>
      <c r="B276" s="1820">
        <f>'Assets-Liab 5-6'!M19</f>
        <v>1484546</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52629361</v>
      </c>
      <c r="C279" s="2" t="s">
        <v>569</v>
      </c>
      <c r="D279" s="2" t="str">
        <f t="shared" si="3"/>
        <v>Error?</v>
      </c>
    </row>
    <row r="280" spans="1:4" x14ac:dyDescent="0.2">
      <c r="A280" s="5">
        <v>219</v>
      </c>
      <c r="B280" s="1820">
        <f>'Assets-Liab 5-6'!M40</f>
        <v>52629361</v>
      </c>
      <c r="D280" s="2" t="str">
        <f t="shared" si="3"/>
        <v>Error?</v>
      </c>
    </row>
    <row r="281" spans="1:4" x14ac:dyDescent="0.2">
      <c r="A281" s="5">
        <v>220</v>
      </c>
      <c r="B281" s="1820">
        <f>'Assets-Liab 5-6'!M41</f>
        <v>52629361</v>
      </c>
      <c r="C281" s="2" t="s">
        <v>569</v>
      </c>
      <c r="D281" s="2" t="str">
        <f t="shared" si="3"/>
        <v>Error?</v>
      </c>
    </row>
    <row r="282" spans="1:4" x14ac:dyDescent="0.2">
      <c r="A282" s="5">
        <v>221</v>
      </c>
      <c r="B282" s="1820">
        <f>'Assets-Liab 5-6'!N21</f>
        <v>0</v>
      </c>
      <c r="D282" s="2" t="str">
        <f t="shared" si="3"/>
        <v>Error?</v>
      </c>
    </row>
    <row r="283" spans="1:4" x14ac:dyDescent="0.2">
      <c r="A283" s="5">
        <v>222</v>
      </c>
      <c r="B283" s="1820">
        <f>'Assets-Liab 5-6'!N22</f>
        <v>3778028</v>
      </c>
      <c r="D283" s="2" t="str">
        <f t="shared" si="3"/>
        <v>Error?</v>
      </c>
    </row>
    <row r="284" spans="1:4" x14ac:dyDescent="0.2">
      <c r="A284" s="5">
        <v>223</v>
      </c>
      <c r="B284" s="1820">
        <f>'Assets-Liab 5-6'!N23</f>
        <v>3778028</v>
      </c>
      <c r="C284" s="2" t="s">
        <v>569</v>
      </c>
      <c r="D284" s="2" t="str">
        <f t="shared" si="3"/>
        <v>Error?</v>
      </c>
    </row>
    <row r="285" spans="1:4" x14ac:dyDescent="0.2">
      <c r="A285" s="5">
        <v>224</v>
      </c>
      <c r="B285" s="1820">
        <f>'Assets-Liab 5-6'!N36</f>
        <v>3778028</v>
      </c>
      <c r="D285" s="2" t="str">
        <f t="shared" si="3"/>
        <v>Error?</v>
      </c>
    </row>
    <row r="286" spans="1:4" x14ac:dyDescent="0.2">
      <c r="A286" s="10">
        <v>225</v>
      </c>
      <c r="B286" s="1820"/>
      <c r="D286" s="2" t="str">
        <f t="shared" si="3"/>
        <v>OK</v>
      </c>
    </row>
    <row r="287" spans="1:4" x14ac:dyDescent="0.2">
      <c r="A287" s="5">
        <v>226</v>
      </c>
      <c r="B287" s="1820">
        <f>'Assets-Liab 5-6'!N37</f>
        <v>3778028</v>
      </c>
      <c r="C287" s="2" t="s">
        <v>569</v>
      </c>
      <c r="D287" s="2" t="str">
        <f t="shared" si="3"/>
        <v>Error?</v>
      </c>
    </row>
    <row r="288" spans="1:4" x14ac:dyDescent="0.2">
      <c r="A288" s="5">
        <v>227</v>
      </c>
      <c r="B288" s="1820">
        <f>'Assets-Liab 5-6'!N41</f>
        <v>3778028</v>
      </c>
      <c r="C288" s="2" t="s">
        <v>569</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0</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3207565</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0</v>
      </c>
      <c r="D717" s="2" t="str">
        <f t="shared" si="10"/>
        <v>Error?</v>
      </c>
    </row>
    <row r="718" spans="1:4" x14ac:dyDescent="0.2">
      <c r="A718" s="5">
        <v>657</v>
      </c>
      <c r="B718" s="1820">
        <f>'Expenditures 15-22'!C14</f>
        <v>46407</v>
      </c>
      <c r="D718" s="2" t="str">
        <f t="shared" si="10"/>
        <v>Error?</v>
      </c>
    </row>
    <row r="719" spans="1:4" x14ac:dyDescent="0.2">
      <c r="A719" s="5">
        <v>658</v>
      </c>
      <c r="B719" s="1820">
        <f>'Expenditures 15-22'!C15</f>
        <v>0</v>
      </c>
      <c r="D719" s="2" t="str">
        <f t="shared" si="10"/>
        <v>Error?</v>
      </c>
    </row>
    <row r="720" spans="1:4" x14ac:dyDescent="0.2">
      <c r="A720" s="5">
        <v>659</v>
      </c>
      <c r="B720" s="1820">
        <f>'Expenditures 15-22'!C33</f>
        <v>3728232</v>
      </c>
      <c r="C720" s="2" t="s">
        <v>569</v>
      </c>
      <c r="D720" s="2" t="str">
        <f t="shared" si="10"/>
        <v>Error?</v>
      </c>
    </row>
    <row r="721" spans="1:4" x14ac:dyDescent="0.2">
      <c r="A721" s="5">
        <v>660</v>
      </c>
      <c r="B721" s="1820">
        <f>'Expenditures 15-22'!C36</f>
        <v>0</v>
      </c>
      <c r="D721" s="2" t="str">
        <f t="shared" si="10"/>
        <v>Error?</v>
      </c>
    </row>
    <row r="722" spans="1:4" x14ac:dyDescent="0.2">
      <c r="A722" s="5">
        <v>661</v>
      </c>
      <c r="B722" s="1820">
        <f>'Expenditures 15-22'!C37</f>
        <v>70000</v>
      </c>
      <c r="D722" s="2" t="str">
        <f t="shared" si="10"/>
        <v>Error?</v>
      </c>
    </row>
    <row r="723" spans="1:4" x14ac:dyDescent="0.2">
      <c r="A723" s="5">
        <v>662</v>
      </c>
      <c r="B723" s="1820">
        <f>'Expenditures 15-22'!C38</f>
        <v>145565</v>
      </c>
      <c r="D723" s="2" t="str">
        <f t="shared" si="10"/>
        <v>Error?</v>
      </c>
    </row>
    <row r="724" spans="1:4" x14ac:dyDescent="0.2">
      <c r="A724" s="5">
        <v>663</v>
      </c>
      <c r="B724" s="1820">
        <f>'Expenditures 15-22'!C39</f>
        <v>0</v>
      </c>
      <c r="D724" s="2" t="str">
        <f t="shared" si="10"/>
        <v>Error?</v>
      </c>
    </row>
    <row r="725" spans="1:4" x14ac:dyDescent="0.2">
      <c r="A725" s="5">
        <v>664</v>
      </c>
      <c r="B725" s="1820">
        <f>'Expenditures 15-22'!C40</f>
        <v>46013</v>
      </c>
      <c r="D725" s="2" t="str">
        <f t="shared" si="10"/>
        <v>Error?</v>
      </c>
    </row>
    <row r="726" spans="1:4" x14ac:dyDescent="0.2">
      <c r="A726" s="5">
        <v>665</v>
      </c>
      <c r="B726" s="1820">
        <f>'Expenditures 15-22'!C41</f>
        <v>55573</v>
      </c>
      <c r="D726" s="2" t="str">
        <f t="shared" si="10"/>
        <v>Error?</v>
      </c>
    </row>
    <row r="727" spans="1:4" x14ac:dyDescent="0.2">
      <c r="A727" s="5">
        <v>666</v>
      </c>
      <c r="B727" s="1820">
        <f>'Expenditures 15-22'!C42</f>
        <v>317151</v>
      </c>
      <c r="C727" s="2" t="s">
        <v>569</v>
      </c>
      <c r="D727" s="2" t="str">
        <f t="shared" si="10"/>
        <v>Error?</v>
      </c>
    </row>
    <row r="728" spans="1:4" x14ac:dyDescent="0.2">
      <c r="A728" s="5">
        <v>667</v>
      </c>
      <c r="B728" s="1820">
        <f>'Expenditures 15-22'!C44</f>
        <v>59554</v>
      </c>
      <c r="D728" s="2" t="str">
        <f t="shared" si="10"/>
        <v>Error?</v>
      </c>
    </row>
    <row r="729" spans="1:4" x14ac:dyDescent="0.2">
      <c r="A729" s="5">
        <v>668</v>
      </c>
      <c r="B729" s="1820">
        <f>'Expenditures 15-22'!C45</f>
        <v>244212</v>
      </c>
      <c r="D729" s="2" t="str">
        <f t="shared" si="10"/>
        <v>Error?</v>
      </c>
    </row>
    <row r="730" spans="1:4" x14ac:dyDescent="0.2">
      <c r="A730" s="5">
        <v>669</v>
      </c>
      <c r="B730" s="1820">
        <f>'Expenditures 15-22'!C46</f>
        <v>125944</v>
      </c>
      <c r="D730" s="2" t="str">
        <f t="shared" si="10"/>
        <v>Error?</v>
      </c>
    </row>
    <row r="731" spans="1:4" x14ac:dyDescent="0.2">
      <c r="A731" s="5">
        <v>670</v>
      </c>
      <c r="B731" s="1820">
        <f>'Expenditures 15-22'!C47</f>
        <v>429710</v>
      </c>
      <c r="C731" s="2" t="s">
        <v>569</v>
      </c>
      <c r="D731" s="2" t="str">
        <f t="shared" si="10"/>
        <v>Error?</v>
      </c>
    </row>
    <row r="732" spans="1:4" x14ac:dyDescent="0.2">
      <c r="A732" s="5">
        <v>671</v>
      </c>
      <c r="B732" s="1820">
        <f>'Expenditures 15-22'!C49</f>
        <v>8500</v>
      </c>
      <c r="D732" s="2" t="str">
        <f t="shared" si="10"/>
        <v>Error?</v>
      </c>
    </row>
    <row r="733" spans="1:4" x14ac:dyDescent="0.2">
      <c r="A733" s="5">
        <v>672</v>
      </c>
      <c r="B733" s="1820">
        <f>'Expenditures 15-22'!C50</f>
        <v>425258</v>
      </c>
      <c r="D733" s="2" t="str">
        <f t="shared" si="10"/>
        <v>Error?</v>
      </c>
    </row>
    <row r="734" spans="1:4" x14ac:dyDescent="0.2">
      <c r="A734" s="5">
        <v>673</v>
      </c>
      <c r="B734" s="1820">
        <f>'Expenditures 15-22'!C53</f>
        <v>622423</v>
      </c>
      <c r="C734" s="2" t="s">
        <v>569</v>
      </c>
      <c r="D734" s="2" t="str">
        <f t="shared" si="10"/>
        <v>Error?</v>
      </c>
    </row>
    <row r="735" spans="1:4" x14ac:dyDescent="0.2">
      <c r="A735" s="5">
        <v>674</v>
      </c>
      <c r="B735" s="1820">
        <f>'Expenditures 15-22'!C55</f>
        <v>677898</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677898</v>
      </c>
      <c r="C737" s="2" t="s">
        <v>569</v>
      </c>
      <c r="D737" s="2" t="str">
        <f t="shared" si="10"/>
        <v>Error?</v>
      </c>
    </row>
    <row r="738" spans="1:4" x14ac:dyDescent="0.2">
      <c r="A738" s="5">
        <v>677</v>
      </c>
      <c r="B738" s="1820">
        <f>'Expenditures 15-22'!C59</f>
        <v>265810</v>
      </c>
      <c r="D738" s="2" t="str">
        <f t="shared" si="10"/>
        <v>Error?</v>
      </c>
    </row>
    <row r="739" spans="1:4" x14ac:dyDescent="0.2">
      <c r="A739" s="5">
        <v>678</v>
      </c>
      <c r="B739" s="1820">
        <f>'Expenditures 15-22'!C60</f>
        <v>0</v>
      </c>
      <c r="D739" s="2" t="str">
        <f t="shared" si="10"/>
        <v>Error?</v>
      </c>
    </row>
    <row r="740" spans="1:4" x14ac:dyDescent="0.2">
      <c r="A740" s="5">
        <v>679</v>
      </c>
      <c r="B740" s="1820">
        <f>'Expenditures 15-22'!C61</f>
        <v>0</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51012</v>
      </c>
      <c r="D742" s="2" t="str">
        <f t="shared" si="10"/>
        <v>Error?</v>
      </c>
    </row>
    <row r="743" spans="1:4" x14ac:dyDescent="0.2">
      <c r="A743" s="5">
        <v>682</v>
      </c>
      <c r="B743" s="1820">
        <f>'Expenditures 15-22'!C64</f>
        <v>0</v>
      </c>
      <c r="D743" s="2" t="str">
        <f t="shared" si="10"/>
        <v>Error?</v>
      </c>
    </row>
    <row r="744" spans="1:4" x14ac:dyDescent="0.2">
      <c r="A744" s="10">
        <v>683</v>
      </c>
      <c r="B744" s="1820"/>
      <c r="D744" s="2" t="str">
        <f t="shared" si="10"/>
        <v>OK</v>
      </c>
    </row>
    <row r="745" spans="1:4" x14ac:dyDescent="0.2">
      <c r="A745" s="5">
        <v>684</v>
      </c>
      <c r="B745" s="1820">
        <f>'Expenditures 15-22'!C65</f>
        <v>316822</v>
      </c>
      <c r="C745" s="2" t="s">
        <v>569</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0</v>
      </c>
      <c r="D748" s="2" t="str">
        <f t="shared" si="10"/>
        <v>Error?</v>
      </c>
    </row>
    <row r="749" spans="1:4" x14ac:dyDescent="0.2">
      <c r="A749" s="5">
        <v>688</v>
      </c>
      <c r="B749" s="1820">
        <f>'Expenditures 15-22'!C70</f>
        <v>1150</v>
      </c>
      <c r="D749" s="2" t="str">
        <f t="shared" si="10"/>
        <v>Error?</v>
      </c>
    </row>
    <row r="750" spans="1:4" x14ac:dyDescent="0.2">
      <c r="A750" s="10">
        <v>689</v>
      </c>
      <c r="B750" s="1820"/>
      <c r="D750" s="2" t="str">
        <f t="shared" si="10"/>
        <v>OK</v>
      </c>
    </row>
    <row r="751" spans="1:4" x14ac:dyDescent="0.2">
      <c r="A751" s="5">
        <v>690</v>
      </c>
      <c r="B751" s="1820">
        <f>'Expenditures 15-22'!C71</f>
        <v>0</v>
      </c>
      <c r="D751" s="2" t="str">
        <f t="shared" si="10"/>
        <v>Error?</v>
      </c>
    </row>
    <row r="752" spans="1:4" x14ac:dyDescent="0.2">
      <c r="A752" s="10">
        <v>691</v>
      </c>
      <c r="B752" s="1820"/>
      <c r="D752" s="2" t="str">
        <f t="shared" si="10"/>
        <v>OK</v>
      </c>
    </row>
    <row r="753" spans="1:4" x14ac:dyDescent="0.2">
      <c r="A753" s="5">
        <v>692</v>
      </c>
      <c r="B753" s="1820">
        <f>'Expenditures 15-22'!C72</f>
        <v>1150</v>
      </c>
      <c r="C753" s="2" t="s">
        <v>569</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2365154</v>
      </c>
      <c r="C755" s="2" t="s">
        <v>569</v>
      </c>
      <c r="D755" s="2" t="str">
        <f t="shared" si="10"/>
        <v>Error?</v>
      </c>
    </row>
    <row r="756" spans="1:4" x14ac:dyDescent="0.2">
      <c r="A756" s="5">
        <v>695</v>
      </c>
      <c r="B756" s="1820">
        <f>'Expenditures 15-22'!C75</f>
        <v>0</v>
      </c>
      <c r="D756" s="2" t="str">
        <f t="shared" si="10"/>
        <v>Error?</v>
      </c>
    </row>
    <row r="757" spans="1:4" x14ac:dyDescent="0.2">
      <c r="A757" s="5">
        <v>696</v>
      </c>
      <c r="B757" s="1820">
        <f>'Expenditures 15-22'!C114</f>
        <v>6093386</v>
      </c>
      <c r="C757" s="2" t="s">
        <v>569</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499942</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0</v>
      </c>
      <c r="D775" s="2" t="str">
        <f t="shared" si="11"/>
        <v>Error?</v>
      </c>
    </row>
    <row r="776" spans="1:4" x14ac:dyDescent="0.2">
      <c r="A776" s="5">
        <v>715</v>
      </c>
      <c r="B776" s="1820">
        <f>'Expenditures 15-22'!D14</f>
        <v>215</v>
      </c>
      <c r="D776" s="2" t="str">
        <f t="shared" si="11"/>
        <v>Error?</v>
      </c>
    </row>
    <row r="777" spans="1:4" x14ac:dyDescent="0.2">
      <c r="A777" s="5">
        <v>716</v>
      </c>
      <c r="B777" s="1820">
        <f>'Expenditures 15-22'!D15</f>
        <v>0</v>
      </c>
      <c r="D777" s="2" t="str">
        <f t="shared" si="11"/>
        <v>Error?</v>
      </c>
    </row>
    <row r="778" spans="1:4" x14ac:dyDescent="0.2">
      <c r="A778" s="5">
        <v>717</v>
      </c>
      <c r="B778" s="1820">
        <f>'Expenditures 15-22'!D33</f>
        <v>607735</v>
      </c>
      <c r="C778" s="2" t="s">
        <v>569</v>
      </c>
      <c r="D778" s="2" t="str">
        <f t="shared" si="11"/>
        <v>Error?</v>
      </c>
    </row>
    <row r="779" spans="1:4" x14ac:dyDescent="0.2">
      <c r="A779" s="5">
        <v>718</v>
      </c>
      <c r="B779" s="1820">
        <f>'Expenditures 15-22'!D36</f>
        <v>0</v>
      </c>
      <c r="D779" s="2" t="str">
        <f t="shared" si="11"/>
        <v>Error?</v>
      </c>
    </row>
    <row r="780" spans="1:4" x14ac:dyDescent="0.2">
      <c r="A780" s="5">
        <v>719</v>
      </c>
      <c r="B780" s="1820">
        <f>'Expenditures 15-22'!D37</f>
        <v>7973</v>
      </c>
      <c r="D780" s="2" t="str">
        <f t="shared" si="11"/>
        <v>Error?</v>
      </c>
    </row>
    <row r="781" spans="1:4" x14ac:dyDescent="0.2">
      <c r="A781" s="5">
        <v>720</v>
      </c>
      <c r="B781" s="1820">
        <f>'Expenditures 15-22'!D38</f>
        <v>21635</v>
      </c>
      <c r="D781" s="2" t="str">
        <f t="shared" si="11"/>
        <v>Error?</v>
      </c>
    </row>
    <row r="782" spans="1:4" x14ac:dyDescent="0.2">
      <c r="A782" s="5">
        <v>721</v>
      </c>
      <c r="B782" s="1820">
        <f>'Expenditures 15-22'!D39</f>
        <v>0</v>
      </c>
      <c r="D782" s="2" t="str">
        <f t="shared" si="11"/>
        <v>Error?</v>
      </c>
    </row>
    <row r="783" spans="1:4" x14ac:dyDescent="0.2">
      <c r="A783" s="5">
        <v>722</v>
      </c>
      <c r="B783" s="1820">
        <f>'Expenditures 15-22'!D40</f>
        <v>6725</v>
      </c>
      <c r="D783" s="2" t="str">
        <f t="shared" si="11"/>
        <v>Error?</v>
      </c>
    </row>
    <row r="784" spans="1:4" x14ac:dyDescent="0.2">
      <c r="A784" s="5">
        <v>723</v>
      </c>
      <c r="B784" s="1820">
        <f>'Expenditures 15-22'!D41</f>
        <v>10057</v>
      </c>
      <c r="D784" s="2" t="str">
        <f t="shared" si="11"/>
        <v>Error?</v>
      </c>
    </row>
    <row r="785" spans="1:4" x14ac:dyDescent="0.2">
      <c r="A785" s="5">
        <v>724</v>
      </c>
      <c r="B785" s="1820">
        <f>'Expenditures 15-22'!D42</f>
        <v>46390</v>
      </c>
      <c r="C785" s="2" t="s">
        <v>569</v>
      </c>
      <c r="D785" s="2" t="str">
        <f t="shared" si="11"/>
        <v>Error?</v>
      </c>
    </row>
    <row r="786" spans="1:4" x14ac:dyDescent="0.2">
      <c r="A786" s="5">
        <v>725</v>
      </c>
      <c r="B786" s="1820">
        <f>'Expenditures 15-22'!D44</f>
        <v>6128</v>
      </c>
      <c r="D786" s="2" t="str">
        <f t="shared" si="11"/>
        <v>Error?</v>
      </c>
    </row>
    <row r="787" spans="1:4" x14ac:dyDescent="0.2">
      <c r="A787" s="5">
        <v>726</v>
      </c>
      <c r="B787" s="1820">
        <f>'Expenditures 15-22'!D45</f>
        <v>43038</v>
      </c>
      <c r="D787" s="2" t="str">
        <f t="shared" si="11"/>
        <v>Error?</v>
      </c>
    </row>
    <row r="788" spans="1:4" x14ac:dyDescent="0.2">
      <c r="A788" s="5">
        <v>727</v>
      </c>
      <c r="B788" s="1820">
        <f>'Expenditures 15-22'!D46</f>
        <v>12736</v>
      </c>
      <c r="D788" s="2" t="str">
        <f t="shared" si="11"/>
        <v>Error?</v>
      </c>
    </row>
    <row r="789" spans="1:4" x14ac:dyDescent="0.2">
      <c r="A789" s="5">
        <v>728</v>
      </c>
      <c r="B789" s="1820">
        <f>'Expenditures 15-22'!D47</f>
        <v>61902</v>
      </c>
      <c r="C789" s="2" t="s">
        <v>569</v>
      </c>
      <c r="D789" s="2" t="str">
        <f t="shared" si="11"/>
        <v>Error?</v>
      </c>
    </row>
    <row r="790" spans="1:4" x14ac:dyDescent="0.2">
      <c r="A790" s="5">
        <v>729</v>
      </c>
      <c r="B790" s="1820">
        <f>'Expenditures 15-22'!D49</f>
        <v>365734</v>
      </c>
      <c r="D790" s="2" t="str">
        <f t="shared" si="11"/>
        <v>Error?</v>
      </c>
    </row>
    <row r="791" spans="1:4" x14ac:dyDescent="0.2">
      <c r="A791" s="5">
        <v>730</v>
      </c>
      <c r="B791" s="1820">
        <f>'Expenditures 15-22'!D50</f>
        <v>51384</v>
      </c>
      <c r="D791" s="2" t="str">
        <f t="shared" si="11"/>
        <v>Error?</v>
      </c>
    </row>
    <row r="792" spans="1:4" x14ac:dyDescent="0.2">
      <c r="A792" s="5">
        <v>731</v>
      </c>
      <c r="B792" s="1820">
        <f>'Expenditures 15-22'!D53</f>
        <v>436370</v>
      </c>
      <c r="C792" s="2" t="s">
        <v>569</v>
      </c>
      <c r="D792" s="2" t="str">
        <f t="shared" si="11"/>
        <v>Error?</v>
      </c>
    </row>
    <row r="793" spans="1:4" x14ac:dyDescent="0.2">
      <c r="A793" s="5">
        <v>732</v>
      </c>
      <c r="B793" s="1820">
        <f>'Expenditures 15-22'!D55</f>
        <v>223931</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223931</v>
      </c>
      <c r="C795" s="2" t="s">
        <v>569</v>
      </c>
      <c r="D795" s="2" t="str">
        <f t="shared" si="11"/>
        <v>Error?</v>
      </c>
    </row>
    <row r="796" spans="1:4" x14ac:dyDescent="0.2">
      <c r="A796" s="5">
        <v>735</v>
      </c>
      <c r="B796" s="1820">
        <f>'Expenditures 15-22'!D59</f>
        <v>20498</v>
      </c>
      <c r="D796" s="2" t="str">
        <f t="shared" si="11"/>
        <v>Error?</v>
      </c>
    </row>
    <row r="797" spans="1:4" x14ac:dyDescent="0.2">
      <c r="A797" s="5">
        <v>736</v>
      </c>
      <c r="B797" s="1820">
        <f>'Expenditures 15-22'!D60</f>
        <v>0</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0</v>
      </c>
      <c r="D800" s="2" t="str">
        <f t="shared" si="11"/>
        <v>Error?</v>
      </c>
    </row>
    <row r="801" spans="1:4" x14ac:dyDescent="0.2">
      <c r="A801" s="5">
        <v>740</v>
      </c>
      <c r="B801" s="1820">
        <f>'Expenditures 15-22'!D64</f>
        <v>0</v>
      </c>
      <c r="D801" s="2" t="str">
        <f t="shared" si="11"/>
        <v>Error?</v>
      </c>
    </row>
    <row r="802" spans="1:4" x14ac:dyDescent="0.2">
      <c r="A802" s="10">
        <v>741</v>
      </c>
      <c r="B802" s="1820"/>
      <c r="D802" s="2" t="str">
        <f t="shared" si="11"/>
        <v>OK</v>
      </c>
    </row>
    <row r="803" spans="1:4" x14ac:dyDescent="0.2">
      <c r="A803" s="5">
        <v>742</v>
      </c>
      <c r="B803" s="1820">
        <f>'Expenditures 15-22'!D65</f>
        <v>20498</v>
      </c>
      <c r="C803" s="2" t="s">
        <v>569</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0</v>
      </c>
      <c r="D806" s="2" t="str">
        <f t="shared" si="11"/>
        <v>Error?</v>
      </c>
    </row>
    <row r="807" spans="1:4" x14ac:dyDescent="0.2">
      <c r="A807" s="5">
        <v>746</v>
      </c>
      <c r="B807" s="1820">
        <f>'Expenditures 15-22'!D70</f>
        <v>148</v>
      </c>
      <c r="D807" s="2" t="str">
        <f t="shared" si="11"/>
        <v>Error?</v>
      </c>
    </row>
    <row r="808" spans="1:4" x14ac:dyDescent="0.2">
      <c r="A808" s="10">
        <v>747</v>
      </c>
      <c r="B808" s="1820"/>
      <c r="D808" s="2" t="str">
        <f t="shared" si="11"/>
        <v>OK</v>
      </c>
    </row>
    <row r="809" spans="1:4" x14ac:dyDescent="0.2">
      <c r="A809" s="5">
        <v>748</v>
      </c>
      <c r="B809" s="1820">
        <f>'Expenditures 15-22'!D71</f>
        <v>0</v>
      </c>
      <c r="D809" s="2" t="str">
        <f t="shared" si="11"/>
        <v>Error?</v>
      </c>
    </row>
    <row r="810" spans="1:4" x14ac:dyDescent="0.2">
      <c r="A810" s="10">
        <v>749</v>
      </c>
      <c r="B810" s="1820"/>
      <c r="D810" s="2" t="str">
        <f t="shared" si="11"/>
        <v>OK</v>
      </c>
    </row>
    <row r="811" spans="1:4" x14ac:dyDescent="0.2">
      <c r="A811" s="5">
        <v>750</v>
      </c>
      <c r="B811" s="1820">
        <f>'Expenditures 15-22'!D72</f>
        <v>148</v>
      </c>
      <c r="C811" s="2" t="s">
        <v>569</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789239</v>
      </c>
      <c r="C813" s="2" t="s">
        <v>569</v>
      </c>
      <c r="D813" s="2" t="str">
        <f t="shared" si="11"/>
        <v>Error?</v>
      </c>
    </row>
    <row r="814" spans="1:4" x14ac:dyDescent="0.2">
      <c r="A814" s="5">
        <v>753</v>
      </c>
      <c r="B814" s="1820">
        <f>'Expenditures 15-22'!D75</f>
        <v>0</v>
      </c>
      <c r="D814" s="2" t="str">
        <f t="shared" si="11"/>
        <v>Error?</v>
      </c>
    </row>
    <row r="815" spans="1:4" x14ac:dyDescent="0.2">
      <c r="A815" s="5">
        <v>754</v>
      </c>
      <c r="B815" s="1820">
        <f>'Expenditures 15-22'!D114</f>
        <v>1396974</v>
      </c>
      <c r="C815" s="2" t="s">
        <v>569</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135366</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0</v>
      </c>
      <c r="D833" s="2" t="str">
        <f t="shared" si="12"/>
        <v>Error?</v>
      </c>
    </row>
    <row r="834" spans="1:4" x14ac:dyDescent="0.2">
      <c r="A834" s="5">
        <v>773</v>
      </c>
      <c r="B834" s="1820">
        <f>'Expenditures 15-22'!E14</f>
        <v>0</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136716</v>
      </c>
      <c r="C836" s="2" t="s">
        <v>569</v>
      </c>
      <c r="D836" s="2" t="str">
        <f t="shared" si="12"/>
        <v>Error?</v>
      </c>
    </row>
    <row r="837" spans="1:4" x14ac:dyDescent="0.2">
      <c r="A837" s="5">
        <v>776</v>
      </c>
      <c r="B837" s="1820">
        <f>'Expenditures 15-22'!E36</f>
        <v>0</v>
      </c>
      <c r="D837" s="2" t="str">
        <f t="shared" si="12"/>
        <v>Error?</v>
      </c>
    </row>
    <row r="838" spans="1:4" x14ac:dyDescent="0.2">
      <c r="A838" s="5">
        <v>777</v>
      </c>
      <c r="B838" s="1820">
        <f>'Expenditures 15-22'!E37</f>
        <v>0</v>
      </c>
      <c r="D838" s="2" t="str">
        <f t="shared" si="12"/>
        <v>Error?</v>
      </c>
    </row>
    <row r="839" spans="1:4" x14ac:dyDescent="0.2">
      <c r="A839" s="5">
        <v>778</v>
      </c>
      <c r="B839" s="1820">
        <f>'Expenditures 15-22'!E38</f>
        <v>54740</v>
      </c>
      <c r="D839" s="2" t="str">
        <f t="shared" si="12"/>
        <v>Error?</v>
      </c>
    </row>
    <row r="840" spans="1:4" x14ac:dyDescent="0.2">
      <c r="A840" s="5">
        <v>779</v>
      </c>
      <c r="B840" s="1820">
        <f>'Expenditures 15-22'!E39</f>
        <v>8550</v>
      </c>
      <c r="D840" s="2" t="str">
        <f t="shared" si="12"/>
        <v>Error?</v>
      </c>
    </row>
    <row r="841" spans="1:4" x14ac:dyDescent="0.2">
      <c r="A841" s="5">
        <v>780</v>
      </c>
      <c r="B841" s="1820">
        <f>'Expenditures 15-22'!E40</f>
        <v>0</v>
      </c>
      <c r="D841" s="2" t="str">
        <f t="shared" si="12"/>
        <v>Error?</v>
      </c>
    </row>
    <row r="842" spans="1:4" x14ac:dyDescent="0.2">
      <c r="A842" s="5">
        <v>781</v>
      </c>
      <c r="B842" s="1820">
        <f>'Expenditures 15-22'!E41</f>
        <v>14795</v>
      </c>
      <c r="D842" s="2" t="str">
        <f t="shared" si="12"/>
        <v>Error?</v>
      </c>
    </row>
    <row r="843" spans="1:4" x14ac:dyDescent="0.2">
      <c r="A843" s="5">
        <v>782</v>
      </c>
      <c r="B843" s="1820">
        <f>'Expenditures 15-22'!E42</f>
        <v>78085</v>
      </c>
      <c r="C843" s="2" t="s">
        <v>569</v>
      </c>
      <c r="D843" s="2" t="str">
        <f t="shared" si="12"/>
        <v>Error?</v>
      </c>
    </row>
    <row r="844" spans="1:4" x14ac:dyDescent="0.2">
      <c r="A844" s="5">
        <v>783</v>
      </c>
      <c r="B844" s="1820">
        <f>'Expenditures 15-22'!E44</f>
        <v>128020</v>
      </c>
      <c r="D844" s="2" t="str">
        <f t="shared" si="12"/>
        <v>Error?</v>
      </c>
    </row>
    <row r="845" spans="1:4" x14ac:dyDescent="0.2">
      <c r="A845" s="5">
        <v>784</v>
      </c>
      <c r="B845" s="1820">
        <f>'Expenditures 15-22'!E45</f>
        <v>151700</v>
      </c>
      <c r="D845" s="2" t="str">
        <f t="shared" si="12"/>
        <v>Error?</v>
      </c>
    </row>
    <row r="846" spans="1:4" x14ac:dyDescent="0.2">
      <c r="A846" s="5">
        <v>785</v>
      </c>
      <c r="B846" s="1820">
        <f>'Expenditures 15-22'!E46</f>
        <v>44998</v>
      </c>
      <c r="D846" s="2" t="str">
        <f t="shared" si="12"/>
        <v>Error?</v>
      </c>
    </row>
    <row r="847" spans="1:4" x14ac:dyDescent="0.2">
      <c r="A847" s="5">
        <v>786</v>
      </c>
      <c r="B847" s="1820">
        <f>'Expenditures 15-22'!E47</f>
        <v>324718</v>
      </c>
      <c r="C847" s="2" t="s">
        <v>569</v>
      </c>
      <c r="D847" s="2" t="str">
        <f t="shared" si="12"/>
        <v>Error?</v>
      </c>
    </row>
    <row r="848" spans="1:4" x14ac:dyDescent="0.2">
      <c r="A848" s="5">
        <v>787</v>
      </c>
      <c r="B848" s="1820">
        <f>'Expenditures 15-22'!E49</f>
        <v>211223</v>
      </c>
      <c r="D848" s="2" t="str">
        <f t="shared" si="12"/>
        <v>Error?</v>
      </c>
    </row>
    <row r="849" spans="1:4" x14ac:dyDescent="0.2">
      <c r="A849" s="5">
        <v>788</v>
      </c>
      <c r="B849" s="1820">
        <f>'Expenditures 15-22'!E50</f>
        <v>979</v>
      </c>
      <c r="D849" s="2" t="str">
        <f t="shared" si="12"/>
        <v>Error?</v>
      </c>
    </row>
    <row r="850" spans="1:4" x14ac:dyDescent="0.2">
      <c r="A850" s="5">
        <v>789</v>
      </c>
      <c r="B850" s="1820">
        <f>'Expenditures 15-22'!E53</f>
        <v>212202</v>
      </c>
      <c r="C850" s="2" t="s">
        <v>569</v>
      </c>
      <c r="D850" s="2" t="str">
        <f t="shared" si="12"/>
        <v>Error?</v>
      </c>
    </row>
    <row r="851" spans="1:4" x14ac:dyDescent="0.2">
      <c r="A851" s="5">
        <v>790</v>
      </c>
      <c r="B851" s="1820">
        <f>'Expenditures 15-22'!E55</f>
        <v>0</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0</v>
      </c>
      <c r="C853" s="2" t="s">
        <v>569</v>
      </c>
      <c r="D853" s="2" t="str">
        <f t="shared" si="12"/>
        <v>Error?</v>
      </c>
    </row>
    <row r="854" spans="1:4" x14ac:dyDescent="0.2">
      <c r="A854" s="5">
        <v>793</v>
      </c>
      <c r="B854" s="1820">
        <f>'Expenditures 15-22'!E59</f>
        <v>89121</v>
      </c>
      <c r="D854" s="2" t="str">
        <f t="shared" si="12"/>
        <v>Error?</v>
      </c>
    </row>
    <row r="855" spans="1:4" x14ac:dyDescent="0.2">
      <c r="A855" s="5">
        <v>794</v>
      </c>
      <c r="B855" s="1820">
        <f>'Expenditures 15-22'!E60</f>
        <v>0</v>
      </c>
      <c r="D855" s="2" t="str">
        <f t="shared" si="12"/>
        <v>Error?</v>
      </c>
    </row>
    <row r="856" spans="1:4" x14ac:dyDescent="0.2">
      <c r="A856" s="5">
        <v>795</v>
      </c>
      <c r="B856" s="1820">
        <f>'Expenditures 15-22'!E61</f>
        <v>0</v>
      </c>
      <c r="D856" s="2" t="str">
        <f t="shared" si="12"/>
        <v>Error?</v>
      </c>
    </row>
    <row r="857" spans="1:4" x14ac:dyDescent="0.2">
      <c r="A857" s="5">
        <v>796</v>
      </c>
      <c r="B857" s="1820">
        <f>'Expenditures 15-22'!E62</f>
        <v>9500</v>
      </c>
      <c r="D857" s="2" t="str">
        <f t="shared" si="12"/>
        <v>Error?</v>
      </c>
    </row>
    <row r="858" spans="1:4" x14ac:dyDescent="0.2">
      <c r="A858" s="5">
        <v>797</v>
      </c>
      <c r="B858" s="1820">
        <f>'Expenditures 15-22'!E63</f>
        <v>497203</v>
      </c>
      <c r="D858" s="2" t="str">
        <f t="shared" si="12"/>
        <v>Error?</v>
      </c>
    </row>
    <row r="859" spans="1:4" x14ac:dyDescent="0.2">
      <c r="A859" s="5">
        <v>798</v>
      </c>
      <c r="B859" s="1820">
        <f>'Expenditures 15-22'!E64</f>
        <v>0</v>
      </c>
      <c r="D859" s="2" t="str">
        <f t="shared" si="12"/>
        <v>Error?</v>
      </c>
    </row>
    <row r="860" spans="1:4" x14ac:dyDescent="0.2">
      <c r="A860" s="10">
        <v>799</v>
      </c>
      <c r="B860" s="1820"/>
      <c r="D860" s="2" t="str">
        <f t="shared" si="12"/>
        <v>OK</v>
      </c>
    </row>
    <row r="861" spans="1:4" x14ac:dyDescent="0.2">
      <c r="A861" s="5">
        <v>800</v>
      </c>
      <c r="B861" s="1820">
        <f>'Expenditures 15-22'!E65</f>
        <v>595824</v>
      </c>
      <c r="C861" s="2" t="s">
        <v>569</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0</v>
      </c>
      <c r="D864" s="2" t="str">
        <f t="shared" si="12"/>
        <v>Error?</v>
      </c>
    </row>
    <row r="865" spans="1:4" x14ac:dyDescent="0.2">
      <c r="A865" s="5">
        <v>804</v>
      </c>
      <c r="B865" s="1820">
        <f>'Expenditures 15-22'!E70</f>
        <v>0</v>
      </c>
      <c r="D865" s="2" t="str">
        <f t="shared" si="12"/>
        <v>Error?</v>
      </c>
    </row>
    <row r="866" spans="1:4" x14ac:dyDescent="0.2">
      <c r="A866" s="10">
        <v>805</v>
      </c>
      <c r="B866" s="1820"/>
      <c r="D866" s="2" t="str">
        <f t="shared" si="12"/>
        <v>OK</v>
      </c>
    </row>
    <row r="867" spans="1:4" x14ac:dyDescent="0.2">
      <c r="A867" s="5">
        <v>806</v>
      </c>
      <c r="B867" s="1820">
        <f>'Expenditures 15-22'!E71</f>
        <v>0</v>
      </c>
      <c r="D867" s="2" t="str">
        <f t="shared" si="12"/>
        <v>Error?</v>
      </c>
    </row>
    <row r="868" spans="1:4" x14ac:dyDescent="0.2">
      <c r="A868" s="10">
        <v>807</v>
      </c>
      <c r="B868" s="1820"/>
      <c r="D868" s="2" t="str">
        <f t="shared" si="12"/>
        <v>OK</v>
      </c>
    </row>
    <row r="869" spans="1:4" x14ac:dyDescent="0.2">
      <c r="A869" s="5">
        <v>808</v>
      </c>
      <c r="B869" s="1820">
        <f>'Expenditures 15-22'!E72</f>
        <v>0</v>
      </c>
      <c r="C869" s="2" t="s">
        <v>569</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1210829</v>
      </c>
      <c r="C871" s="2" t="s">
        <v>569</v>
      </c>
      <c r="D871" s="2" t="str">
        <f t="shared" si="12"/>
        <v>Error?</v>
      </c>
    </row>
    <row r="872" spans="1:4" x14ac:dyDescent="0.2">
      <c r="A872" s="5">
        <v>811</v>
      </c>
      <c r="B872" s="1820">
        <f>'Expenditures 15-22'!E75</f>
        <v>342</v>
      </c>
      <c r="D872" s="2" t="str">
        <f t="shared" si="12"/>
        <v>Error?</v>
      </c>
    </row>
    <row r="873" spans="1:4" x14ac:dyDescent="0.2">
      <c r="A873" s="5">
        <v>812</v>
      </c>
      <c r="B873" s="1820">
        <f>'Expenditures 15-22'!E114</f>
        <v>1347887</v>
      </c>
      <c r="C873" s="2" t="s">
        <v>569</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138648</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0</v>
      </c>
      <c r="D891" s="2" t="str">
        <f t="shared" si="12"/>
        <v>Error?</v>
      </c>
    </row>
    <row r="892" spans="1:4" x14ac:dyDescent="0.2">
      <c r="A892" s="5">
        <v>831</v>
      </c>
      <c r="B892" s="1820">
        <f>'Expenditures 15-22'!F14</f>
        <v>0</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148774</v>
      </c>
      <c r="C894" s="2" t="s">
        <v>569</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330</v>
      </c>
      <c r="D896" s="2" t="str">
        <f t="shared" si="13"/>
        <v>Error?</v>
      </c>
    </row>
    <row r="897" spans="1:4" x14ac:dyDescent="0.2">
      <c r="A897" s="5">
        <v>836</v>
      </c>
      <c r="B897" s="1820">
        <f>'Expenditures 15-22'!F38</f>
        <v>4173</v>
      </c>
      <c r="D897" s="2" t="str">
        <f t="shared" si="13"/>
        <v>Error?</v>
      </c>
    </row>
    <row r="898" spans="1:4" x14ac:dyDescent="0.2">
      <c r="A898" s="5">
        <v>837</v>
      </c>
      <c r="B898" s="1820">
        <f>'Expenditures 15-22'!F39</f>
        <v>0</v>
      </c>
      <c r="D898" s="2" t="str">
        <f t="shared" si="13"/>
        <v>Error?</v>
      </c>
    </row>
    <row r="899" spans="1:4" x14ac:dyDescent="0.2">
      <c r="A899" s="5">
        <v>838</v>
      </c>
      <c r="B899" s="1820">
        <f>'Expenditures 15-22'!F40</f>
        <v>2382</v>
      </c>
      <c r="D899" s="2" t="str">
        <f t="shared" si="13"/>
        <v>Error?</v>
      </c>
    </row>
    <row r="900" spans="1:4" x14ac:dyDescent="0.2">
      <c r="A900" s="5">
        <v>839</v>
      </c>
      <c r="B900" s="1820">
        <f>'Expenditures 15-22'!F41</f>
        <v>0</v>
      </c>
      <c r="D900" s="2" t="str">
        <f t="shared" si="13"/>
        <v>Error?</v>
      </c>
    </row>
    <row r="901" spans="1:4" x14ac:dyDescent="0.2">
      <c r="A901" s="5">
        <v>840</v>
      </c>
      <c r="B901" s="1820">
        <f>'Expenditures 15-22'!F42</f>
        <v>6885</v>
      </c>
      <c r="C901" s="2" t="s">
        <v>569</v>
      </c>
      <c r="D901" s="2" t="str">
        <f t="shared" si="13"/>
        <v>Error?</v>
      </c>
    </row>
    <row r="902" spans="1:4" x14ac:dyDescent="0.2">
      <c r="A902" s="5">
        <v>841</v>
      </c>
      <c r="B902" s="1820">
        <f>'Expenditures 15-22'!F44</f>
        <v>8946</v>
      </c>
      <c r="D902" s="2" t="str">
        <f t="shared" si="13"/>
        <v>Error?</v>
      </c>
    </row>
    <row r="903" spans="1:4" x14ac:dyDescent="0.2">
      <c r="A903" s="5">
        <v>842</v>
      </c>
      <c r="B903" s="1820">
        <f>'Expenditures 15-22'!F45</f>
        <v>187420</v>
      </c>
      <c r="D903" s="2" t="str">
        <f t="shared" si="13"/>
        <v>Error?</v>
      </c>
    </row>
    <row r="904" spans="1:4" x14ac:dyDescent="0.2">
      <c r="A904" s="5">
        <v>843</v>
      </c>
      <c r="B904" s="1820">
        <f>'Expenditures 15-22'!F46</f>
        <v>672</v>
      </c>
      <c r="D904" s="2" t="str">
        <f t="shared" si="13"/>
        <v>Error?</v>
      </c>
    </row>
    <row r="905" spans="1:4" x14ac:dyDescent="0.2">
      <c r="A905" s="5">
        <v>844</v>
      </c>
      <c r="B905" s="1820">
        <f>'Expenditures 15-22'!F47</f>
        <v>197038</v>
      </c>
      <c r="C905" s="2" t="s">
        <v>569</v>
      </c>
      <c r="D905" s="2" t="str">
        <f t="shared" si="13"/>
        <v>Error?</v>
      </c>
    </row>
    <row r="906" spans="1:4" x14ac:dyDescent="0.2">
      <c r="A906" s="5">
        <v>845</v>
      </c>
      <c r="B906" s="1820">
        <f>'Expenditures 15-22'!F49</f>
        <v>13863</v>
      </c>
      <c r="D906" s="2" t="str">
        <f t="shared" si="13"/>
        <v>Error?</v>
      </c>
    </row>
    <row r="907" spans="1:4" x14ac:dyDescent="0.2">
      <c r="A907" s="5">
        <v>846</v>
      </c>
      <c r="B907" s="1820">
        <f>'Expenditures 15-22'!F50</f>
        <v>1673</v>
      </c>
      <c r="D907" s="2" t="str">
        <f t="shared" si="13"/>
        <v>Error?</v>
      </c>
    </row>
    <row r="908" spans="1:4" x14ac:dyDescent="0.2">
      <c r="A908" s="5">
        <v>847</v>
      </c>
      <c r="B908" s="1820">
        <f>'Expenditures 15-22'!F53</f>
        <v>16428</v>
      </c>
      <c r="C908" s="2" t="s">
        <v>569</v>
      </c>
      <c r="D908" s="2" t="str">
        <f t="shared" si="13"/>
        <v>Error?</v>
      </c>
    </row>
    <row r="909" spans="1:4" x14ac:dyDescent="0.2">
      <c r="A909" s="5">
        <v>848</v>
      </c>
      <c r="B909" s="1820">
        <f>'Expenditures 15-22'!F55</f>
        <v>9253</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9253</v>
      </c>
      <c r="C911" s="2" t="s">
        <v>569</v>
      </c>
      <c r="D911" s="2" t="str">
        <f t="shared" si="13"/>
        <v>Error?</v>
      </c>
    </row>
    <row r="912" spans="1:4" x14ac:dyDescent="0.2">
      <c r="A912" s="5">
        <v>851</v>
      </c>
      <c r="B912" s="1820">
        <f>'Expenditures 15-22'!F59</f>
        <v>4099</v>
      </c>
      <c r="D912" s="2" t="str">
        <f t="shared" si="13"/>
        <v>Error?</v>
      </c>
    </row>
    <row r="913" spans="1:4" x14ac:dyDescent="0.2">
      <c r="A913" s="5">
        <v>852</v>
      </c>
      <c r="B913" s="1820">
        <f>'Expenditures 15-22'!F60</f>
        <v>0</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3307</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7406</v>
      </c>
      <c r="C919" s="2" t="s">
        <v>569</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0</v>
      </c>
      <c r="D922" s="2" t="str">
        <f t="shared" si="13"/>
        <v>Error?</v>
      </c>
    </row>
    <row r="923" spans="1:4" x14ac:dyDescent="0.2">
      <c r="A923" s="5">
        <v>862</v>
      </c>
      <c r="B923" s="1820">
        <f>'Expenditures 15-22'!F70</f>
        <v>0</v>
      </c>
      <c r="D923" s="2" t="str">
        <f t="shared" si="13"/>
        <v>Error?</v>
      </c>
    </row>
    <row r="924" spans="1:4" x14ac:dyDescent="0.2">
      <c r="A924" s="10">
        <v>863</v>
      </c>
      <c r="B924" s="1820"/>
      <c r="D924" s="2" t="str">
        <f t="shared" si="13"/>
        <v>OK</v>
      </c>
    </row>
    <row r="925" spans="1:4" x14ac:dyDescent="0.2">
      <c r="A925" s="5">
        <v>864</v>
      </c>
      <c r="B925" s="1820">
        <f>'Expenditures 15-22'!F71</f>
        <v>0</v>
      </c>
      <c r="D925" s="2" t="str">
        <f t="shared" si="13"/>
        <v>Error?</v>
      </c>
    </row>
    <row r="926" spans="1:4" x14ac:dyDescent="0.2">
      <c r="A926" s="10">
        <v>865</v>
      </c>
      <c r="B926" s="1820"/>
      <c r="D926" s="2" t="str">
        <f t="shared" si="13"/>
        <v>OK</v>
      </c>
    </row>
    <row r="927" spans="1:4" x14ac:dyDescent="0.2">
      <c r="A927" s="5">
        <v>866</v>
      </c>
      <c r="B927" s="1820">
        <f>'Expenditures 15-22'!F72</f>
        <v>0</v>
      </c>
      <c r="C927" s="2" t="s">
        <v>569</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237010</v>
      </c>
      <c r="C929" s="2" t="s">
        <v>569</v>
      </c>
      <c r="D929" s="2" t="str">
        <f t="shared" si="13"/>
        <v>Error?</v>
      </c>
    </row>
    <row r="930" spans="1:4" x14ac:dyDescent="0.2">
      <c r="A930" s="5">
        <v>869</v>
      </c>
      <c r="B930" s="1820">
        <f>'Expenditures 15-22'!F75</f>
        <v>2003</v>
      </c>
      <c r="D930" s="2" t="str">
        <f t="shared" si="13"/>
        <v>Error?</v>
      </c>
    </row>
    <row r="931" spans="1:4" x14ac:dyDescent="0.2">
      <c r="A931" s="5">
        <v>870</v>
      </c>
      <c r="B931" s="1820">
        <f>'Expenditures 15-22'!F114</f>
        <v>387787</v>
      </c>
      <c r="C931" s="2" t="s">
        <v>569</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26410</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0</v>
      </c>
      <c r="D949" s="2" t="str">
        <f t="shared" si="13"/>
        <v>Error?</v>
      </c>
    </row>
    <row r="950" spans="1:4" x14ac:dyDescent="0.2">
      <c r="A950" s="5">
        <v>889</v>
      </c>
      <c r="B950" s="1820">
        <f>'Expenditures 15-22'!G14</f>
        <v>0</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26410</v>
      </c>
      <c r="C952" s="2" t="s">
        <v>569</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0</v>
      </c>
      <c r="C959" s="2" t="s">
        <v>569</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16214</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16214</v>
      </c>
      <c r="C963" s="2" t="s">
        <v>569</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569</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569</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0</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0</v>
      </c>
      <c r="C977" s="2" t="s">
        <v>569</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0</v>
      </c>
      <c r="D983" s="2" t="str">
        <f t="shared" si="14"/>
        <v>Error?</v>
      </c>
    </row>
    <row r="984" spans="1:4" x14ac:dyDescent="0.2">
      <c r="A984" s="10">
        <v>923</v>
      </c>
      <c r="B984" s="1820"/>
      <c r="D984" s="2" t="str">
        <f t="shared" si="14"/>
        <v>OK</v>
      </c>
    </row>
    <row r="985" spans="1:4" x14ac:dyDescent="0.2">
      <c r="A985" s="5">
        <v>924</v>
      </c>
      <c r="B985" s="1820">
        <f>'Expenditures 15-22'!G72</f>
        <v>0</v>
      </c>
      <c r="C985" s="2" t="s">
        <v>569</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16214</v>
      </c>
      <c r="C987" s="2" t="s">
        <v>569</v>
      </c>
      <c r="D987" s="2" t="str">
        <f t="shared" si="14"/>
        <v>Error?</v>
      </c>
    </row>
    <row r="988" spans="1:4" x14ac:dyDescent="0.2">
      <c r="A988" s="5">
        <v>927</v>
      </c>
      <c r="B988" s="1820">
        <f>'Expenditures 15-22'!G75</f>
        <v>0</v>
      </c>
      <c r="D988" s="2" t="str">
        <f t="shared" si="14"/>
        <v>Error?</v>
      </c>
    </row>
    <row r="989" spans="1:4" x14ac:dyDescent="0.2">
      <c r="A989" s="5">
        <v>928</v>
      </c>
      <c r="B989" s="1820">
        <f>'Expenditures 15-22'!G114</f>
        <v>42624</v>
      </c>
      <c r="C989" s="2" t="s">
        <v>569</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611</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0</v>
      </c>
      <c r="D1007" s="2" t="str">
        <f t="shared" si="14"/>
        <v>Error?</v>
      </c>
    </row>
    <row r="1008" spans="1:4" x14ac:dyDescent="0.2">
      <c r="A1008" s="5">
        <v>947</v>
      </c>
      <c r="B1008" s="1820">
        <f>'Expenditures 15-22'!H14</f>
        <v>0</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775</v>
      </c>
      <c r="C1010" s="2" t="s">
        <v>569</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0</v>
      </c>
      <c r="C1017" s="2" t="s">
        <v>569</v>
      </c>
      <c r="D1017" s="2" t="str">
        <f t="shared" si="14"/>
        <v>Error?</v>
      </c>
    </row>
    <row r="1018" spans="1:4" x14ac:dyDescent="0.2">
      <c r="A1018" s="5">
        <v>957</v>
      </c>
      <c r="B1018" s="1820">
        <f>'Expenditures 15-22'!H44</f>
        <v>0</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1067</v>
      </c>
      <c r="D1020" s="2" t="str">
        <f t="shared" si="14"/>
        <v>Error?</v>
      </c>
    </row>
    <row r="1021" spans="1:4" x14ac:dyDescent="0.2">
      <c r="A1021" s="5">
        <v>960</v>
      </c>
      <c r="B1021" s="1820">
        <f>'Expenditures 15-22'!H47</f>
        <v>1067</v>
      </c>
      <c r="C1021" s="2" t="s">
        <v>569</v>
      </c>
      <c r="D1021" s="2" t="str">
        <f t="shared" si="14"/>
        <v>Error?</v>
      </c>
    </row>
    <row r="1022" spans="1:4" x14ac:dyDescent="0.2">
      <c r="A1022" s="5">
        <v>961</v>
      </c>
      <c r="B1022" s="1820">
        <f>'Expenditures 15-22'!H49</f>
        <v>38352</v>
      </c>
      <c r="D1022" s="2" t="str">
        <f t="shared" si="14"/>
        <v>Error?</v>
      </c>
    </row>
    <row r="1023" spans="1:4" x14ac:dyDescent="0.2">
      <c r="A1023" s="5">
        <v>962</v>
      </c>
      <c r="B1023" s="1820">
        <f>'Expenditures 15-22'!H50</f>
        <v>0</v>
      </c>
      <c r="D1023" s="2" t="str">
        <f t="shared" ref="D1023:D1086" si="15">IF(ISBLANK(B1023),"OK",IF(A1023-B1023=0,"OK","Error?"))</f>
        <v>Error?</v>
      </c>
    </row>
    <row r="1024" spans="1:4" x14ac:dyDescent="0.2">
      <c r="A1024" s="5">
        <v>963</v>
      </c>
      <c r="B1024" s="1820">
        <f>'Expenditures 15-22'!H53</f>
        <v>41880</v>
      </c>
      <c r="C1024" s="2" t="s">
        <v>569</v>
      </c>
      <c r="D1024" s="2" t="str">
        <f t="shared" si="15"/>
        <v>Error?</v>
      </c>
    </row>
    <row r="1025" spans="1:4" x14ac:dyDescent="0.2">
      <c r="A1025" s="5">
        <v>964</v>
      </c>
      <c r="B1025" s="1820">
        <f>'Expenditures 15-22'!H55</f>
        <v>235</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235</v>
      </c>
      <c r="C1027" s="2" t="s">
        <v>569</v>
      </c>
      <c r="D1027" s="2" t="str">
        <f t="shared" si="15"/>
        <v>Error?</v>
      </c>
    </row>
    <row r="1028" spans="1:4" x14ac:dyDescent="0.2">
      <c r="A1028" s="5">
        <v>967</v>
      </c>
      <c r="B1028" s="1820">
        <f>'Expenditures 15-22'!H59</f>
        <v>2861</v>
      </c>
      <c r="D1028" s="2" t="str">
        <f t="shared" si="15"/>
        <v>Error?</v>
      </c>
    </row>
    <row r="1029" spans="1:4" x14ac:dyDescent="0.2">
      <c r="A1029" s="5">
        <v>968</v>
      </c>
      <c r="B1029" s="1820">
        <f>'Expenditures 15-22'!H60</f>
        <v>0</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0</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2861</v>
      </c>
      <c r="C1035" s="2" t="s">
        <v>569</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0</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0</v>
      </c>
      <c r="C1043" s="2" t="s">
        <v>569</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46043</v>
      </c>
      <c r="C1045" s="2" t="s">
        <v>569</v>
      </c>
      <c r="D1045" s="2" t="str">
        <f t="shared" si="15"/>
        <v>Error?</v>
      </c>
    </row>
    <row r="1046" spans="1:5" x14ac:dyDescent="0.2">
      <c r="A1046" s="5">
        <v>985</v>
      </c>
      <c r="B1046" s="1820">
        <f>'Expenditures 15-22'!H75</f>
        <v>0</v>
      </c>
      <c r="D1046" s="2" t="str">
        <f t="shared" si="15"/>
        <v>Error?</v>
      </c>
    </row>
    <row r="1047" spans="1:5" x14ac:dyDescent="0.2">
      <c r="A1047" s="5">
        <v>986</v>
      </c>
      <c r="B1047" s="1820">
        <f>'Expenditures 15-22'!H102</f>
        <v>1515587</v>
      </c>
      <c r="C1047" s="2" t="s">
        <v>569</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569</v>
      </c>
      <c r="D1053" s="2" t="str">
        <f t="shared" si="15"/>
        <v>Error?</v>
      </c>
    </row>
    <row r="1054" spans="1:5" x14ac:dyDescent="0.2">
      <c r="A1054" s="5">
        <v>993</v>
      </c>
      <c r="B1054" s="1820">
        <f>'Expenditures 15-22'!H114</f>
        <v>1562405</v>
      </c>
      <c r="C1054" s="2" t="s">
        <v>569</v>
      </c>
      <c r="D1054" s="2" t="str">
        <f t="shared" si="15"/>
        <v>Error?</v>
      </c>
    </row>
    <row r="1055" spans="1:5" x14ac:dyDescent="0.2">
      <c r="A1055" s="10">
        <v>994</v>
      </c>
      <c r="B1055" s="1820"/>
      <c r="D1055" s="2" t="str">
        <f t="shared" si="15"/>
        <v>OK</v>
      </c>
    </row>
    <row r="1056" spans="1:5" x14ac:dyDescent="0.2">
      <c r="A1056" s="10">
        <v>995</v>
      </c>
      <c r="B1056" s="1820"/>
      <c r="C1056" s="2" t="s">
        <v>569</v>
      </c>
      <c r="D1056" s="4" t="s">
        <v>1994</v>
      </c>
      <c r="E1056" s="4" t="s">
        <v>1993</v>
      </c>
    </row>
    <row r="1057" spans="1:4" x14ac:dyDescent="0.2">
      <c r="A1057" s="10">
        <v>996</v>
      </c>
      <c r="B1057" s="1820"/>
      <c r="C1057" s="2" t="s">
        <v>569</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569</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569</v>
      </c>
      <c r="D1086" s="2" t="str">
        <f t="shared" si="15"/>
        <v>OK</v>
      </c>
    </row>
    <row r="1087" spans="1:4" x14ac:dyDescent="0.2">
      <c r="A1087" s="10">
        <v>1026</v>
      </c>
      <c r="B1087" s="1820"/>
      <c r="C1087" s="2" t="s">
        <v>569</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4008542</v>
      </c>
      <c r="C1093" s="2" t="s">
        <v>569</v>
      </c>
      <c r="D1093" s="2" t="str">
        <f t="shared" si="16"/>
        <v>Error?</v>
      </c>
    </row>
    <row r="1094" spans="1:4" x14ac:dyDescent="0.2">
      <c r="A1094" s="5">
        <v>1033</v>
      </c>
      <c r="B1094" s="1820">
        <f>'Expenditures 15-22'!K16</f>
        <v>0</v>
      </c>
      <c r="C1094" s="2" t="s">
        <v>569</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569</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569</v>
      </c>
      <c r="D1104" s="2" t="str">
        <f t="shared" si="16"/>
        <v>Error?</v>
      </c>
    </row>
    <row r="1105" spans="1:4" x14ac:dyDescent="0.2">
      <c r="A1105" s="5">
        <v>1044</v>
      </c>
      <c r="B1105" s="1820">
        <f>'Expenditures 15-22'!K13</f>
        <v>0</v>
      </c>
      <c r="C1105" s="2" t="s">
        <v>569</v>
      </c>
      <c r="D1105" s="2" t="str">
        <f t="shared" si="16"/>
        <v>Error?</v>
      </c>
    </row>
    <row r="1106" spans="1:4" x14ac:dyDescent="0.2">
      <c r="A1106" s="5">
        <v>1045</v>
      </c>
      <c r="B1106" s="1820">
        <f>'Expenditures 15-22'!K14</f>
        <v>46622</v>
      </c>
      <c r="C1106" s="2" t="s">
        <v>569</v>
      </c>
      <c r="D1106" s="2" t="str">
        <f t="shared" si="16"/>
        <v>Error?</v>
      </c>
    </row>
    <row r="1107" spans="1:4" x14ac:dyDescent="0.2">
      <c r="A1107" s="5">
        <v>1046</v>
      </c>
      <c r="B1107" s="1820">
        <f>'Expenditures 15-22'!K15</f>
        <v>0</v>
      </c>
      <c r="C1107" s="2" t="s">
        <v>569</v>
      </c>
      <c r="D1107" s="2" t="str">
        <f t="shared" si="16"/>
        <v>Error?</v>
      </c>
    </row>
    <row r="1108" spans="1:4" x14ac:dyDescent="0.2">
      <c r="A1108" s="5">
        <v>1047</v>
      </c>
      <c r="B1108" s="1820">
        <f>'Expenditures 15-22'!K33</f>
        <v>4648642</v>
      </c>
      <c r="C1108" s="2" t="s">
        <v>569</v>
      </c>
      <c r="D1108" s="2" t="str">
        <f t="shared" si="16"/>
        <v>Error?</v>
      </c>
    </row>
    <row r="1109" spans="1:4" x14ac:dyDescent="0.2">
      <c r="A1109" s="5">
        <v>1048</v>
      </c>
      <c r="B1109" s="1820">
        <f>'Expenditures 15-22'!K36</f>
        <v>0</v>
      </c>
      <c r="C1109" s="2" t="s">
        <v>569</v>
      </c>
      <c r="D1109" s="2" t="str">
        <f t="shared" si="16"/>
        <v>Error?</v>
      </c>
    </row>
    <row r="1110" spans="1:4" x14ac:dyDescent="0.2">
      <c r="A1110" s="5">
        <v>1049</v>
      </c>
      <c r="B1110" s="1820">
        <f>'Expenditures 15-22'!K37</f>
        <v>78303</v>
      </c>
      <c r="C1110" s="2" t="s">
        <v>569</v>
      </c>
      <c r="D1110" s="2" t="str">
        <f t="shared" si="16"/>
        <v>Error?</v>
      </c>
    </row>
    <row r="1111" spans="1:4" x14ac:dyDescent="0.2">
      <c r="A1111" s="5">
        <v>1050</v>
      </c>
      <c r="B1111" s="1820">
        <f>'Expenditures 15-22'!K38</f>
        <v>226113</v>
      </c>
      <c r="C1111" s="2" t="s">
        <v>569</v>
      </c>
      <c r="D1111" s="2" t="str">
        <f t="shared" si="16"/>
        <v>Error?</v>
      </c>
    </row>
    <row r="1112" spans="1:4" x14ac:dyDescent="0.2">
      <c r="A1112" s="5">
        <v>1051</v>
      </c>
      <c r="B1112" s="1820">
        <f>'Expenditures 15-22'!K39</f>
        <v>8550</v>
      </c>
      <c r="C1112" s="2" t="s">
        <v>569</v>
      </c>
      <c r="D1112" s="2" t="str">
        <f t="shared" si="16"/>
        <v>Error?</v>
      </c>
    </row>
    <row r="1113" spans="1:4" x14ac:dyDescent="0.2">
      <c r="A1113" s="5">
        <v>1052</v>
      </c>
      <c r="B1113" s="1820">
        <f>'Expenditures 15-22'!K40</f>
        <v>55120</v>
      </c>
      <c r="C1113" s="2" t="s">
        <v>569</v>
      </c>
      <c r="D1113" s="2" t="str">
        <f t="shared" si="16"/>
        <v>Error?</v>
      </c>
    </row>
    <row r="1114" spans="1:4" x14ac:dyDescent="0.2">
      <c r="A1114" s="5">
        <v>1053</v>
      </c>
      <c r="B1114" s="1820">
        <f>'Expenditures 15-22'!K41</f>
        <v>80425</v>
      </c>
      <c r="C1114" s="2" t="s">
        <v>569</v>
      </c>
      <c r="D1114" s="2" t="str">
        <f t="shared" si="16"/>
        <v>Error?</v>
      </c>
    </row>
    <row r="1115" spans="1:4" x14ac:dyDescent="0.2">
      <c r="A1115" s="5">
        <v>1054</v>
      </c>
      <c r="B1115" s="1820">
        <f>'Expenditures 15-22'!K42</f>
        <v>448511</v>
      </c>
      <c r="C1115" s="2" t="s">
        <v>569</v>
      </c>
      <c r="D1115" s="2" t="str">
        <f t="shared" si="16"/>
        <v>Error?</v>
      </c>
    </row>
    <row r="1116" spans="1:4" x14ac:dyDescent="0.2">
      <c r="A1116" s="5">
        <v>1055</v>
      </c>
      <c r="B1116" s="1820">
        <f>'Expenditures 15-22'!K44</f>
        <v>202648</v>
      </c>
      <c r="C1116" s="2" t="s">
        <v>569</v>
      </c>
      <c r="D1116" s="2" t="str">
        <f t="shared" si="16"/>
        <v>Error?</v>
      </c>
    </row>
    <row r="1117" spans="1:4" x14ac:dyDescent="0.2">
      <c r="A1117" s="5">
        <v>1056</v>
      </c>
      <c r="B1117" s="1820">
        <f>'Expenditures 15-22'!K45</f>
        <v>642584</v>
      </c>
      <c r="C1117" s="2" t="s">
        <v>569</v>
      </c>
      <c r="D1117" s="2" t="str">
        <f t="shared" si="16"/>
        <v>Error?</v>
      </c>
    </row>
    <row r="1118" spans="1:4" x14ac:dyDescent="0.2">
      <c r="A1118" s="5">
        <v>1057</v>
      </c>
      <c r="B1118" s="1820">
        <f>'Expenditures 15-22'!K46</f>
        <v>185417</v>
      </c>
      <c r="C1118" s="2" t="s">
        <v>569</v>
      </c>
      <c r="D1118" s="2" t="str">
        <f t="shared" si="16"/>
        <v>Error?</v>
      </c>
    </row>
    <row r="1119" spans="1:4" x14ac:dyDescent="0.2">
      <c r="A1119" s="5">
        <v>1058</v>
      </c>
      <c r="B1119" s="1820">
        <f>'Expenditures 15-22'!K47</f>
        <v>1030649</v>
      </c>
      <c r="C1119" s="2" t="s">
        <v>569</v>
      </c>
      <c r="D1119" s="2" t="str">
        <f t="shared" si="16"/>
        <v>Error?</v>
      </c>
    </row>
    <row r="1120" spans="1:4" x14ac:dyDescent="0.2">
      <c r="A1120" s="5">
        <v>1059</v>
      </c>
      <c r="B1120" s="1820">
        <f>'Expenditures 15-22'!K49</f>
        <v>637672</v>
      </c>
      <c r="C1120" s="2" t="s">
        <v>569</v>
      </c>
      <c r="D1120" s="2" t="str">
        <f t="shared" si="16"/>
        <v>Error?</v>
      </c>
    </row>
    <row r="1121" spans="1:4" x14ac:dyDescent="0.2">
      <c r="A1121" s="5">
        <v>1060</v>
      </c>
      <c r="B1121" s="1820">
        <f>'Expenditures 15-22'!K50</f>
        <v>479294</v>
      </c>
      <c r="C1121" s="2" t="s">
        <v>569</v>
      </c>
      <c r="D1121" s="2" t="str">
        <f t="shared" si="16"/>
        <v>Error?</v>
      </c>
    </row>
    <row r="1122" spans="1:4" x14ac:dyDescent="0.2">
      <c r="A1122" s="5">
        <v>1061</v>
      </c>
      <c r="B1122" s="1820">
        <f>'Expenditures 15-22'!K53</f>
        <v>1329303</v>
      </c>
      <c r="C1122" s="2" t="s">
        <v>569</v>
      </c>
      <c r="D1122" s="2" t="str">
        <f t="shared" si="16"/>
        <v>Error?</v>
      </c>
    </row>
    <row r="1123" spans="1:4" x14ac:dyDescent="0.2">
      <c r="A1123" s="5">
        <v>1062</v>
      </c>
      <c r="B1123" s="1820">
        <f>'Expenditures 15-22'!K55</f>
        <v>911317</v>
      </c>
      <c r="C1123" s="2" t="s">
        <v>569</v>
      </c>
      <c r="D1123" s="2" t="str">
        <f t="shared" si="16"/>
        <v>Error?</v>
      </c>
    </row>
    <row r="1124" spans="1:4" x14ac:dyDescent="0.2">
      <c r="A1124" s="5">
        <v>1063</v>
      </c>
      <c r="B1124" s="1820">
        <f>'Expenditures 15-22'!K56</f>
        <v>0</v>
      </c>
      <c r="C1124" s="2" t="s">
        <v>569</v>
      </c>
      <c r="D1124" s="2" t="str">
        <f t="shared" si="16"/>
        <v>Error?</v>
      </c>
    </row>
    <row r="1125" spans="1:4" x14ac:dyDescent="0.2">
      <c r="A1125" s="5">
        <v>1064</v>
      </c>
      <c r="B1125" s="1820">
        <f>'Expenditures 15-22'!K57</f>
        <v>911317</v>
      </c>
      <c r="C1125" s="2" t="s">
        <v>569</v>
      </c>
      <c r="D1125" s="2" t="str">
        <f t="shared" si="16"/>
        <v>Error?</v>
      </c>
    </row>
    <row r="1126" spans="1:4" x14ac:dyDescent="0.2">
      <c r="A1126" s="5">
        <v>1065</v>
      </c>
      <c r="B1126" s="1820">
        <f>'Expenditures 15-22'!K59</f>
        <v>382389</v>
      </c>
      <c r="C1126" s="2" t="s">
        <v>569</v>
      </c>
      <c r="D1126" s="2" t="str">
        <f t="shared" si="16"/>
        <v>Error?</v>
      </c>
    </row>
    <row r="1127" spans="1:4" x14ac:dyDescent="0.2">
      <c r="A1127" s="5">
        <v>1066</v>
      </c>
      <c r="B1127" s="1820">
        <f>'Expenditures 15-22'!K60</f>
        <v>0</v>
      </c>
      <c r="C1127" s="2" t="s">
        <v>569</v>
      </c>
      <c r="D1127" s="2" t="str">
        <f t="shared" si="16"/>
        <v>Error?</v>
      </c>
    </row>
    <row r="1128" spans="1:4" x14ac:dyDescent="0.2">
      <c r="A1128" s="5">
        <v>1067</v>
      </c>
      <c r="B1128" s="1820">
        <f>'Expenditures 15-22'!K61</f>
        <v>0</v>
      </c>
      <c r="C1128" s="2" t="s">
        <v>569</v>
      </c>
      <c r="D1128" s="2" t="str">
        <f t="shared" si="16"/>
        <v>Error?</v>
      </c>
    </row>
    <row r="1129" spans="1:4" x14ac:dyDescent="0.2">
      <c r="A1129" s="5">
        <v>1068</v>
      </c>
      <c r="B1129" s="1820">
        <f>'Expenditures 15-22'!K62</f>
        <v>9500</v>
      </c>
      <c r="C1129" s="2" t="s">
        <v>569</v>
      </c>
      <c r="D1129" s="2" t="str">
        <f t="shared" si="16"/>
        <v>Error?</v>
      </c>
    </row>
    <row r="1130" spans="1:4" x14ac:dyDescent="0.2">
      <c r="A1130" s="5">
        <v>1069</v>
      </c>
      <c r="B1130" s="1820">
        <f>'Expenditures 15-22'!K63</f>
        <v>551522</v>
      </c>
      <c r="C1130" s="2" t="s">
        <v>569</v>
      </c>
      <c r="D1130" s="2" t="str">
        <f t="shared" si="16"/>
        <v>Error?</v>
      </c>
    </row>
    <row r="1131" spans="1:4" x14ac:dyDescent="0.2">
      <c r="A1131" s="5">
        <v>1070</v>
      </c>
      <c r="B1131" s="1820">
        <f>'Expenditures 15-22'!K64</f>
        <v>0</v>
      </c>
      <c r="C1131" s="2" t="s">
        <v>569</v>
      </c>
      <c r="D1131" s="2" t="str">
        <f t="shared" si="16"/>
        <v>Error?</v>
      </c>
    </row>
    <row r="1132" spans="1:4" x14ac:dyDescent="0.2">
      <c r="A1132" s="10">
        <v>1071</v>
      </c>
      <c r="B1132" s="1820"/>
      <c r="D1132" s="2" t="str">
        <f t="shared" si="16"/>
        <v>OK</v>
      </c>
    </row>
    <row r="1133" spans="1:4" x14ac:dyDescent="0.2">
      <c r="A1133" s="5">
        <v>1072</v>
      </c>
      <c r="B1133" s="1820">
        <f>'Expenditures 15-22'!K65</f>
        <v>943411</v>
      </c>
      <c r="C1133" s="2" t="s">
        <v>569</v>
      </c>
      <c r="D1133" s="2" t="str">
        <f t="shared" si="16"/>
        <v>Error?</v>
      </c>
    </row>
    <row r="1134" spans="1:4" x14ac:dyDescent="0.2">
      <c r="A1134" s="5">
        <v>1073</v>
      </c>
      <c r="B1134" s="1820">
        <f>'Expenditures 15-22'!K67</f>
        <v>0</v>
      </c>
      <c r="C1134" s="2" t="s">
        <v>569</v>
      </c>
      <c r="D1134" s="2" t="str">
        <f t="shared" si="16"/>
        <v>Error?</v>
      </c>
    </row>
    <row r="1135" spans="1:4" x14ac:dyDescent="0.2">
      <c r="A1135" s="5">
        <v>1074</v>
      </c>
      <c r="B1135" s="1820">
        <f>'Expenditures 15-22'!K68</f>
        <v>0</v>
      </c>
      <c r="C1135" s="2" t="s">
        <v>569</v>
      </c>
      <c r="D1135" s="2" t="str">
        <f t="shared" si="16"/>
        <v>Error?</v>
      </c>
    </row>
    <row r="1136" spans="1:4" x14ac:dyDescent="0.2">
      <c r="A1136" s="5">
        <v>1075</v>
      </c>
      <c r="B1136" s="1820">
        <f>'Expenditures 15-22'!K69</f>
        <v>0</v>
      </c>
      <c r="C1136" s="2" t="s">
        <v>569</v>
      </c>
      <c r="D1136" s="2" t="str">
        <f t="shared" si="16"/>
        <v>Error?</v>
      </c>
    </row>
    <row r="1137" spans="1:4" x14ac:dyDescent="0.2">
      <c r="A1137" s="5">
        <v>1076</v>
      </c>
      <c r="B1137" s="1820">
        <f>'Expenditures 15-22'!K70</f>
        <v>1298</v>
      </c>
      <c r="C1137" s="2" t="s">
        <v>569</v>
      </c>
      <c r="D1137" s="2" t="str">
        <f t="shared" si="16"/>
        <v>Error?</v>
      </c>
    </row>
    <row r="1138" spans="1:4" x14ac:dyDescent="0.2">
      <c r="A1138" s="10">
        <v>1077</v>
      </c>
      <c r="B1138" s="1820"/>
      <c r="D1138" s="2" t="str">
        <f t="shared" si="16"/>
        <v>OK</v>
      </c>
    </row>
    <row r="1139" spans="1:4" x14ac:dyDescent="0.2">
      <c r="A1139" s="5">
        <v>1078</v>
      </c>
      <c r="B1139" s="1820">
        <f>'Expenditures 15-22'!K71</f>
        <v>0</v>
      </c>
      <c r="C1139" s="2" t="s">
        <v>569</v>
      </c>
      <c r="D1139" s="2" t="str">
        <f t="shared" si="16"/>
        <v>Error?</v>
      </c>
    </row>
    <row r="1140" spans="1:4" x14ac:dyDescent="0.2">
      <c r="A1140" s="10">
        <v>1079</v>
      </c>
      <c r="B1140" s="1820"/>
      <c r="D1140" s="2" t="str">
        <f t="shared" si="16"/>
        <v>OK</v>
      </c>
    </row>
    <row r="1141" spans="1:4" x14ac:dyDescent="0.2">
      <c r="A1141" s="5">
        <v>1080</v>
      </c>
      <c r="B1141" s="1820">
        <f>'Expenditures 15-22'!K72</f>
        <v>1298</v>
      </c>
      <c r="C1141" s="2" t="s">
        <v>569</v>
      </c>
      <c r="D1141" s="2" t="str">
        <f t="shared" si="16"/>
        <v>Error?</v>
      </c>
    </row>
    <row r="1142" spans="1:4" x14ac:dyDescent="0.2">
      <c r="A1142" s="5">
        <v>1081</v>
      </c>
      <c r="B1142" s="1820">
        <f>'Expenditures 15-22'!K73</f>
        <v>0</v>
      </c>
      <c r="C1142" s="2" t="s">
        <v>569</v>
      </c>
      <c r="D1142" s="2" t="str">
        <f t="shared" si="16"/>
        <v>Error?</v>
      </c>
    </row>
    <row r="1143" spans="1:4" x14ac:dyDescent="0.2">
      <c r="A1143" s="5">
        <v>1082</v>
      </c>
      <c r="B1143" s="1820">
        <f>'Expenditures 15-22'!K74</f>
        <v>4664489</v>
      </c>
      <c r="C1143" s="2" t="s">
        <v>569</v>
      </c>
      <c r="D1143" s="2" t="str">
        <f t="shared" si="16"/>
        <v>Error?</v>
      </c>
    </row>
    <row r="1144" spans="1:4" x14ac:dyDescent="0.2">
      <c r="A1144" s="5">
        <v>1083</v>
      </c>
      <c r="B1144" s="1820">
        <f>'Expenditures 15-22'!K75</f>
        <v>2345</v>
      </c>
      <c r="C1144" s="2" t="s">
        <v>569</v>
      </c>
      <c r="D1144" s="2" t="str">
        <f t="shared" si="16"/>
        <v>Error?</v>
      </c>
    </row>
    <row r="1145" spans="1:4" x14ac:dyDescent="0.2">
      <c r="A1145" s="5">
        <v>1084</v>
      </c>
      <c r="B1145" s="1820">
        <f>'Expenditures 15-22'!K102</f>
        <v>1515587</v>
      </c>
      <c r="C1145" s="2" t="s">
        <v>569</v>
      </c>
      <c r="D1145" s="2" t="str">
        <f t="shared" si="16"/>
        <v>Error?</v>
      </c>
    </row>
    <row r="1146" spans="1:4" x14ac:dyDescent="0.2">
      <c r="A1146" s="5">
        <v>1085</v>
      </c>
      <c r="B1146" s="1820">
        <f>'Expenditures 15-22'!K105</f>
        <v>0</v>
      </c>
      <c r="C1146" s="2" t="s">
        <v>569</v>
      </c>
      <c r="D1146" s="2" t="str">
        <f t="shared" si="16"/>
        <v>Error?</v>
      </c>
    </row>
    <row r="1147" spans="1:4" x14ac:dyDescent="0.2">
      <c r="A1147" s="5">
        <v>1086</v>
      </c>
      <c r="B1147" s="1820">
        <f>'Expenditures 15-22'!K106</f>
        <v>0</v>
      </c>
      <c r="C1147" s="2" t="s">
        <v>569</v>
      </c>
      <c r="D1147" s="2" t="str">
        <f t="shared" si="16"/>
        <v>Error?</v>
      </c>
    </row>
    <row r="1148" spans="1:4" x14ac:dyDescent="0.2">
      <c r="A1148" s="10">
        <v>1087</v>
      </c>
      <c r="B1148" s="1820"/>
      <c r="C1148" s="2" t="s">
        <v>569</v>
      </c>
      <c r="D1148" s="2" t="str">
        <f t="shared" si="16"/>
        <v>OK</v>
      </c>
    </row>
    <row r="1149" spans="1:4" x14ac:dyDescent="0.2">
      <c r="A1149" s="5">
        <v>1088</v>
      </c>
      <c r="B1149" s="1820">
        <f>'Expenditures 15-22'!K109</f>
        <v>0</v>
      </c>
      <c r="C1149" s="2" t="s">
        <v>569</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569</v>
      </c>
      <c r="D1151" s="2" t="str">
        <f t="shared" ref="D1151:D1214" si="17">IF(ISBLANK(B1151),"OK",IF(A1151-B1151=0,"OK","Error?"))</f>
        <v>Error?</v>
      </c>
    </row>
    <row r="1152" spans="1:4" x14ac:dyDescent="0.2">
      <c r="A1152" s="5">
        <v>1091</v>
      </c>
      <c r="B1152" s="1820">
        <f>'Expenditures 15-22'!K114</f>
        <v>10831063</v>
      </c>
      <c r="C1152" s="2" t="s">
        <v>569</v>
      </c>
      <c r="D1152" s="2" t="str">
        <f t="shared" si="17"/>
        <v>Error?</v>
      </c>
    </row>
    <row r="1153" spans="1:4" x14ac:dyDescent="0.2">
      <c r="A1153" s="5">
        <v>1092</v>
      </c>
      <c r="B1153" s="1820">
        <f>'Expenditures 15-22'!K115</f>
        <v>1700809</v>
      </c>
      <c r="C1153" s="2" t="s">
        <v>569</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406129</v>
      </c>
      <c r="D1221" s="2" t="str">
        <f t="shared" si="18"/>
        <v>Error?</v>
      </c>
    </row>
    <row r="1222" spans="1:4" x14ac:dyDescent="0.2">
      <c r="A1222" s="10">
        <v>1161</v>
      </c>
      <c r="B1222" s="1820"/>
      <c r="D1222" s="2" t="str">
        <f t="shared" si="18"/>
        <v>OK</v>
      </c>
    </row>
    <row r="1223" spans="1:4" x14ac:dyDescent="0.2">
      <c r="A1223" s="5">
        <v>1162</v>
      </c>
      <c r="B1223" s="1820">
        <f>'Expenditures 15-22'!C127</f>
        <v>406129</v>
      </c>
      <c r="C1223" s="2" t="s">
        <v>569</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406129</v>
      </c>
      <c r="C1225" s="2" t="s">
        <v>569</v>
      </c>
      <c r="D1225" s="2" t="str">
        <f t="shared" si="18"/>
        <v>Error?</v>
      </c>
    </row>
    <row r="1226" spans="1:4" x14ac:dyDescent="0.2">
      <c r="A1226" s="5">
        <v>1165</v>
      </c>
      <c r="B1226" s="1820">
        <f>'Expenditures 15-22'!C151</f>
        <v>406129</v>
      </c>
      <c r="C1226" s="2" t="s">
        <v>569</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80924</v>
      </c>
      <c r="D1229" s="2" t="str">
        <f t="shared" si="18"/>
        <v>Error?</v>
      </c>
    </row>
    <row r="1230" spans="1:4" x14ac:dyDescent="0.2">
      <c r="A1230" s="10">
        <v>1169</v>
      </c>
      <c r="B1230" s="1820"/>
      <c r="D1230" s="2" t="str">
        <f t="shared" si="18"/>
        <v>OK</v>
      </c>
    </row>
    <row r="1231" spans="1:4" x14ac:dyDescent="0.2">
      <c r="A1231" s="5">
        <v>1170</v>
      </c>
      <c r="B1231" s="1820">
        <f>'Expenditures 15-22'!D127</f>
        <v>80924</v>
      </c>
      <c r="C1231" s="2" t="s">
        <v>569</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80924</v>
      </c>
      <c r="C1233" s="2" t="s">
        <v>569</v>
      </c>
      <c r="D1233" s="2" t="str">
        <f t="shared" si="18"/>
        <v>Error?</v>
      </c>
    </row>
    <row r="1234" spans="1:4" x14ac:dyDescent="0.2">
      <c r="A1234" s="5">
        <v>1173</v>
      </c>
      <c r="B1234" s="1820">
        <f>'Expenditures 15-22'!D151</f>
        <v>80924</v>
      </c>
      <c r="C1234" s="2" t="s">
        <v>569</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741890</v>
      </c>
      <c r="D1237" s="2" t="str">
        <f t="shared" si="18"/>
        <v>Error?</v>
      </c>
    </row>
    <row r="1238" spans="1:4" x14ac:dyDescent="0.2">
      <c r="A1238" s="10">
        <v>1177</v>
      </c>
      <c r="B1238" s="1820"/>
      <c r="D1238" s="2" t="str">
        <f t="shared" si="18"/>
        <v>OK</v>
      </c>
    </row>
    <row r="1239" spans="1:4" x14ac:dyDescent="0.2">
      <c r="A1239" s="5">
        <v>1178</v>
      </c>
      <c r="B1239" s="1820">
        <f>'Expenditures 15-22'!E127</f>
        <v>741890</v>
      </c>
      <c r="C1239" s="2" t="s">
        <v>569</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741890</v>
      </c>
      <c r="C1241" s="2" t="s">
        <v>569</v>
      </c>
      <c r="D1241" s="2" t="str">
        <f t="shared" si="18"/>
        <v>Error?</v>
      </c>
    </row>
    <row r="1242" spans="1:4" x14ac:dyDescent="0.2">
      <c r="A1242" s="5">
        <v>1181</v>
      </c>
      <c r="B1242" s="1820">
        <f>'Expenditures 15-22'!E151</f>
        <v>741890</v>
      </c>
      <c r="C1242" s="2" t="s">
        <v>569</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353713</v>
      </c>
      <c r="D1245" s="2" t="str">
        <f t="shared" si="18"/>
        <v>Error?</v>
      </c>
    </row>
    <row r="1246" spans="1:4" x14ac:dyDescent="0.2">
      <c r="A1246" s="10">
        <v>1185</v>
      </c>
      <c r="B1246" s="1820"/>
      <c r="D1246" s="2" t="str">
        <f t="shared" si="18"/>
        <v>OK</v>
      </c>
    </row>
    <row r="1247" spans="1:4" x14ac:dyDescent="0.2">
      <c r="A1247" s="5">
        <v>1186</v>
      </c>
      <c r="B1247" s="1820">
        <f>'Expenditures 15-22'!F127</f>
        <v>353713</v>
      </c>
      <c r="C1247" s="2" t="s">
        <v>569</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353713</v>
      </c>
      <c r="C1249" s="2" t="s">
        <v>569</v>
      </c>
      <c r="D1249" s="2" t="str">
        <f t="shared" si="18"/>
        <v>Error?</v>
      </c>
    </row>
    <row r="1250" spans="1:4" x14ac:dyDescent="0.2">
      <c r="A1250" s="5">
        <v>1189</v>
      </c>
      <c r="B1250" s="1820">
        <f>'Expenditures 15-22'!F151</f>
        <v>353713</v>
      </c>
      <c r="C1250" s="2" t="s">
        <v>569</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23907</v>
      </c>
      <c r="D1252" s="2" t="str">
        <f t="shared" si="18"/>
        <v>Error?</v>
      </c>
    </row>
    <row r="1253" spans="1:4" x14ac:dyDescent="0.2">
      <c r="A1253" s="5">
        <v>1192</v>
      </c>
      <c r="B1253" s="1820">
        <f>'Expenditures 15-22'!G124</f>
        <v>4680</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28587</v>
      </c>
      <c r="C1256" s="2" t="s">
        <v>569</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28587</v>
      </c>
      <c r="C1258" s="2" t="s">
        <v>569</v>
      </c>
      <c r="D1258" s="2" t="str">
        <f t="shared" si="18"/>
        <v>Error?</v>
      </c>
    </row>
    <row r="1259" spans="1:4" x14ac:dyDescent="0.2">
      <c r="A1259" s="5">
        <v>1198</v>
      </c>
      <c r="B1259" s="1820">
        <f>'Expenditures 15-22'!G151</f>
        <v>28587</v>
      </c>
      <c r="C1259" s="2" t="s">
        <v>569</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0</v>
      </c>
      <c r="D1262" s="2" t="str">
        <f t="shared" si="18"/>
        <v>Error?</v>
      </c>
    </row>
    <row r="1263" spans="1:4" x14ac:dyDescent="0.2">
      <c r="A1263" s="10">
        <v>1202</v>
      </c>
      <c r="B1263" s="1820"/>
      <c r="D1263" s="2" t="str">
        <f t="shared" si="18"/>
        <v>OK</v>
      </c>
    </row>
    <row r="1264" spans="1:4" x14ac:dyDescent="0.2">
      <c r="A1264" s="5">
        <v>1203</v>
      </c>
      <c r="B1264" s="1820">
        <f>'Expenditures 15-22'!H127</f>
        <v>0</v>
      </c>
      <c r="C1264" s="2" t="s">
        <v>569</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0</v>
      </c>
      <c r="C1266" s="2" t="s">
        <v>569</v>
      </c>
      <c r="D1266" s="2" t="str">
        <f t="shared" si="18"/>
        <v>Error?</v>
      </c>
    </row>
    <row r="1267" spans="1:4" x14ac:dyDescent="0.2">
      <c r="A1267" s="5">
        <v>1206</v>
      </c>
      <c r="B1267" s="1820">
        <f>'Expenditures 15-22'!H139</f>
        <v>0</v>
      </c>
      <c r="C1267" s="2" t="s">
        <v>569</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569</v>
      </c>
      <c r="D1272" s="2" t="str">
        <f t="shared" si="18"/>
        <v>Error?</v>
      </c>
    </row>
    <row r="1273" spans="1:4" x14ac:dyDescent="0.2">
      <c r="A1273" s="5">
        <v>1212</v>
      </c>
      <c r="B1273" s="1820">
        <f>'Expenditures 15-22'!H151</f>
        <v>0</v>
      </c>
      <c r="C1273" s="2" t="s">
        <v>569</v>
      </c>
      <c r="D1273" s="2" t="str">
        <f t="shared" si="18"/>
        <v>Error?</v>
      </c>
    </row>
    <row r="1274" spans="1:4" x14ac:dyDescent="0.2">
      <c r="A1274" s="5">
        <v>1213</v>
      </c>
      <c r="B1274" s="1820">
        <f>'Expenditures 15-22'!K122</f>
        <v>0</v>
      </c>
      <c r="C1274" s="2" t="s">
        <v>569</v>
      </c>
      <c r="D1274" s="2" t="str">
        <f t="shared" si="18"/>
        <v>Error?</v>
      </c>
    </row>
    <row r="1275" spans="1:4" x14ac:dyDescent="0.2">
      <c r="A1275" s="5">
        <v>1214</v>
      </c>
      <c r="B1275" s="1820">
        <f>'Expenditures 15-22'!K123</f>
        <v>23907</v>
      </c>
      <c r="C1275" s="2" t="s">
        <v>569</v>
      </c>
      <c r="D1275" s="2" t="str">
        <f t="shared" si="18"/>
        <v>Error?</v>
      </c>
    </row>
    <row r="1276" spans="1:4" x14ac:dyDescent="0.2">
      <c r="A1276" s="5">
        <v>1215</v>
      </c>
      <c r="B1276" s="1820">
        <f>'Expenditures 15-22'!K124</f>
        <v>1587336</v>
      </c>
      <c r="C1276" s="2" t="s">
        <v>569</v>
      </c>
      <c r="D1276" s="2" t="str">
        <f t="shared" si="18"/>
        <v>Error?</v>
      </c>
    </row>
    <row r="1277" spans="1:4" x14ac:dyDescent="0.2">
      <c r="A1277" s="5">
        <v>1216</v>
      </c>
      <c r="B1277" s="1820">
        <f>'Expenditures 15-22'!K126</f>
        <v>0</v>
      </c>
      <c r="C1277" s="2" t="s">
        <v>569</v>
      </c>
      <c r="D1277" s="2" t="str">
        <f t="shared" si="18"/>
        <v>Error?</v>
      </c>
    </row>
    <row r="1278" spans="1:4" x14ac:dyDescent="0.2">
      <c r="A1278" s="10">
        <v>1217</v>
      </c>
      <c r="B1278" s="1820"/>
      <c r="D1278" s="2" t="str">
        <f t="shared" si="18"/>
        <v>OK</v>
      </c>
    </row>
    <row r="1279" spans="1:4" x14ac:dyDescent="0.2">
      <c r="A1279" s="5">
        <v>1218</v>
      </c>
      <c r="B1279" s="1820">
        <f>'Expenditures 15-22'!K127</f>
        <v>1611243</v>
      </c>
      <c r="C1279" s="2" t="s">
        <v>569</v>
      </c>
      <c r="D1279" s="2" t="str">
        <f t="shared" ref="D1279:D1342" si="19">IF(ISBLANK(B1279),"OK",IF(A1279-B1279=0,"OK","Error?"))</f>
        <v>Error?</v>
      </c>
    </row>
    <row r="1280" spans="1:4" x14ac:dyDescent="0.2">
      <c r="A1280" s="5">
        <v>1219</v>
      </c>
      <c r="B1280" s="1820">
        <f>'Expenditures 15-22'!K128</f>
        <v>0</v>
      </c>
      <c r="C1280" s="2" t="s">
        <v>569</v>
      </c>
      <c r="D1280" s="2" t="str">
        <f t="shared" si="19"/>
        <v>Error?</v>
      </c>
    </row>
    <row r="1281" spans="1:4" x14ac:dyDescent="0.2">
      <c r="A1281" s="5">
        <v>1220</v>
      </c>
      <c r="B1281" s="1820">
        <f>'Expenditures 15-22'!K129</f>
        <v>1611243</v>
      </c>
      <c r="C1281" s="2" t="s">
        <v>569</v>
      </c>
      <c r="D1281" s="2" t="str">
        <f t="shared" si="19"/>
        <v>Error?</v>
      </c>
    </row>
    <row r="1282" spans="1:4" x14ac:dyDescent="0.2">
      <c r="A1282" s="5">
        <v>1221</v>
      </c>
      <c r="B1282" s="1820">
        <f>'Expenditures 15-22'!K139</f>
        <v>0</v>
      </c>
      <c r="C1282" s="2" t="s">
        <v>569</v>
      </c>
      <c r="D1282" s="2" t="str">
        <f t="shared" si="19"/>
        <v>Error?</v>
      </c>
    </row>
    <row r="1283" spans="1:4" x14ac:dyDescent="0.2">
      <c r="A1283" s="5">
        <v>1222</v>
      </c>
      <c r="B1283" s="1820">
        <f>'Expenditures 15-22'!K142</f>
        <v>0</v>
      </c>
      <c r="C1283" s="2" t="s">
        <v>569</v>
      </c>
      <c r="D1283" s="2" t="str">
        <f t="shared" si="19"/>
        <v>Error?</v>
      </c>
    </row>
    <row r="1284" spans="1:4" x14ac:dyDescent="0.2">
      <c r="A1284" s="5">
        <v>1223</v>
      </c>
      <c r="B1284" s="1820">
        <f>'Expenditures 15-22'!K143</f>
        <v>0</v>
      </c>
      <c r="C1284" s="2" t="s">
        <v>569</v>
      </c>
      <c r="D1284" s="2" t="str">
        <f t="shared" si="19"/>
        <v>Error?</v>
      </c>
    </row>
    <row r="1285" spans="1:4" x14ac:dyDescent="0.2">
      <c r="A1285" s="5">
        <v>1224</v>
      </c>
      <c r="B1285" s="1820">
        <f>'Expenditures 15-22'!K146</f>
        <v>0</v>
      </c>
      <c r="C1285" s="2" t="s">
        <v>569</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569</v>
      </c>
      <c r="D1287" s="2" t="str">
        <f t="shared" si="19"/>
        <v>Error?</v>
      </c>
    </row>
    <row r="1288" spans="1:4" x14ac:dyDescent="0.2">
      <c r="A1288" s="5">
        <v>1227</v>
      </c>
      <c r="B1288" s="1820">
        <f>'Expenditures 15-22'!K151</f>
        <v>1611243</v>
      </c>
      <c r="C1288" s="2" t="s">
        <v>569</v>
      </c>
      <c r="D1288" s="2" t="str">
        <f t="shared" si="19"/>
        <v>Error?</v>
      </c>
    </row>
    <row r="1289" spans="1:4" x14ac:dyDescent="0.2">
      <c r="A1289" s="5">
        <v>1228</v>
      </c>
      <c r="B1289" s="1820">
        <f>'Expenditures 15-22'!K152</f>
        <v>-199553</v>
      </c>
      <c r="C1289" s="2" t="s">
        <v>569</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853</v>
      </c>
      <c r="D1307" s="2" t="str">
        <f t="shared" si="19"/>
        <v>Error?</v>
      </c>
    </row>
    <row r="1308" spans="1:4" x14ac:dyDescent="0.2">
      <c r="A1308" s="5">
        <v>1247</v>
      </c>
      <c r="B1308" s="1820">
        <f>'Expenditures 15-22'!E172</f>
        <v>853</v>
      </c>
      <c r="C1308" s="2" t="s">
        <v>569</v>
      </c>
      <c r="D1308" s="2" t="str">
        <f t="shared" si="19"/>
        <v>Error?</v>
      </c>
    </row>
    <row r="1309" spans="1:4" x14ac:dyDescent="0.2">
      <c r="A1309" s="5">
        <v>1248</v>
      </c>
      <c r="B1309" s="1820">
        <f>'Expenditures 15-22'!E174</f>
        <v>853</v>
      </c>
      <c r="C1309" s="2" t="s">
        <v>569</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436615</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569</v>
      </c>
      <c r="D1314" s="2" t="str">
        <f t="shared" si="19"/>
        <v>Error?</v>
      </c>
    </row>
    <row r="1315" spans="1:4" x14ac:dyDescent="0.2">
      <c r="A1315" s="5">
        <v>1254</v>
      </c>
      <c r="B1315" s="1820">
        <f>'Expenditures 15-22'!H170</f>
        <v>771260</v>
      </c>
      <c r="D1315" s="2" t="str">
        <f t="shared" si="19"/>
        <v>Error?</v>
      </c>
    </row>
    <row r="1316" spans="1:4" x14ac:dyDescent="0.2">
      <c r="A1316" s="5">
        <v>1255</v>
      </c>
      <c r="B1316" s="1820">
        <f>'Expenditures 15-22'!H171</f>
        <v>0</v>
      </c>
      <c r="D1316" s="2" t="str">
        <f t="shared" si="19"/>
        <v>Error?</v>
      </c>
    </row>
    <row r="1317" spans="1:4" x14ac:dyDescent="0.2">
      <c r="A1317" s="5">
        <v>1256</v>
      </c>
      <c r="B1317" s="1820">
        <f>'Expenditures 15-22'!H172</f>
        <v>1207875</v>
      </c>
      <c r="C1317" s="2" t="s">
        <v>569</v>
      </c>
      <c r="D1317" s="2" t="str">
        <f t="shared" si="19"/>
        <v>Error?</v>
      </c>
    </row>
    <row r="1318" spans="1:4" x14ac:dyDescent="0.2">
      <c r="A1318" s="5">
        <v>1257</v>
      </c>
      <c r="B1318" s="1820">
        <f>'Expenditures 15-22'!H174</f>
        <v>1207875</v>
      </c>
      <c r="C1318" s="2" t="s">
        <v>569</v>
      </c>
      <c r="D1318" s="2" t="str">
        <f t="shared" si="19"/>
        <v>Error?</v>
      </c>
    </row>
    <row r="1319" spans="1:4" x14ac:dyDescent="0.2">
      <c r="A1319" s="10">
        <v>1258</v>
      </c>
      <c r="B1319" s="1820"/>
      <c r="C1319" s="2" t="s">
        <v>569</v>
      </c>
      <c r="D1319" s="2" t="str">
        <f t="shared" si="19"/>
        <v>OK</v>
      </c>
    </row>
    <row r="1320" spans="1:4" x14ac:dyDescent="0.2">
      <c r="A1320" s="10">
        <v>1259</v>
      </c>
      <c r="B1320" s="1820"/>
      <c r="D1320" s="2" t="str">
        <f t="shared" si="19"/>
        <v>OK</v>
      </c>
    </row>
    <row r="1321" spans="1:4" x14ac:dyDescent="0.2">
      <c r="A1321" s="10">
        <v>1260</v>
      </c>
      <c r="B1321" s="1820"/>
      <c r="C1321" s="2" t="s">
        <v>569</v>
      </c>
      <c r="D1321" s="2" t="str">
        <f t="shared" si="19"/>
        <v>OK</v>
      </c>
    </row>
    <row r="1322" spans="1:4" x14ac:dyDescent="0.2">
      <c r="A1322" s="10">
        <v>1261</v>
      </c>
      <c r="B1322" s="1820"/>
      <c r="C1322" s="2" t="s">
        <v>569</v>
      </c>
      <c r="D1322" s="2" t="str">
        <f t="shared" si="19"/>
        <v>OK</v>
      </c>
    </row>
    <row r="1323" spans="1:4" x14ac:dyDescent="0.2">
      <c r="A1323" s="5">
        <v>1262</v>
      </c>
      <c r="B1323" s="1820">
        <f>'Expenditures 15-22'!K160</f>
        <v>0</v>
      </c>
      <c r="C1323" s="2" t="s">
        <v>569</v>
      </c>
      <c r="D1323" s="2" t="str">
        <f t="shared" si="19"/>
        <v>Error?</v>
      </c>
    </row>
    <row r="1324" spans="1:4" x14ac:dyDescent="0.2">
      <c r="A1324" s="5">
        <v>1263</v>
      </c>
      <c r="B1324" s="1820">
        <f>'Expenditures 15-22'!K163</f>
        <v>0</v>
      </c>
      <c r="C1324" s="2" t="s">
        <v>569</v>
      </c>
      <c r="D1324" s="2" t="str">
        <f t="shared" si="19"/>
        <v>Error?</v>
      </c>
    </row>
    <row r="1325" spans="1:4" x14ac:dyDescent="0.2">
      <c r="A1325" s="5">
        <v>1264</v>
      </c>
      <c r="B1325" s="1820">
        <f>'Expenditures 15-22'!K164</f>
        <v>0</v>
      </c>
      <c r="C1325" s="2" t="s">
        <v>569</v>
      </c>
      <c r="D1325" s="2" t="str">
        <f t="shared" si="19"/>
        <v>Error?</v>
      </c>
    </row>
    <row r="1326" spans="1:4" x14ac:dyDescent="0.2">
      <c r="A1326" s="5">
        <v>1265</v>
      </c>
      <c r="B1326" s="1820">
        <f>'Expenditures 15-22'!K169</f>
        <v>436615</v>
      </c>
      <c r="C1326" s="2" t="s">
        <v>569</v>
      </c>
      <c r="D1326" s="2" t="str">
        <f t="shared" si="19"/>
        <v>Error?</v>
      </c>
    </row>
    <row r="1327" spans="1:4" x14ac:dyDescent="0.2">
      <c r="A1327" s="5">
        <v>1266</v>
      </c>
      <c r="B1327" s="1820">
        <f>'Expenditures 15-22'!K167</f>
        <v>0</v>
      </c>
      <c r="C1327" s="2" t="s">
        <v>569</v>
      </c>
      <c r="D1327" s="2" t="str">
        <f t="shared" si="19"/>
        <v>Error?</v>
      </c>
    </row>
    <row r="1328" spans="1:4" x14ac:dyDescent="0.2">
      <c r="A1328" s="5">
        <v>1267</v>
      </c>
      <c r="B1328" s="1820">
        <f>'Expenditures 15-22'!K168</f>
        <v>0</v>
      </c>
      <c r="C1328" s="2" t="s">
        <v>569</v>
      </c>
      <c r="D1328" s="2" t="str">
        <f t="shared" si="19"/>
        <v>Error?</v>
      </c>
    </row>
    <row r="1329" spans="1:4" x14ac:dyDescent="0.2">
      <c r="A1329" s="5">
        <v>1268</v>
      </c>
      <c r="B1329" s="1820">
        <f>'Expenditures 15-22'!K170</f>
        <v>771260</v>
      </c>
      <c r="C1329" s="2" t="s">
        <v>569</v>
      </c>
      <c r="D1329" s="2" t="str">
        <f t="shared" si="19"/>
        <v>Error?</v>
      </c>
    </row>
    <row r="1330" spans="1:4" x14ac:dyDescent="0.2">
      <c r="A1330" s="5">
        <v>1269</v>
      </c>
      <c r="B1330" s="1820">
        <f>'Expenditures 15-22'!K171</f>
        <v>853</v>
      </c>
      <c r="C1330" s="2" t="s">
        <v>569</v>
      </c>
      <c r="D1330" s="2" t="str">
        <f t="shared" si="19"/>
        <v>Error?</v>
      </c>
    </row>
    <row r="1331" spans="1:4" x14ac:dyDescent="0.2">
      <c r="A1331" s="5">
        <v>1270</v>
      </c>
      <c r="B1331" s="1820">
        <f>'Expenditures 15-22'!K172</f>
        <v>1208728</v>
      </c>
      <c r="C1331" s="2" t="s">
        <v>569</v>
      </c>
      <c r="D1331" s="2" t="str">
        <f t="shared" si="19"/>
        <v>Error?</v>
      </c>
    </row>
    <row r="1332" spans="1:4" x14ac:dyDescent="0.2">
      <c r="A1332" s="5">
        <v>1271</v>
      </c>
      <c r="B1332" s="1820">
        <f>'Expenditures 15-22'!K174</f>
        <v>1208728</v>
      </c>
      <c r="C1332" s="2" t="s">
        <v>569</v>
      </c>
      <c r="D1332" s="2" t="str">
        <f t="shared" si="19"/>
        <v>Error?</v>
      </c>
    </row>
    <row r="1333" spans="1:4" x14ac:dyDescent="0.2">
      <c r="A1333" s="5">
        <v>1272</v>
      </c>
      <c r="B1333" s="1820">
        <f>'Expenditures 15-22'!K175</f>
        <v>-126644</v>
      </c>
      <c r="C1333" s="2" t="s">
        <v>569</v>
      </c>
      <c r="D1333" s="2" t="str">
        <f t="shared" si="19"/>
        <v>Error?</v>
      </c>
    </row>
    <row r="1334" spans="1:4" x14ac:dyDescent="0.2">
      <c r="A1334" s="10">
        <v>1273</v>
      </c>
      <c r="B1334" s="1820"/>
      <c r="D1334" s="2" t="str">
        <f t="shared" si="19"/>
        <v>OK</v>
      </c>
    </row>
    <row r="1335" spans="1:4" x14ac:dyDescent="0.2">
      <c r="A1335" s="5">
        <v>1274</v>
      </c>
      <c r="B1335" s="1820">
        <f>'Expenditures 15-22'!C182</f>
        <v>0</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0</v>
      </c>
      <c r="C1339" s="2" t="s">
        <v>569</v>
      </c>
      <c r="D1339" s="2" t="str">
        <f t="shared" si="19"/>
        <v>Error?</v>
      </c>
    </row>
    <row r="1340" spans="1:4" x14ac:dyDescent="0.2">
      <c r="A1340" s="5">
        <v>1279</v>
      </c>
      <c r="B1340" s="1820">
        <f>'Expenditures 15-22'!C210</f>
        <v>0</v>
      </c>
      <c r="C1340" s="2" t="s">
        <v>569</v>
      </c>
      <c r="D1340" s="2" t="str">
        <f t="shared" si="19"/>
        <v>Error?</v>
      </c>
    </row>
    <row r="1341" spans="1:4" x14ac:dyDescent="0.2">
      <c r="A1341" s="5">
        <v>1280</v>
      </c>
      <c r="B1341" s="1820">
        <f>'Expenditures 15-22'!D182</f>
        <v>0</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0</v>
      </c>
      <c r="C1345" s="2" t="s">
        <v>569</v>
      </c>
      <c r="D1345" s="2" t="str">
        <f t="shared" si="20"/>
        <v>Error?</v>
      </c>
    </row>
    <row r="1346" spans="1:4" x14ac:dyDescent="0.2">
      <c r="A1346" s="5">
        <v>1285</v>
      </c>
      <c r="B1346" s="1820">
        <f>'Expenditures 15-22'!D210</f>
        <v>0</v>
      </c>
      <c r="C1346" s="2" t="s">
        <v>569</v>
      </c>
      <c r="D1346" s="2" t="str">
        <f t="shared" si="20"/>
        <v>Error?</v>
      </c>
    </row>
    <row r="1347" spans="1:4" x14ac:dyDescent="0.2">
      <c r="A1347" s="5">
        <v>1286</v>
      </c>
      <c r="B1347" s="1820">
        <f>'Expenditures 15-22'!E182</f>
        <v>1109062</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1109062</v>
      </c>
      <c r="C1351" s="2" t="s">
        <v>569</v>
      </c>
      <c r="D1351" s="2" t="str">
        <f t="shared" si="20"/>
        <v>Error?</v>
      </c>
    </row>
    <row r="1352" spans="1:4" x14ac:dyDescent="0.2">
      <c r="A1352" s="5">
        <v>1291</v>
      </c>
      <c r="B1352" s="1820">
        <f>'Expenditures 15-22'!E196</f>
        <v>0</v>
      </c>
      <c r="C1352" s="2" t="s">
        <v>569</v>
      </c>
      <c r="D1352" s="2" t="str">
        <f t="shared" si="20"/>
        <v>Error?</v>
      </c>
    </row>
    <row r="1353" spans="1:4" x14ac:dyDescent="0.2">
      <c r="A1353" s="5">
        <v>1292</v>
      </c>
      <c r="B1353" s="1820">
        <f>'Expenditures 15-22'!E210</f>
        <v>1109062</v>
      </c>
      <c r="C1353" s="2" t="s">
        <v>569</v>
      </c>
      <c r="D1353" s="2" t="str">
        <f t="shared" si="20"/>
        <v>Error?</v>
      </c>
    </row>
    <row r="1354" spans="1:4" x14ac:dyDescent="0.2">
      <c r="A1354" s="5">
        <v>1293</v>
      </c>
      <c r="B1354" s="1820">
        <f>'Expenditures 15-22'!F182</f>
        <v>0</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0</v>
      </c>
      <c r="C1358" s="2" t="s">
        <v>569</v>
      </c>
      <c r="D1358" s="2" t="str">
        <f t="shared" si="20"/>
        <v>Error?</v>
      </c>
    </row>
    <row r="1359" spans="1:4" x14ac:dyDescent="0.2">
      <c r="A1359" s="5">
        <v>1298</v>
      </c>
      <c r="B1359" s="1820">
        <f>'Expenditures 15-22'!F210</f>
        <v>0</v>
      </c>
      <c r="C1359" s="2" t="s">
        <v>569</v>
      </c>
      <c r="D1359" s="2" t="str">
        <f t="shared" si="20"/>
        <v>Error?</v>
      </c>
    </row>
    <row r="1360" spans="1:4" x14ac:dyDescent="0.2">
      <c r="A1360" s="5">
        <v>1299</v>
      </c>
      <c r="B1360" s="1820">
        <f>'Expenditures 15-22'!G182</f>
        <v>0</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0</v>
      </c>
      <c r="C1364" s="2" t="s">
        <v>569</v>
      </c>
      <c r="D1364" s="2" t="str">
        <f t="shared" si="20"/>
        <v>Error?</v>
      </c>
    </row>
    <row r="1365" spans="1:4" x14ac:dyDescent="0.2">
      <c r="A1365" s="5">
        <v>1304</v>
      </c>
      <c r="B1365" s="1820">
        <f>'Expenditures 15-22'!G210</f>
        <v>0</v>
      </c>
      <c r="C1365" s="2" t="s">
        <v>569</v>
      </c>
      <c r="D1365" s="2" t="str">
        <f t="shared" si="20"/>
        <v>Error?</v>
      </c>
    </row>
    <row r="1366" spans="1:4" x14ac:dyDescent="0.2">
      <c r="A1366" s="5">
        <v>1305</v>
      </c>
      <c r="B1366" s="1820">
        <f>'Expenditures 15-22'!H182</f>
        <v>0</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0</v>
      </c>
      <c r="C1370" s="2" t="s">
        <v>569</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569</v>
      </c>
      <c r="D1375" s="2" t="str">
        <f t="shared" si="20"/>
        <v>Error?</v>
      </c>
    </row>
    <row r="1376" spans="1:4" x14ac:dyDescent="0.2">
      <c r="A1376" s="5">
        <v>1315</v>
      </c>
      <c r="B1376" s="1820">
        <f>'Expenditures 15-22'!H210</f>
        <v>0</v>
      </c>
      <c r="C1376" s="2" t="s">
        <v>569</v>
      </c>
      <c r="D1376" s="2" t="str">
        <f t="shared" si="20"/>
        <v>Error?</v>
      </c>
    </row>
    <row r="1377" spans="1:4" x14ac:dyDescent="0.2">
      <c r="A1377" s="5">
        <v>1316</v>
      </c>
      <c r="B1377" s="1820">
        <f>'Expenditures 15-22'!K182</f>
        <v>1109062</v>
      </c>
      <c r="C1377" s="2" t="s">
        <v>569</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569</v>
      </c>
      <c r="D1380" s="2" t="str">
        <f t="shared" si="20"/>
        <v>Error?</v>
      </c>
    </row>
    <row r="1381" spans="1:4" x14ac:dyDescent="0.2">
      <c r="A1381" s="5">
        <v>1320</v>
      </c>
      <c r="B1381" s="1820">
        <f>'Expenditures 15-22'!K184</f>
        <v>1109062</v>
      </c>
      <c r="C1381" s="2" t="s">
        <v>569</v>
      </c>
      <c r="D1381" s="2" t="str">
        <f t="shared" si="20"/>
        <v>Error?</v>
      </c>
    </row>
    <row r="1382" spans="1:4" x14ac:dyDescent="0.2">
      <c r="A1382" s="5">
        <v>1321</v>
      </c>
      <c r="B1382" s="1820">
        <f>'Expenditures 15-22'!K196</f>
        <v>0</v>
      </c>
      <c r="C1382" s="2" t="s">
        <v>569</v>
      </c>
      <c r="D1382" s="2" t="str">
        <f t="shared" si="20"/>
        <v>Error?</v>
      </c>
    </row>
    <row r="1383" spans="1:4" x14ac:dyDescent="0.2">
      <c r="A1383" s="5">
        <v>1322</v>
      </c>
      <c r="B1383" s="1820">
        <f>'Expenditures 15-22'!K199</f>
        <v>0</v>
      </c>
      <c r="C1383" s="2" t="s">
        <v>569</v>
      </c>
      <c r="D1383" s="2" t="str">
        <f t="shared" si="20"/>
        <v>Error?</v>
      </c>
    </row>
    <row r="1384" spans="1:4" x14ac:dyDescent="0.2">
      <c r="A1384" s="5">
        <v>1323</v>
      </c>
      <c r="B1384" s="1820">
        <f>'Expenditures 15-22'!K200</f>
        <v>0</v>
      </c>
      <c r="C1384" s="2" t="s">
        <v>569</v>
      </c>
      <c r="D1384" s="2" t="str">
        <f t="shared" si="20"/>
        <v>Error?</v>
      </c>
    </row>
    <row r="1385" spans="1:4" x14ac:dyDescent="0.2">
      <c r="A1385" s="5">
        <v>1324</v>
      </c>
      <c r="B1385" s="1820">
        <f>'Expenditures 15-22'!K203</f>
        <v>0</v>
      </c>
      <c r="C1385" s="2" t="s">
        <v>569</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569</v>
      </c>
      <c r="D1387" s="2" t="str">
        <f t="shared" si="20"/>
        <v>Error?</v>
      </c>
    </row>
    <row r="1388" spans="1:4" x14ac:dyDescent="0.2">
      <c r="A1388" s="5">
        <v>1327</v>
      </c>
      <c r="B1388" s="1820">
        <f>'Expenditures 15-22'!K210</f>
        <v>1109062</v>
      </c>
      <c r="C1388" s="2" t="s">
        <v>569</v>
      </c>
      <c r="D1388" s="2" t="str">
        <f t="shared" si="20"/>
        <v>Error?</v>
      </c>
    </row>
    <row r="1389" spans="1:4" x14ac:dyDescent="0.2">
      <c r="A1389" s="5">
        <v>1328</v>
      </c>
      <c r="B1389" s="1820">
        <f>'Expenditures 15-22'!K211</f>
        <v>645077</v>
      </c>
      <c r="C1389" s="2" t="s">
        <v>569</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0</v>
      </c>
      <c r="D1407" s="2" t="str">
        <f t="shared" ref="D1407:D1470" si="21">IF(ISBLANK(B1407),"OK",IF(A1407-B1407=0,"OK","Error?"))</f>
        <v>Error?</v>
      </c>
    </row>
    <row r="1408" spans="1:4" x14ac:dyDescent="0.2">
      <c r="A1408" s="5">
        <v>1347</v>
      </c>
      <c r="B1408" s="1820">
        <f>'Expenditures 15-22'!D223</f>
        <v>4201</v>
      </c>
      <c r="D1408" s="2" t="str">
        <f t="shared" si="21"/>
        <v>Error?</v>
      </c>
    </row>
    <row r="1409" spans="1:4" x14ac:dyDescent="0.2">
      <c r="A1409" s="5">
        <v>1348</v>
      </c>
      <c r="B1409" s="1820">
        <f>'Expenditures 15-22'!D224</f>
        <v>0</v>
      </c>
      <c r="D1409" s="2" t="str">
        <f t="shared" si="21"/>
        <v>Error?</v>
      </c>
    </row>
    <row r="1410" spans="1:4" x14ac:dyDescent="0.2">
      <c r="A1410" s="5">
        <v>1349</v>
      </c>
      <c r="B1410" s="1820">
        <f>'Expenditures 15-22'!D229</f>
        <v>97218</v>
      </c>
      <c r="C1410" s="2" t="s">
        <v>569</v>
      </c>
      <c r="D1410" s="2" t="str">
        <f t="shared" si="21"/>
        <v>Error?</v>
      </c>
    </row>
    <row r="1411" spans="1:4" x14ac:dyDescent="0.2">
      <c r="A1411" s="5">
        <v>1350</v>
      </c>
      <c r="B1411" s="1820">
        <f>'Expenditures 15-22'!D232</f>
        <v>0</v>
      </c>
      <c r="D1411" s="2" t="str">
        <f t="shared" si="21"/>
        <v>Error?</v>
      </c>
    </row>
    <row r="1412" spans="1:4" x14ac:dyDescent="0.2">
      <c r="A1412" s="5">
        <v>1351</v>
      </c>
      <c r="B1412" s="1820">
        <f>'Expenditures 15-22'!D233</f>
        <v>997</v>
      </c>
      <c r="D1412" s="2" t="str">
        <f t="shared" si="21"/>
        <v>Error?</v>
      </c>
    </row>
    <row r="1413" spans="1:4" x14ac:dyDescent="0.2">
      <c r="A1413" s="5">
        <v>1352</v>
      </c>
      <c r="B1413" s="1820">
        <f>'Expenditures 15-22'!D234</f>
        <v>8989</v>
      </c>
      <c r="D1413" s="2" t="str">
        <f t="shared" si="21"/>
        <v>Error?</v>
      </c>
    </row>
    <row r="1414" spans="1:4" x14ac:dyDescent="0.2">
      <c r="A1414" s="5">
        <v>1353</v>
      </c>
      <c r="B1414" s="1820">
        <f>'Expenditures 15-22'!D235</f>
        <v>0</v>
      </c>
      <c r="D1414" s="2" t="str">
        <f t="shared" si="21"/>
        <v>Error?</v>
      </c>
    </row>
    <row r="1415" spans="1:4" x14ac:dyDescent="0.2">
      <c r="A1415" s="5">
        <v>1354</v>
      </c>
      <c r="B1415" s="1820">
        <f>'Expenditures 15-22'!D236</f>
        <v>6013</v>
      </c>
      <c r="D1415" s="2" t="str">
        <f t="shared" si="21"/>
        <v>Error?</v>
      </c>
    </row>
    <row r="1416" spans="1:4" x14ac:dyDescent="0.2">
      <c r="A1416" s="5">
        <v>1355</v>
      </c>
      <c r="B1416" s="1820">
        <f>'Expenditures 15-22'!D237</f>
        <v>6448</v>
      </c>
      <c r="D1416" s="2" t="str">
        <f t="shared" si="21"/>
        <v>Error?</v>
      </c>
    </row>
    <row r="1417" spans="1:4" x14ac:dyDescent="0.2">
      <c r="A1417" s="5">
        <v>1356</v>
      </c>
      <c r="B1417" s="1820">
        <f>'Expenditures 15-22'!D238</f>
        <v>22447</v>
      </c>
      <c r="C1417" s="2" t="s">
        <v>569</v>
      </c>
      <c r="D1417" s="2" t="str">
        <f t="shared" si="21"/>
        <v>Error?</v>
      </c>
    </row>
    <row r="1418" spans="1:4" x14ac:dyDescent="0.2">
      <c r="A1418" s="5">
        <v>1357</v>
      </c>
      <c r="B1418" s="1820">
        <f>'Expenditures 15-22'!D240</f>
        <v>839</v>
      </c>
      <c r="D1418" s="2" t="str">
        <f t="shared" si="21"/>
        <v>Error?</v>
      </c>
    </row>
    <row r="1419" spans="1:4" x14ac:dyDescent="0.2">
      <c r="A1419" s="5">
        <v>1358</v>
      </c>
      <c r="B1419" s="1820">
        <f>'Expenditures 15-22'!D241</f>
        <v>31707</v>
      </c>
      <c r="D1419" s="2" t="str">
        <f t="shared" si="21"/>
        <v>Error?</v>
      </c>
    </row>
    <row r="1420" spans="1:4" x14ac:dyDescent="0.2">
      <c r="A1420" s="5">
        <v>1359</v>
      </c>
      <c r="B1420" s="1820">
        <f>'Expenditures 15-22'!D242</f>
        <v>4693</v>
      </c>
      <c r="D1420" s="2" t="str">
        <f t="shared" si="21"/>
        <v>Error?</v>
      </c>
    </row>
    <row r="1421" spans="1:4" x14ac:dyDescent="0.2">
      <c r="A1421" s="5">
        <v>1360</v>
      </c>
      <c r="B1421" s="1820">
        <f>'Expenditures 15-22'!D243</f>
        <v>37239</v>
      </c>
      <c r="C1421" s="2" t="s">
        <v>569</v>
      </c>
      <c r="D1421" s="2" t="str">
        <f t="shared" si="21"/>
        <v>Error?</v>
      </c>
    </row>
    <row r="1422" spans="1:4" x14ac:dyDescent="0.2">
      <c r="A1422" s="5">
        <v>1361</v>
      </c>
      <c r="B1422" s="1820">
        <f>'Expenditures 15-22'!D245</f>
        <v>1406</v>
      </c>
      <c r="D1422" s="2" t="str">
        <f t="shared" si="21"/>
        <v>Error?</v>
      </c>
    </row>
    <row r="1423" spans="1:4" x14ac:dyDescent="0.2">
      <c r="A1423" s="5">
        <v>1362</v>
      </c>
      <c r="B1423" s="1820">
        <f>'Expenditures 15-22'!D246</f>
        <v>18056</v>
      </c>
      <c r="D1423" s="2" t="str">
        <f t="shared" si="21"/>
        <v>Error?</v>
      </c>
    </row>
    <row r="1424" spans="1:4" x14ac:dyDescent="0.2">
      <c r="A1424" s="5">
        <v>1363</v>
      </c>
      <c r="B1424" s="1820">
        <f>'Expenditures 15-22'!D257</f>
        <v>30525</v>
      </c>
      <c r="C1424" s="2" t="s">
        <v>569</v>
      </c>
      <c r="D1424" s="2" t="str">
        <f t="shared" si="21"/>
        <v>Error?</v>
      </c>
    </row>
    <row r="1425" spans="1:4" x14ac:dyDescent="0.2">
      <c r="A1425" s="5">
        <v>1364</v>
      </c>
      <c r="B1425" s="1820">
        <f>'Expenditures 15-22'!D259</f>
        <v>28185</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28185</v>
      </c>
      <c r="C1427" s="2" t="s">
        <v>569</v>
      </c>
      <c r="D1427" s="2" t="str">
        <f t="shared" si="21"/>
        <v>Error?</v>
      </c>
    </row>
    <row r="1428" spans="1:4" x14ac:dyDescent="0.2">
      <c r="A1428" s="5">
        <v>1367</v>
      </c>
      <c r="B1428" s="1820">
        <f>'Expenditures 15-22'!D263</f>
        <v>19199</v>
      </c>
      <c r="D1428" s="2" t="str">
        <f t="shared" si="21"/>
        <v>Error?</v>
      </c>
    </row>
    <row r="1429" spans="1:4" x14ac:dyDescent="0.2">
      <c r="A1429" s="5">
        <v>1368</v>
      </c>
      <c r="B1429" s="1820">
        <f>'Expenditures 15-22'!D264</f>
        <v>0</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48819</v>
      </c>
      <c r="D1431" s="2" t="str">
        <f t="shared" si="21"/>
        <v>Error?</v>
      </c>
    </row>
    <row r="1432" spans="1:4" x14ac:dyDescent="0.2">
      <c r="A1432" s="5">
        <v>1371</v>
      </c>
      <c r="B1432" s="1820">
        <f>'Expenditures 15-22'!D267</f>
        <v>0</v>
      </c>
      <c r="D1432" s="2" t="str">
        <f t="shared" si="21"/>
        <v>Error?</v>
      </c>
    </row>
    <row r="1433" spans="1:4" x14ac:dyDescent="0.2">
      <c r="A1433" s="5">
        <v>1372</v>
      </c>
      <c r="B1433" s="1820">
        <f>'Expenditures 15-22'!D268</f>
        <v>5896</v>
      </c>
      <c r="D1433" s="2" t="str">
        <f t="shared" si="21"/>
        <v>Error?</v>
      </c>
    </row>
    <row r="1434" spans="1:4" x14ac:dyDescent="0.2">
      <c r="A1434" s="5">
        <v>1373</v>
      </c>
      <c r="B1434" s="1820">
        <f>'Expenditures 15-22'!D269</f>
        <v>0</v>
      </c>
      <c r="D1434" s="2" t="str">
        <f t="shared" si="21"/>
        <v>Error?</v>
      </c>
    </row>
    <row r="1435" spans="1:4" x14ac:dyDescent="0.2">
      <c r="A1435" s="10">
        <v>1374</v>
      </c>
      <c r="B1435" s="1820"/>
      <c r="D1435" s="2" t="str">
        <f t="shared" si="21"/>
        <v>OK</v>
      </c>
    </row>
    <row r="1436" spans="1:4" x14ac:dyDescent="0.2">
      <c r="A1436" s="5">
        <v>1375</v>
      </c>
      <c r="B1436" s="1820">
        <f>'Expenditures 15-22'!D270</f>
        <v>73914</v>
      </c>
      <c r="C1436" s="2" t="s">
        <v>569</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0</v>
      </c>
      <c r="D1440" s="2" t="str">
        <f t="shared" si="21"/>
        <v>Error?</v>
      </c>
    </row>
    <row r="1441" spans="1:4" x14ac:dyDescent="0.2">
      <c r="A1441" s="10">
        <v>1380</v>
      </c>
      <c r="B1441" s="1820"/>
      <c r="D1441" s="2" t="str">
        <f t="shared" si="21"/>
        <v>OK</v>
      </c>
    </row>
    <row r="1442" spans="1:4" x14ac:dyDescent="0.2">
      <c r="A1442" s="5">
        <v>1381</v>
      </c>
      <c r="B1442" s="1820">
        <f>'Expenditures 15-22'!D276</f>
        <v>0</v>
      </c>
      <c r="D1442" s="2" t="str">
        <f t="shared" si="21"/>
        <v>Error?</v>
      </c>
    </row>
    <row r="1443" spans="1:4" x14ac:dyDescent="0.2">
      <c r="A1443" s="10">
        <v>1382</v>
      </c>
      <c r="B1443" s="1820"/>
      <c r="D1443" s="2" t="str">
        <f t="shared" si="21"/>
        <v>OK</v>
      </c>
    </row>
    <row r="1444" spans="1:4" x14ac:dyDescent="0.2">
      <c r="A1444" s="5">
        <v>1383</v>
      </c>
      <c r="B1444" s="1820">
        <f>'Expenditures 15-22'!D277</f>
        <v>0</v>
      </c>
      <c r="C1444" s="2" t="s">
        <v>569</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192310</v>
      </c>
      <c r="C1446" s="2" t="s">
        <v>569</v>
      </c>
      <c r="D1446" s="2" t="str">
        <f t="shared" si="21"/>
        <v>Error?</v>
      </c>
    </row>
    <row r="1447" spans="1:4" x14ac:dyDescent="0.2">
      <c r="A1447" s="5">
        <v>1386</v>
      </c>
      <c r="B1447" s="1820">
        <f>'Expenditures 15-22'!D280</f>
        <v>0</v>
      </c>
      <c r="D1447" s="2" t="str">
        <f t="shared" si="21"/>
        <v>Error?</v>
      </c>
    </row>
    <row r="1448" spans="1:4" x14ac:dyDescent="0.2">
      <c r="A1448" s="5">
        <v>1387</v>
      </c>
      <c r="B1448" s="1820">
        <f>'Expenditures 15-22'!D295</f>
        <v>289528</v>
      </c>
      <c r="C1448" s="2" t="s">
        <v>569</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569</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569</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569</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569</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569</v>
      </c>
      <c r="D1470" s="2" t="str">
        <f t="shared" si="21"/>
        <v>Error?</v>
      </c>
    </row>
    <row r="1471" spans="1:4" x14ac:dyDescent="0.2">
      <c r="A1471" s="5">
        <v>1410</v>
      </c>
      <c r="B1471" s="1820">
        <f>'Expenditures 15-22'!K222</f>
        <v>0</v>
      </c>
      <c r="C1471" s="2" t="s">
        <v>569</v>
      </c>
      <c r="D1471" s="2" t="str">
        <f t="shared" ref="D1471:D1534" si="22">IF(ISBLANK(B1471),"OK",IF(A1471-B1471=0,"OK","Error?"))</f>
        <v>Error?</v>
      </c>
    </row>
    <row r="1472" spans="1:4" x14ac:dyDescent="0.2">
      <c r="A1472" s="5">
        <v>1411</v>
      </c>
      <c r="B1472" s="1820">
        <f>'Expenditures 15-22'!K223</f>
        <v>4201</v>
      </c>
      <c r="C1472" s="2" t="s">
        <v>569</v>
      </c>
      <c r="D1472" s="2" t="str">
        <f t="shared" si="22"/>
        <v>Error?</v>
      </c>
    </row>
    <row r="1473" spans="1:4" x14ac:dyDescent="0.2">
      <c r="A1473" s="5">
        <v>1412</v>
      </c>
      <c r="B1473" s="1820">
        <f>'Expenditures 15-22'!K224</f>
        <v>0</v>
      </c>
      <c r="C1473" s="2" t="s">
        <v>569</v>
      </c>
      <c r="D1473" s="2" t="str">
        <f t="shared" si="22"/>
        <v>Error?</v>
      </c>
    </row>
    <row r="1474" spans="1:4" x14ac:dyDescent="0.2">
      <c r="A1474" s="5">
        <v>1413</v>
      </c>
      <c r="B1474" s="1820">
        <f>'Expenditures 15-22'!K229</f>
        <v>97218</v>
      </c>
      <c r="C1474" s="2" t="s">
        <v>569</v>
      </c>
      <c r="D1474" s="2" t="str">
        <f t="shared" si="22"/>
        <v>Error?</v>
      </c>
    </row>
    <row r="1475" spans="1:4" x14ac:dyDescent="0.2">
      <c r="A1475" s="5">
        <v>1414</v>
      </c>
      <c r="B1475" s="1820">
        <f>'Expenditures 15-22'!K232</f>
        <v>0</v>
      </c>
      <c r="C1475" s="2" t="s">
        <v>569</v>
      </c>
      <c r="D1475" s="2" t="str">
        <f t="shared" si="22"/>
        <v>Error?</v>
      </c>
    </row>
    <row r="1476" spans="1:4" x14ac:dyDescent="0.2">
      <c r="A1476" s="5">
        <v>1415</v>
      </c>
      <c r="B1476" s="1820">
        <f>'Expenditures 15-22'!K233</f>
        <v>997</v>
      </c>
      <c r="C1476" s="2" t="s">
        <v>569</v>
      </c>
      <c r="D1476" s="2" t="str">
        <f t="shared" si="22"/>
        <v>Error?</v>
      </c>
    </row>
    <row r="1477" spans="1:4" x14ac:dyDescent="0.2">
      <c r="A1477" s="5">
        <v>1416</v>
      </c>
      <c r="B1477" s="1820">
        <f>'Expenditures 15-22'!K234</f>
        <v>8989</v>
      </c>
      <c r="C1477" s="2" t="s">
        <v>569</v>
      </c>
      <c r="D1477" s="2" t="str">
        <f t="shared" si="22"/>
        <v>Error?</v>
      </c>
    </row>
    <row r="1478" spans="1:4" x14ac:dyDescent="0.2">
      <c r="A1478" s="5">
        <v>1417</v>
      </c>
      <c r="B1478" s="1820">
        <f>'Expenditures 15-22'!K235</f>
        <v>0</v>
      </c>
      <c r="C1478" s="2" t="s">
        <v>569</v>
      </c>
      <c r="D1478" s="2" t="str">
        <f t="shared" si="22"/>
        <v>Error?</v>
      </c>
    </row>
    <row r="1479" spans="1:4" x14ac:dyDescent="0.2">
      <c r="A1479" s="5">
        <v>1418</v>
      </c>
      <c r="B1479" s="1820">
        <f>'Expenditures 15-22'!K236</f>
        <v>6013</v>
      </c>
      <c r="C1479" s="2" t="s">
        <v>569</v>
      </c>
      <c r="D1479" s="2" t="str">
        <f t="shared" si="22"/>
        <v>Error?</v>
      </c>
    </row>
    <row r="1480" spans="1:4" x14ac:dyDescent="0.2">
      <c r="A1480" s="5">
        <v>1419</v>
      </c>
      <c r="B1480" s="1820">
        <f>'Expenditures 15-22'!K237</f>
        <v>6448</v>
      </c>
      <c r="C1480" s="2" t="s">
        <v>569</v>
      </c>
      <c r="D1480" s="2" t="str">
        <f t="shared" si="22"/>
        <v>Error?</v>
      </c>
    </row>
    <row r="1481" spans="1:4" x14ac:dyDescent="0.2">
      <c r="A1481" s="5">
        <v>1420</v>
      </c>
      <c r="B1481" s="1820">
        <f>'Expenditures 15-22'!K238</f>
        <v>22447</v>
      </c>
      <c r="C1481" s="2" t="s">
        <v>569</v>
      </c>
      <c r="D1481" s="2" t="str">
        <f t="shared" si="22"/>
        <v>Error?</v>
      </c>
    </row>
    <row r="1482" spans="1:4" x14ac:dyDescent="0.2">
      <c r="A1482" s="5">
        <v>1421</v>
      </c>
      <c r="B1482" s="1820">
        <f>'Expenditures 15-22'!K240</f>
        <v>839</v>
      </c>
      <c r="C1482" s="2" t="s">
        <v>569</v>
      </c>
      <c r="D1482" s="2" t="str">
        <f t="shared" si="22"/>
        <v>Error?</v>
      </c>
    </row>
    <row r="1483" spans="1:4" x14ac:dyDescent="0.2">
      <c r="A1483" s="5">
        <v>1422</v>
      </c>
      <c r="B1483" s="1820">
        <f>'Expenditures 15-22'!K241</f>
        <v>31707</v>
      </c>
      <c r="C1483" s="2" t="s">
        <v>569</v>
      </c>
      <c r="D1483" s="2" t="str">
        <f t="shared" si="22"/>
        <v>Error?</v>
      </c>
    </row>
    <row r="1484" spans="1:4" x14ac:dyDescent="0.2">
      <c r="A1484" s="5">
        <v>1423</v>
      </c>
      <c r="B1484" s="1820">
        <f>'Expenditures 15-22'!K242</f>
        <v>4693</v>
      </c>
      <c r="C1484" s="2" t="s">
        <v>569</v>
      </c>
      <c r="D1484" s="2" t="str">
        <f t="shared" si="22"/>
        <v>Error?</v>
      </c>
    </row>
    <row r="1485" spans="1:4" x14ac:dyDescent="0.2">
      <c r="A1485" s="5">
        <v>1424</v>
      </c>
      <c r="B1485" s="1820">
        <f>'Expenditures 15-22'!K243</f>
        <v>37239</v>
      </c>
      <c r="C1485" s="2" t="s">
        <v>569</v>
      </c>
      <c r="D1485" s="2" t="str">
        <f t="shared" si="22"/>
        <v>Error?</v>
      </c>
    </row>
    <row r="1486" spans="1:4" x14ac:dyDescent="0.2">
      <c r="A1486" s="5">
        <v>1425</v>
      </c>
      <c r="B1486" s="1820">
        <f>'Expenditures 15-22'!K245</f>
        <v>1406</v>
      </c>
      <c r="C1486" s="2" t="s">
        <v>569</v>
      </c>
      <c r="D1486" s="2" t="str">
        <f t="shared" si="22"/>
        <v>Error?</v>
      </c>
    </row>
    <row r="1487" spans="1:4" x14ac:dyDescent="0.2">
      <c r="A1487" s="5">
        <v>1426</v>
      </c>
      <c r="B1487" s="1820">
        <f>'Expenditures 15-22'!K246</f>
        <v>18056</v>
      </c>
      <c r="C1487" s="2" t="s">
        <v>569</v>
      </c>
      <c r="D1487" s="2" t="str">
        <f t="shared" si="22"/>
        <v>Error?</v>
      </c>
    </row>
    <row r="1488" spans="1:4" x14ac:dyDescent="0.2">
      <c r="A1488" s="5">
        <v>1427</v>
      </c>
      <c r="B1488" s="1820">
        <f>'Expenditures 15-22'!K257</f>
        <v>30525</v>
      </c>
      <c r="C1488" s="2" t="s">
        <v>569</v>
      </c>
      <c r="D1488" s="2" t="str">
        <f t="shared" si="22"/>
        <v>Error?</v>
      </c>
    </row>
    <row r="1489" spans="1:4" x14ac:dyDescent="0.2">
      <c r="A1489" s="5">
        <v>1428</v>
      </c>
      <c r="B1489" s="1820">
        <f>'Expenditures 15-22'!K259</f>
        <v>28185</v>
      </c>
      <c r="C1489" s="2" t="s">
        <v>569</v>
      </c>
      <c r="D1489" s="2" t="str">
        <f t="shared" si="22"/>
        <v>Error?</v>
      </c>
    </row>
    <row r="1490" spans="1:4" x14ac:dyDescent="0.2">
      <c r="A1490" s="5">
        <v>1429</v>
      </c>
      <c r="B1490" s="1820">
        <f>'Expenditures 15-22'!K260</f>
        <v>0</v>
      </c>
      <c r="C1490" s="2" t="s">
        <v>569</v>
      </c>
      <c r="D1490" s="2" t="str">
        <f t="shared" si="22"/>
        <v>Error?</v>
      </c>
    </row>
    <row r="1491" spans="1:4" x14ac:dyDescent="0.2">
      <c r="A1491" s="5">
        <v>1430</v>
      </c>
      <c r="B1491" s="1820">
        <f>'Expenditures 15-22'!K261</f>
        <v>28185</v>
      </c>
      <c r="C1491" s="2" t="s">
        <v>569</v>
      </c>
      <c r="D1491" s="2" t="str">
        <f t="shared" si="22"/>
        <v>Error?</v>
      </c>
    </row>
    <row r="1492" spans="1:4" x14ac:dyDescent="0.2">
      <c r="A1492" s="5">
        <v>1431</v>
      </c>
      <c r="B1492" s="1820">
        <f>'Expenditures 15-22'!K263</f>
        <v>19199</v>
      </c>
      <c r="C1492" s="2" t="s">
        <v>569</v>
      </c>
      <c r="D1492" s="2" t="str">
        <f t="shared" si="22"/>
        <v>Error?</v>
      </c>
    </row>
    <row r="1493" spans="1:4" x14ac:dyDescent="0.2">
      <c r="A1493" s="5">
        <v>1432</v>
      </c>
      <c r="B1493" s="1820">
        <f>'Expenditures 15-22'!K264</f>
        <v>0</v>
      </c>
      <c r="C1493" s="2" t="s">
        <v>569</v>
      </c>
      <c r="D1493" s="2" t="str">
        <f t="shared" si="22"/>
        <v>Error?</v>
      </c>
    </row>
    <row r="1494" spans="1:4" x14ac:dyDescent="0.2">
      <c r="A1494" s="5">
        <v>1433</v>
      </c>
      <c r="B1494" s="1820">
        <f>'Expenditures 15-22'!K265</f>
        <v>0</v>
      </c>
      <c r="C1494" s="2" t="s">
        <v>569</v>
      </c>
      <c r="D1494" s="2" t="str">
        <f t="shared" si="22"/>
        <v>Error?</v>
      </c>
    </row>
    <row r="1495" spans="1:4" x14ac:dyDescent="0.2">
      <c r="A1495" s="5">
        <v>1434</v>
      </c>
      <c r="B1495" s="1820">
        <f>'Expenditures 15-22'!K266</f>
        <v>48819</v>
      </c>
      <c r="C1495" s="2" t="s">
        <v>569</v>
      </c>
      <c r="D1495" s="2" t="str">
        <f t="shared" si="22"/>
        <v>Error?</v>
      </c>
    </row>
    <row r="1496" spans="1:4" x14ac:dyDescent="0.2">
      <c r="A1496" s="5">
        <v>1435</v>
      </c>
      <c r="B1496" s="1820">
        <f>'Expenditures 15-22'!K267</f>
        <v>0</v>
      </c>
      <c r="C1496" s="2" t="s">
        <v>569</v>
      </c>
      <c r="D1496" s="2" t="str">
        <f t="shared" si="22"/>
        <v>Error?</v>
      </c>
    </row>
    <row r="1497" spans="1:4" x14ac:dyDescent="0.2">
      <c r="A1497" s="5">
        <v>1436</v>
      </c>
      <c r="B1497" s="1820">
        <f>'Expenditures 15-22'!K268</f>
        <v>5896</v>
      </c>
      <c r="C1497" s="2" t="s">
        <v>569</v>
      </c>
      <c r="D1497" s="2" t="str">
        <f t="shared" si="22"/>
        <v>Error?</v>
      </c>
    </row>
    <row r="1498" spans="1:4" x14ac:dyDescent="0.2">
      <c r="A1498" s="5">
        <v>1437</v>
      </c>
      <c r="B1498" s="1820">
        <f>'Expenditures 15-22'!K269</f>
        <v>0</v>
      </c>
      <c r="C1498" s="2" t="s">
        <v>569</v>
      </c>
      <c r="D1498" s="2" t="str">
        <f t="shared" si="22"/>
        <v>Error?</v>
      </c>
    </row>
    <row r="1499" spans="1:4" x14ac:dyDescent="0.2">
      <c r="A1499" s="10">
        <v>1438</v>
      </c>
      <c r="B1499" s="1820"/>
      <c r="D1499" s="2" t="str">
        <f t="shared" si="22"/>
        <v>OK</v>
      </c>
    </row>
    <row r="1500" spans="1:4" x14ac:dyDescent="0.2">
      <c r="A1500" s="5">
        <v>1439</v>
      </c>
      <c r="B1500" s="1820">
        <f>'Expenditures 15-22'!K270</f>
        <v>73914</v>
      </c>
      <c r="C1500" s="2" t="s">
        <v>569</v>
      </c>
      <c r="D1500" s="2" t="str">
        <f t="shared" si="22"/>
        <v>Error?</v>
      </c>
    </row>
    <row r="1501" spans="1:4" x14ac:dyDescent="0.2">
      <c r="A1501" s="5">
        <v>1440</v>
      </c>
      <c r="B1501" s="1820">
        <f>'Expenditures 15-22'!K272</f>
        <v>0</v>
      </c>
      <c r="C1501" s="2" t="s">
        <v>569</v>
      </c>
      <c r="D1501" s="2" t="str">
        <f t="shared" si="22"/>
        <v>Error?</v>
      </c>
    </row>
    <row r="1502" spans="1:4" x14ac:dyDescent="0.2">
      <c r="A1502" s="5">
        <v>1441</v>
      </c>
      <c r="B1502" s="1820">
        <f>'Expenditures 15-22'!K273</f>
        <v>0</v>
      </c>
      <c r="C1502" s="2" t="s">
        <v>569</v>
      </c>
      <c r="D1502" s="2" t="str">
        <f t="shared" si="22"/>
        <v>Error?</v>
      </c>
    </row>
    <row r="1503" spans="1:4" x14ac:dyDescent="0.2">
      <c r="A1503" s="5">
        <v>1442</v>
      </c>
      <c r="B1503" s="1820">
        <f>'Expenditures 15-22'!K274</f>
        <v>0</v>
      </c>
      <c r="C1503" s="2" t="s">
        <v>569</v>
      </c>
      <c r="D1503" s="2" t="str">
        <f t="shared" si="22"/>
        <v>Error?</v>
      </c>
    </row>
    <row r="1504" spans="1:4" x14ac:dyDescent="0.2">
      <c r="A1504" s="5">
        <v>1443</v>
      </c>
      <c r="B1504" s="1820">
        <f>'Expenditures 15-22'!K275</f>
        <v>0</v>
      </c>
      <c r="C1504" s="2" t="s">
        <v>569</v>
      </c>
      <c r="D1504" s="2" t="str">
        <f t="shared" si="22"/>
        <v>Error?</v>
      </c>
    </row>
    <row r="1505" spans="1:4" x14ac:dyDescent="0.2">
      <c r="A1505" s="10">
        <v>1444</v>
      </c>
      <c r="B1505" s="1820"/>
      <c r="D1505" s="2" t="str">
        <f t="shared" si="22"/>
        <v>OK</v>
      </c>
    </row>
    <row r="1506" spans="1:4" x14ac:dyDescent="0.2">
      <c r="A1506" s="5">
        <v>1445</v>
      </c>
      <c r="B1506" s="1820">
        <f>'Expenditures 15-22'!K276</f>
        <v>0</v>
      </c>
      <c r="C1506" s="2" t="s">
        <v>569</v>
      </c>
      <c r="D1506" s="2" t="str">
        <f t="shared" si="22"/>
        <v>Error?</v>
      </c>
    </row>
    <row r="1507" spans="1:4" x14ac:dyDescent="0.2">
      <c r="A1507" s="10">
        <v>1446</v>
      </c>
      <c r="B1507" s="1820"/>
      <c r="D1507" s="2" t="str">
        <f t="shared" si="22"/>
        <v>OK</v>
      </c>
    </row>
    <row r="1508" spans="1:4" x14ac:dyDescent="0.2">
      <c r="A1508" s="5">
        <v>1447</v>
      </c>
      <c r="B1508" s="1820">
        <f>'Expenditures 15-22'!K277</f>
        <v>0</v>
      </c>
      <c r="C1508" s="2" t="s">
        <v>569</v>
      </c>
      <c r="D1508" s="2" t="str">
        <f t="shared" si="22"/>
        <v>Error?</v>
      </c>
    </row>
    <row r="1509" spans="1:4" x14ac:dyDescent="0.2">
      <c r="A1509" s="5">
        <v>1448</v>
      </c>
      <c r="B1509" s="1820">
        <f>'Expenditures 15-22'!K278</f>
        <v>0</v>
      </c>
      <c r="C1509" s="2" t="s">
        <v>569</v>
      </c>
      <c r="D1509" s="2" t="str">
        <f t="shared" si="22"/>
        <v>Error?</v>
      </c>
    </row>
    <row r="1510" spans="1:4" x14ac:dyDescent="0.2">
      <c r="A1510" s="5">
        <v>1449</v>
      </c>
      <c r="B1510" s="1820">
        <f>'Expenditures 15-22'!K279</f>
        <v>192310</v>
      </c>
      <c r="C1510" s="2" t="s">
        <v>569</v>
      </c>
      <c r="D1510" s="2" t="str">
        <f t="shared" si="22"/>
        <v>Error?</v>
      </c>
    </row>
    <row r="1511" spans="1:4" x14ac:dyDescent="0.2">
      <c r="A1511" s="5">
        <v>1450</v>
      </c>
      <c r="B1511" s="1820">
        <f>'Expenditures 15-22'!K280</f>
        <v>0</v>
      </c>
      <c r="C1511" s="2" t="s">
        <v>569</v>
      </c>
      <c r="D1511" s="2" t="str">
        <f t="shared" si="22"/>
        <v>Error?</v>
      </c>
    </row>
    <row r="1512" spans="1:4" x14ac:dyDescent="0.2">
      <c r="A1512" s="5">
        <v>1451</v>
      </c>
      <c r="B1512" s="1820">
        <f>'Expenditures 15-22'!K288</f>
        <v>0</v>
      </c>
      <c r="C1512" s="2" t="s">
        <v>569</v>
      </c>
      <c r="D1512" s="2" t="str">
        <f t="shared" si="22"/>
        <v>Error?</v>
      </c>
    </row>
    <row r="1513" spans="1:4" x14ac:dyDescent="0.2">
      <c r="A1513" s="5">
        <v>1452</v>
      </c>
      <c r="B1513" s="1820">
        <f>'Expenditures 15-22'!K289</f>
        <v>0</v>
      </c>
      <c r="C1513" s="2" t="s">
        <v>569</v>
      </c>
      <c r="D1513" s="2" t="str">
        <f t="shared" si="22"/>
        <v>Error?</v>
      </c>
    </row>
    <row r="1514" spans="1:4" x14ac:dyDescent="0.2">
      <c r="A1514" s="5">
        <v>1453</v>
      </c>
      <c r="B1514" s="1820">
        <f>'Expenditures 15-22'!K292</f>
        <v>0</v>
      </c>
      <c r="C1514" s="2" t="s">
        <v>569</v>
      </c>
      <c r="D1514" s="2" t="str">
        <f t="shared" si="22"/>
        <v>Error?</v>
      </c>
    </row>
    <row r="1515" spans="1:4" x14ac:dyDescent="0.2">
      <c r="A1515" s="5">
        <v>1454</v>
      </c>
      <c r="B1515" s="1820">
        <f>'Expenditures 15-22'!K293</f>
        <v>0</v>
      </c>
      <c r="C1515" s="2" t="s">
        <v>569</v>
      </c>
      <c r="D1515" s="2" t="str">
        <f t="shared" si="22"/>
        <v>Error?</v>
      </c>
    </row>
    <row r="1516" spans="1:4" x14ac:dyDescent="0.2">
      <c r="A1516" s="10">
        <v>1455</v>
      </c>
      <c r="B1516" s="1820"/>
      <c r="D1516" s="2" t="str">
        <f t="shared" si="22"/>
        <v>OK</v>
      </c>
    </row>
    <row r="1517" spans="1:4" x14ac:dyDescent="0.2">
      <c r="A1517" s="5">
        <v>1456</v>
      </c>
      <c r="B1517" s="1820">
        <f>'Expenditures 15-22'!K295</f>
        <v>289528</v>
      </c>
      <c r="C1517" s="2" t="s">
        <v>569</v>
      </c>
      <c r="D1517" s="2" t="str">
        <f t="shared" si="22"/>
        <v>Error?</v>
      </c>
    </row>
    <row r="1518" spans="1:4" x14ac:dyDescent="0.2">
      <c r="A1518" s="5">
        <v>1457</v>
      </c>
      <c r="B1518" s="1820">
        <f>'Expenditures 15-22'!K296</f>
        <v>-155473</v>
      </c>
      <c r="C1518" s="2" t="s">
        <v>569</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569</v>
      </c>
      <c r="D1523" s="2" t="str">
        <f t="shared" si="22"/>
        <v>Error?</v>
      </c>
    </row>
    <row r="1524" spans="1:4" x14ac:dyDescent="0.2">
      <c r="A1524" s="5">
        <v>1463</v>
      </c>
      <c r="B1524" s="1820">
        <f>'Expenditures 15-22'!C312</f>
        <v>0</v>
      </c>
      <c r="C1524" s="2" t="s">
        <v>569</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569</v>
      </c>
      <c r="D1529" s="2" t="str">
        <f t="shared" si="22"/>
        <v>Error?</v>
      </c>
    </row>
    <row r="1530" spans="1:4" x14ac:dyDescent="0.2">
      <c r="A1530" s="5">
        <v>1469</v>
      </c>
      <c r="B1530" s="1820">
        <f>'Expenditures 15-22'!D312</f>
        <v>0</v>
      </c>
      <c r="C1530" s="2" t="s">
        <v>569</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569</v>
      </c>
      <c r="D1535" s="2" t="str">
        <f t="shared" ref="D1535:D1598" si="23">IF(ISBLANK(B1535),"OK",IF(A1535-B1535=0,"OK","Error?"))</f>
        <v>Error?</v>
      </c>
    </row>
    <row r="1536" spans="1:4" x14ac:dyDescent="0.2">
      <c r="A1536" s="5">
        <v>1475</v>
      </c>
      <c r="B1536" s="1820">
        <f>'Expenditures 15-22'!E312</f>
        <v>0</v>
      </c>
      <c r="C1536" s="2" t="s">
        <v>569</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569</v>
      </c>
      <c r="D1541" s="2" t="str">
        <f t="shared" si="23"/>
        <v>Error?</v>
      </c>
    </row>
    <row r="1542" spans="1:4" x14ac:dyDescent="0.2">
      <c r="A1542" s="5">
        <v>1481</v>
      </c>
      <c r="B1542" s="1820">
        <f>'Expenditures 15-22'!F312</f>
        <v>0</v>
      </c>
      <c r="C1542" s="2" t="s">
        <v>569</v>
      </c>
      <c r="D1542" s="2" t="str">
        <f t="shared" si="23"/>
        <v>Error?</v>
      </c>
    </row>
    <row r="1543" spans="1:4" x14ac:dyDescent="0.2">
      <c r="A1543" s="5">
        <v>1482</v>
      </c>
      <c r="B1543" s="1820">
        <f>'Expenditures 15-22'!G301</f>
        <v>0</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0</v>
      </c>
      <c r="C1547" s="2" t="s">
        <v>569</v>
      </c>
      <c r="D1547" s="2" t="str">
        <f t="shared" si="23"/>
        <v>Error?</v>
      </c>
    </row>
    <row r="1548" spans="1:4" x14ac:dyDescent="0.2">
      <c r="A1548" s="5">
        <v>1487</v>
      </c>
      <c r="B1548" s="1820">
        <f>'Expenditures 15-22'!G312</f>
        <v>0</v>
      </c>
      <c r="C1548" s="2" t="s">
        <v>569</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569</v>
      </c>
      <c r="D1553" s="2" t="str">
        <f t="shared" si="23"/>
        <v>Error?</v>
      </c>
    </row>
    <row r="1554" spans="1:4" x14ac:dyDescent="0.2">
      <c r="A1554" s="5">
        <v>1493</v>
      </c>
      <c r="B1554" s="1820">
        <f>'Expenditures 15-22'!H312</f>
        <v>0</v>
      </c>
      <c r="C1554" s="2" t="s">
        <v>569</v>
      </c>
      <c r="D1554" s="2" t="str">
        <f t="shared" si="23"/>
        <v>Error?</v>
      </c>
    </row>
    <row r="1555" spans="1:4" x14ac:dyDescent="0.2">
      <c r="A1555" s="5">
        <v>1494</v>
      </c>
      <c r="B1555" s="1820">
        <f>'Expenditures 15-22'!K301</f>
        <v>0</v>
      </c>
      <c r="C1555" s="2" t="s">
        <v>569</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569</v>
      </c>
      <c r="D1558" s="2" t="str">
        <f t="shared" si="23"/>
        <v>Error?</v>
      </c>
    </row>
    <row r="1559" spans="1:4" x14ac:dyDescent="0.2">
      <c r="A1559" s="5">
        <v>1498</v>
      </c>
      <c r="B1559" s="1820">
        <f>'Expenditures 15-22'!K303</f>
        <v>0</v>
      </c>
      <c r="C1559" s="2" t="s">
        <v>569</v>
      </c>
      <c r="D1559" s="2" t="str">
        <f t="shared" si="23"/>
        <v>Error?</v>
      </c>
    </row>
    <row r="1560" spans="1:4" x14ac:dyDescent="0.2">
      <c r="A1560" s="5">
        <v>1499</v>
      </c>
      <c r="B1560" s="1820">
        <f>'Expenditures 15-22'!K312</f>
        <v>0</v>
      </c>
      <c r="C1560" s="2" t="s">
        <v>569</v>
      </c>
      <c r="D1560" s="2" t="str">
        <f t="shared" si="23"/>
        <v>Error?</v>
      </c>
    </row>
    <row r="1561" spans="1:4" x14ac:dyDescent="0.2">
      <c r="A1561" s="5">
        <v>1500</v>
      </c>
      <c r="B1561" s="1820">
        <f>'Expenditures 15-22'!K313</f>
        <v>15</v>
      </c>
      <c r="C1561" s="2" t="s">
        <v>569</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569</v>
      </c>
      <c r="D1569" s="2" t="str">
        <f t="shared" si="23"/>
        <v>OK</v>
      </c>
    </row>
    <row r="1570" spans="1:4" x14ac:dyDescent="0.2">
      <c r="A1570" s="10">
        <v>1509</v>
      </c>
      <c r="B1570" s="1820"/>
      <c r="C1570" s="2" t="s">
        <v>569</v>
      </c>
      <c r="D1570" s="2" t="str">
        <f t="shared" si="23"/>
        <v>OK</v>
      </c>
    </row>
    <row r="1571" spans="1:4" x14ac:dyDescent="0.2">
      <c r="A1571" s="10">
        <v>1510</v>
      </c>
      <c r="B1571" s="1820"/>
      <c r="D1571" s="2" t="str">
        <f t="shared" si="23"/>
        <v>OK</v>
      </c>
    </row>
    <row r="1572" spans="1:4" x14ac:dyDescent="0.2">
      <c r="A1572" s="10">
        <v>1511</v>
      </c>
      <c r="B1572" s="1820"/>
      <c r="C1572" s="2" t="s">
        <v>569</v>
      </c>
      <c r="D1572" s="2" t="str">
        <f t="shared" si="23"/>
        <v>OK</v>
      </c>
    </row>
    <row r="1573" spans="1:4" x14ac:dyDescent="0.2">
      <c r="A1573" s="10">
        <v>1512</v>
      </c>
      <c r="B1573" s="1820"/>
      <c r="C1573" s="2" t="s">
        <v>569</v>
      </c>
      <c r="D1573" s="2" t="str">
        <f t="shared" si="23"/>
        <v>OK</v>
      </c>
    </row>
    <row r="1574" spans="1:4" x14ac:dyDescent="0.2">
      <c r="A1574" s="10">
        <v>1513</v>
      </c>
      <c r="B1574" s="1820"/>
      <c r="C1574" s="2" t="s">
        <v>569</v>
      </c>
      <c r="D1574" s="2" t="str">
        <f t="shared" si="23"/>
        <v>OK</v>
      </c>
    </row>
    <row r="1575" spans="1:4" x14ac:dyDescent="0.2">
      <c r="A1575" s="10">
        <v>1514</v>
      </c>
      <c r="B1575" s="1820"/>
      <c r="C1575" s="2" t="s">
        <v>569</v>
      </c>
      <c r="D1575" s="2" t="str">
        <f t="shared" si="23"/>
        <v>OK</v>
      </c>
    </row>
    <row r="1576" spans="1:4" x14ac:dyDescent="0.2">
      <c r="A1576" s="10">
        <v>1515</v>
      </c>
      <c r="B1576" s="1820"/>
      <c r="C1576" s="2" t="s">
        <v>569</v>
      </c>
      <c r="D1576" s="2" t="str">
        <f t="shared" si="23"/>
        <v>OK</v>
      </c>
    </row>
    <row r="1577" spans="1:4" x14ac:dyDescent="0.2">
      <c r="A1577" s="10">
        <v>1516</v>
      </c>
      <c r="B1577" s="1820"/>
      <c r="C1577" s="2" t="s">
        <v>569</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4053303</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5754112</v>
      </c>
      <c r="C1630" s="2" t="s">
        <v>569</v>
      </c>
      <c r="D1630" s="2" t="str">
        <f t="shared" si="24"/>
        <v>Error?</v>
      </c>
    </row>
    <row r="1631" spans="1:4" x14ac:dyDescent="0.2">
      <c r="A1631" s="5">
        <v>1570</v>
      </c>
      <c r="B1631" s="1820">
        <f>'Acct Summary 7-8'!D79</f>
        <v>217922</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18369</v>
      </c>
      <c r="C1644" s="2" t="s">
        <v>569</v>
      </c>
      <c r="D1644" s="2" t="str">
        <f t="shared" si="24"/>
        <v>Error?</v>
      </c>
    </row>
    <row r="1645" spans="1:4" x14ac:dyDescent="0.2">
      <c r="A1645" s="5">
        <v>1584</v>
      </c>
      <c r="B1645" s="1820">
        <f>'Acct Summary 7-8'!E79</f>
        <v>-327292</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-453936</v>
      </c>
      <c r="C1658" s="2" t="s">
        <v>569</v>
      </c>
      <c r="D1658" s="2" t="str">
        <f t="shared" si="24"/>
        <v>Error?</v>
      </c>
    </row>
    <row r="1659" spans="1:4" x14ac:dyDescent="0.2">
      <c r="A1659" s="5">
        <v>1598</v>
      </c>
      <c r="B1659" s="1820">
        <f>'Acct Summary 7-8'!F79</f>
        <v>1199650</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1844727</v>
      </c>
      <c r="C1672" s="2" t="s">
        <v>569</v>
      </c>
      <c r="D1672" s="2" t="str">
        <f t="shared" si="25"/>
        <v>Error?</v>
      </c>
    </row>
    <row r="1673" spans="1:4" x14ac:dyDescent="0.2">
      <c r="A1673" s="5">
        <v>1612</v>
      </c>
      <c r="B1673" s="1820">
        <f>'Acct Summary 7-8'!G79</f>
        <v>2797293</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2641820</v>
      </c>
      <c r="C1686" s="2" t="s">
        <v>569</v>
      </c>
      <c r="D1686" s="2" t="str">
        <f t="shared" si="25"/>
        <v>Error?</v>
      </c>
    </row>
    <row r="1687" spans="1:4" x14ac:dyDescent="0.2">
      <c r="A1687" s="5">
        <v>1626</v>
      </c>
      <c r="B1687" s="1820">
        <f>'Acct Summary 7-8'!H79</f>
        <v>890</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905</v>
      </c>
      <c r="C1700" s="2" t="s">
        <v>569</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569</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3481575</v>
      </c>
      <c r="C1744" s="2" t="s">
        <v>569</v>
      </c>
      <c r="D1744" s="2" t="str">
        <f t="shared" si="26"/>
        <v>Error?</v>
      </c>
    </row>
    <row r="1745" spans="1:5" x14ac:dyDescent="0.2">
      <c r="A1745" s="5">
        <v>1684</v>
      </c>
      <c r="B1745" s="1820">
        <f>'Tax Sched 23'!B5</f>
        <v>366430</v>
      </c>
      <c r="C1745" s="2" t="s">
        <v>569</v>
      </c>
      <c r="D1745" s="2" t="str">
        <f t="shared" si="26"/>
        <v>Error?</v>
      </c>
    </row>
    <row r="1746" spans="1:5" x14ac:dyDescent="0.2">
      <c r="A1746" s="5">
        <v>1685</v>
      </c>
      <c r="B1746" s="1820">
        <f>'Tax Sched 23'!B6</f>
        <v>1081778</v>
      </c>
      <c r="C1746" s="2" t="s">
        <v>569</v>
      </c>
      <c r="D1746" s="2" t="str">
        <f t="shared" si="26"/>
        <v>Error?</v>
      </c>
    </row>
    <row r="1747" spans="1:5" x14ac:dyDescent="0.2">
      <c r="A1747" s="5">
        <v>1686</v>
      </c>
      <c r="B1747" s="1820">
        <f>'Tax Sched 23'!B7</f>
        <v>954209</v>
      </c>
      <c r="C1747" s="2" t="s">
        <v>569</v>
      </c>
      <c r="D1747" s="2" t="str">
        <f t="shared" si="26"/>
        <v>Error?</v>
      </c>
    </row>
    <row r="1748" spans="1:5" x14ac:dyDescent="0.2">
      <c r="A1748" s="5">
        <v>1687</v>
      </c>
      <c r="B1748" s="1820">
        <f>'Tax Sched 23'!B8</f>
        <v>44076</v>
      </c>
      <c r="C1748" s="2" t="s">
        <v>569</v>
      </c>
      <c r="D1748" s="2" t="str">
        <f t="shared" si="26"/>
        <v>Error?</v>
      </c>
    </row>
    <row r="1749" spans="1:5" x14ac:dyDescent="0.2">
      <c r="A1749" s="5">
        <v>1688</v>
      </c>
      <c r="B1749" s="1820">
        <f>'Tax Sched 23'!B10</f>
        <v>33578</v>
      </c>
      <c r="C1749" s="2" t="s">
        <v>569</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569</v>
      </c>
      <c r="D1751" s="2" t="str">
        <f t="shared" si="26"/>
        <v>Error?</v>
      </c>
    </row>
    <row r="1752" spans="1:5" x14ac:dyDescent="0.2">
      <c r="A1752" s="5">
        <v>1691</v>
      </c>
      <c r="B1752" s="1820">
        <f>'Tax Sched 23'!B11</f>
        <v>42050</v>
      </c>
      <c r="C1752" s="2" t="s">
        <v>569</v>
      </c>
      <c r="D1752" s="2" t="str">
        <f t="shared" si="26"/>
        <v>Error?</v>
      </c>
    </row>
    <row r="1753" spans="1:5" x14ac:dyDescent="0.2">
      <c r="A1753" s="5">
        <v>1692</v>
      </c>
      <c r="B1753" s="1820">
        <f>'Tax Sched 23'!B12</f>
        <v>-2271</v>
      </c>
      <c r="C1753" s="2" t="s">
        <v>569</v>
      </c>
      <c r="D1753" s="2" t="str">
        <f t="shared" si="26"/>
        <v>Error?</v>
      </c>
    </row>
    <row r="1754" spans="1:5" x14ac:dyDescent="0.2">
      <c r="A1754" s="5">
        <v>1693</v>
      </c>
      <c r="B1754" s="1820">
        <f>'Tax Sched 23'!B14</f>
        <v>-10960</v>
      </c>
      <c r="C1754" s="2" t="s">
        <v>569</v>
      </c>
      <c r="D1754" s="2" t="str">
        <f t="shared" si="26"/>
        <v>Error?</v>
      </c>
    </row>
    <row r="1755" spans="1:5" x14ac:dyDescent="0.2">
      <c r="A1755" s="10">
        <v>1694</v>
      </c>
      <c r="B1755" s="1820"/>
      <c r="D1755" s="2" t="str">
        <f t="shared" si="26"/>
        <v>OK</v>
      </c>
    </row>
    <row r="1756" spans="1:5" x14ac:dyDescent="0.2">
      <c r="A1756" s="5">
        <v>1695</v>
      </c>
      <c r="B1756" s="1820">
        <f>'Tax Sched 23'!B15</f>
        <v>0</v>
      </c>
      <c r="C1756" s="2" t="s">
        <v>569</v>
      </c>
      <c r="D1756" s="2" t="str">
        <f t="shared" si="26"/>
        <v>Error?</v>
      </c>
    </row>
    <row r="1757" spans="1:5" x14ac:dyDescent="0.2">
      <c r="A1757" s="10">
        <v>1696</v>
      </c>
      <c r="B1757" s="1820"/>
      <c r="C1757" s="2" t="s">
        <v>569</v>
      </c>
      <c r="D1757" s="2" t="str">
        <f t="shared" si="26"/>
        <v>OK</v>
      </c>
    </row>
    <row r="1758" spans="1:5" x14ac:dyDescent="0.2">
      <c r="A1758" s="10">
        <v>1697</v>
      </c>
      <c r="B1758" s="1820"/>
      <c r="C1758" s="2" t="s">
        <v>569</v>
      </c>
      <c r="D1758" s="2" t="str">
        <f t="shared" si="26"/>
        <v>OK</v>
      </c>
    </row>
    <row r="1759" spans="1:5" x14ac:dyDescent="0.2">
      <c r="A1759" s="5">
        <v>1698</v>
      </c>
      <c r="B1759" s="1820">
        <f>'Tax Sched 23'!B19</f>
        <v>6032006</v>
      </c>
      <c r="C1759" s="2" t="s">
        <v>569</v>
      </c>
      <c r="D1759" s="2" t="str">
        <f t="shared" si="26"/>
        <v>Error?</v>
      </c>
    </row>
    <row r="1760" spans="1:5" x14ac:dyDescent="0.2">
      <c r="A1760" s="5">
        <v>1699</v>
      </c>
      <c r="B1760" s="1820">
        <f>'Tax Sched 23'!D4</f>
        <v>1984390</v>
      </c>
      <c r="C1760" s="2" t="s">
        <v>569</v>
      </c>
      <c r="D1760" s="2" t="str">
        <f t="shared" si="26"/>
        <v>Error?</v>
      </c>
    </row>
    <row r="1761" spans="1:7" x14ac:dyDescent="0.2">
      <c r="A1761" s="5">
        <v>1700</v>
      </c>
      <c r="B1761" s="1820">
        <f>'Tax Sched 23'!D5</f>
        <v>214147</v>
      </c>
      <c r="C1761" s="2" t="s">
        <v>569</v>
      </c>
      <c r="D1761" s="2" t="str">
        <f t="shared" si="26"/>
        <v>Error?</v>
      </c>
    </row>
    <row r="1762" spans="1:7" s="8" customFormat="1" x14ac:dyDescent="0.2">
      <c r="A1762" s="5">
        <v>1701</v>
      </c>
      <c r="B1762" s="1820">
        <f>'Tax Sched 23'!D6</f>
        <v>593532</v>
      </c>
      <c r="C1762" s="2" t="s">
        <v>569</v>
      </c>
      <c r="D1762" s="2" t="str">
        <f t="shared" si="26"/>
        <v>Error?</v>
      </c>
      <c r="E1762" s="9"/>
      <c r="G1762"/>
    </row>
    <row r="1763" spans="1:7" x14ac:dyDescent="0.2">
      <c r="A1763" s="5">
        <v>1702</v>
      </c>
      <c r="B1763" s="1820">
        <f>'Tax Sched 23'!D7</f>
        <v>537132</v>
      </c>
      <c r="C1763" s="2" t="s">
        <v>569</v>
      </c>
      <c r="D1763" s="2" t="str">
        <f t="shared" si="26"/>
        <v>Error?</v>
      </c>
    </row>
    <row r="1764" spans="1:7" x14ac:dyDescent="0.2">
      <c r="A1764" s="5">
        <v>1703</v>
      </c>
      <c r="B1764" s="1820">
        <f>'Tax Sched 23'!D8</f>
        <v>28115</v>
      </c>
      <c r="C1764" s="2" t="s">
        <v>569</v>
      </c>
      <c r="D1764" s="2" t="str">
        <f t="shared" si="26"/>
        <v>Error?</v>
      </c>
    </row>
    <row r="1765" spans="1:7" x14ac:dyDescent="0.2">
      <c r="A1765" s="5">
        <v>1704</v>
      </c>
      <c r="B1765" s="1820">
        <f>'Tax Sched 23'!D10</f>
        <v>19710</v>
      </c>
      <c r="C1765" s="2" t="s">
        <v>569</v>
      </c>
      <c r="D1765" s="2" t="str">
        <f t="shared" si="26"/>
        <v>Error?</v>
      </c>
    </row>
    <row r="1766" spans="1:7" x14ac:dyDescent="0.2">
      <c r="A1766" s="10">
        <v>1705</v>
      </c>
      <c r="B1766" s="1820"/>
      <c r="C1766" s="2" t="s">
        <v>569</v>
      </c>
      <c r="D1766" s="2" t="str">
        <f t="shared" si="26"/>
        <v>OK</v>
      </c>
    </row>
    <row r="1767" spans="1:7" x14ac:dyDescent="0.2">
      <c r="A1767" s="5">
        <v>1706</v>
      </c>
      <c r="B1767" s="1820">
        <f>'Tax Sched 23'!D9</f>
        <v>0</v>
      </c>
      <c r="C1767" s="2" t="s">
        <v>569</v>
      </c>
      <c r="D1767" s="2" t="str">
        <f t="shared" si="26"/>
        <v>Error?</v>
      </c>
    </row>
    <row r="1768" spans="1:7" x14ac:dyDescent="0.2">
      <c r="A1768" s="5">
        <v>1707</v>
      </c>
      <c r="B1768" s="1820">
        <f>'Tax Sched 23'!D11</f>
        <v>26089</v>
      </c>
      <c r="C1768" s="2" t="s">
        <v>569</v>
      </c>
      <c r="D1768" s="2" t="str">
        <f t="shared" si="26"/>
        <v>Error?</v>
      </c>
    </row>
    <row r="1769" spans="1:7" x14ac:dyDescent="0.2">
      <c r="A1769" s="5">
        <v>1708</v>
      </c>
      <c r="B1769" s="1820">
        <f>'Tax Sched 23'!D12</f>
        <v>-2271</v>
      </c>
      <c r="C1769" s="2" t="s">
        <v>569</v>
      </c>
      <c r="D1769" s="2" t="str">
        <f t="shared" si="26"/>
        <v>Error?</v>
      </c>
    </row>
    <row r="1770" spans="1:7" x14ac:dyDescent="0.2">
      <c r="A1770" s="5">
        <v>1709</v>
      </c>
      <c r="B1770" s="1820">
        <f>'Tax Sched 23'!D14</f>
        <v>-10960</v>
      </c>
      <c r="C1770" s="2" t="s">
        <v>569</v>
      </c>
      <c r="D1770" s="2" t="str">
        <f t="shared" si="26"/>
        <v>Error?</v>
      </c>
    </row>
    <row r="1771" spans="1:7" x14ac:dyDescent="0.2">
      <c r="A1771" s="10">
        <v>1710</v>
      </c>
      <c r="B1771" s="1820"/>
      <c r="D1771" s="2" t="str">
        <f t="shared" si="26"/>
        <v>OK</v>
      </c>
    </row>
    <row r="1772" spans="1:7" x14ac:dyDescent="0.2">
      <c r="A1772" s="5">
        <v>1711</v>
      </c>
      <c r="B1772" s="1820">
        <f>'Tax Sched 23'!D15</f>
        <v>0</v>
      </c>
      <c r="C1772" s="2" t="s">
        <v>569</v>
      </c>
      <c r="D1772" s="2" t="str">
        <f t="shared" si="26"/>
        <v>Error?</v>
      </c>
    </row>
    <row r="1773" spans="1:7" x14ac:dyDescent="0.2">
      <c r="A1773" s="10">
        <v>1712</v>
      </c>
      <c r="B1773" s="1820"/>
      <c r="C1773" s="2" t="s">
        <v>569</v>
      </c>
      <c r="D1773" s="2" t="str">
        <f t="shared" si="26"/>
        <v>OK</v>
      </c>
    </row>
    <row r="1774" spans="1:7" x14ac:dyDescent="0.2">
      <c r="A1774" s="10">
        <v>1713</v>
      </c>
      <c r="B1774" s="1820"/>
      <c r="C1774" s="2" t="s">
        <v>569</v>
      </c>
      <c r="D1774" s="2" t="str">
        <f t="shared" si="26"/>
        <v>OK</v>
      </c>
      <c r="G1774" s="8"/>
    </row>
    <row r="1775" spans="1:7" x14ac:dyDescent="0.2">
      <c r="A1775" s="5">
        <v>1714</v>
      </c>
      <c r="B1775" s="1820">
        <f>'Tax Sched 23'!D19</f>
        <v>3415464</v>
      </c>
      <c r="C1775" s="2" t="s">
        <v>569</v>
      </c>
      <c r="D1775" s="2" t="str">
        <f t="shared" si="26"/>
        <v>Error?</v>
      </c>
    </row>
    <row r="1776" spans="1:7" x14ac:dyDescent="0.2">
      <c r="A1776" s="5">
        <v>1715</v>
      </c>
      <c r="B1776" s="1820">
        <f>'Tax Sched 23'!C4</f>
        <v>1497185</v>
      </c>
      <c r="D1776" s="2" t="str">
        <f t="shared" si="26"/>
        <v>Error?</v>
      </c>
    </row>
    <row r="1777" spans="1:4" x14ac:dyDescent="0.2">
      <c r="A1777" s="5">
        <v>1716</v>
      </c>
      <c r="B1777" s="1820">
        <f>'Tax Sched 23'!C5</f>
        <v>152283</v>
      </c>
      <c r="D1777" s="2" t="str">
        <f t="shared" si="26"/>
        <v>Error?</v>
      </c>
    </row>
    <row r="1778" spans="1:4" x14ac:dyDescent="0.2">
      <c r="A1778" s="5">
        <v>1717</v>
      </c>
      <c r="B1778" s="1820">
        <f>'Tax Sched 23'!C6</f>
        <v>488246</v>
      </c>
      <c r="D1778" s="2" t="str">
        <f t="shared" si="26"/>
        <v>Error?</v>
      </c>
    </row>
    <row r="1779" spans="1:4" x14ac:dyDescent="0.2">
      <c r="A1779" s="5">
        <v>1718</v>
      </c>
      <c r="B1779" s="1820">
        <f>'Tax Sched 23'!C7</f>
        <v>417077</v>
      </c>
      <c r="D1779" s="2" t="str">
        <f t="shared" si="26"/>
        <v>Error?</v>
      </c>
    </row>
    <row r="1780" spans="1:4" x14ac:dyDescent="0.2">
      <c r="A1780" s="5">
        <v>1719</v>
      </c>
      <c r="B1780" s="1820">
        <f>'Tax Sched 23'!C8</f>
        <v>15961</v>
      </c>
      <c r="D1780" s="2" t="str">
        <f t="shared" si="26"/>
        <v>Error?</v>
      </c>
    </row>
    <row r="1781" spans="1:4" x14ac:dyDescent="0.2">
      <c r="A1781" s="5">
        <v>1720</v>
      </c>
      <c r="B1781" s="1820">
        <f>'Tax Sched 23'!C10</f>
        <v>13868</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15961</v>
      </c>
      <c r="D1784" s="2" t="str">
        <f t="shared" si="26"/>
        <v>Error?</v>
      </c>
    </row>
    <row r="1785" spans="1:4" x14ac:dyDescent="0.2">
      <c r="A1785" s="5">
        <v>1724</v>
      </c>
      <c r="B1785" s="1820">
        <f>'Tax Sched 23'!C12</f>
        <v>0</v>
      </c>
      <c r="D1785" s="2" t="str">
        <f t="shared" si="26"/>
        <v>Error?</v>
      </c>
    </row>
    <row r="1786" spans="1:4" x14ac:dyDescent="0.2">
      <c r="A1786" s="5">
        <v>1725</v>
      </c>
      <c r="B1786" s="1820">
        <f>'Tax Sched 23'!C14</f>
        <v>0</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2616542</v>
      </c>
      <c r="C1791" s="2" t="s">
        <v>569</v>
      </c>
      <c r="D1791" s="2" t="str">
        <f t="shared" ref="D1791:D1854" si="27">IF(ISBLANK(B1791),"OK",IF(A1791-B1791=0,"OK","Error?"))</f>
        <v>Error?</v>
      </c>
    </row>
    <row r="1792" spans="1:4" x14ac:dyDescent="0.2">
      <c r="A1792" s="5">
        <v>1731</v>
      </c>
      <c r="B1792" s="1820">
        <f>'Tax Sched 23'!F4</f>
        <v>1863812</v>
      </c>
      <c r="C1792" s="2" t="s">
        <v>569</v>
      </c>
      <c r="D1792" s="2" t="str">
        <f t="shared" si="27"/>
        <v>Error?</v>
      </c>
    </row>
    <row r="1793" spans="1:4" x14ac:dyDescent="0.2">
      <c r="A1793" s="5">
        <v>1732</v>
      </c>
      <c r="B1793" s="1820">
        <f>'Tax Sched 23'!F5</f>
        <v>189573</v>
      </c>
      <c r="C1793" s="2" t="s">
        <v>569</v>
      </c>
      <c r="D1793" s="2" t="str">
        <f t="shared" si="27"/>
        <v>Error?</v>
      </c>
    </row>
    <row r="1794" spans="1:4" x14ac:dyDescent="0.2">
      <c r="A1794" s="5">
        <v>1733</v>
      </c>
      <c r="B1794" s="1820">
        <f>'Tax Sched 23'!F6</f>
        <v>607808</v>
      </c>
      <c r="C1794" s="2" t="s">
        <v>569</v>
      </c>
      <c r="D1794" s="2" t="str">
        <f t="shared" si="27"/>
        <v>Error?</v>
      </c>
    </row>
    <row r="1795" spans="1:4" x14ac:dyDescent="0.2">
      <c r="A1795" s="5">
        <v>1734</v>
      </c>
      <c r="B1795" s="1820">
        <f>'Tax Sched 23'!F7</f>
        <v>519209</v>
      </c>
      <c r="C1795" s="2" t="s">
        <v>569</v>
      </c>
      <c r="D1795" s="2" t="str">
        <f t="shared" si="27"/>
        <v>Error?</v>
      </c>
    </row>
    <row r="1796" spans="1:4" x14ac:dyDescent="0.2">
      <c r="A1796" s="5">
        <v>1735</v>
      </c>
      <c r="B1796" s="1820">
        <f>'Tax Sched 23'!F8</f>
        <v>19869</v>
      </c>
      <c r="C1796" s="2" t="s">
        <v>569</v>
      </c>
      <c r="D1796" s="2" t="str">
        <f t="shared" si="27"/>
        <v>Error?</v>
      </c>
    </row>
    <row r="1797" spans="1:4" x14ac:dyDescent="0.2">
      <c r="A1797" s="5">
        <v>1736</v>
      </c>
      <c r="B1797" s="1820">
        <f>'Tax Sched 23'!F10</f>
        <v>17263</v>
      </c>
      <c r="C1797" s="2" t="s">
        <v>569</v>
      </c>
      <c r="D1797" s="2" t="str">
        <f t="shared" si="27"/>
        <v>Error?</v>
      </c>
    </row>
    <row r="1798" spans="1:4" x14ac:dyDescent="0.2">
      <c r="A1798" s="10">
        <v>1737</v>
      </c>
      <c r="B1798" s="1820"/>
      <c r="C1798" s="2" t="s">
        <v>569</v>
      </c>
      <c r="D1798" s="2" t="str">
        <f t="shared" si="27"/>
        <v>OK</v>
      </c>
    </row>
    <row r="1799" spans="1:4" x14ac:dyDescent="0.2">
      <c r="A1799" s="5">
        <v>1738</v>
      </c>
      <c r="B1799" s="1820">
        <f>'Tax Sched 23'!F9</f>
        <v>0</v>
      </c>
      <c r="C1799" s="2" t="s">
        <v>569</v>
      </c>
      <c r="D1799" s="2" t="str">
        <f t="shared" si="27"/>
        <v>Error?</v>
      </c>
    </row>
    <row r="1800" spans="1:4" x14ac:dyDescent="0.2">
      <c r="A1800" s="5">
        <v>1739</v>
      </c>
      <c r="B1800" s="1820">
        <f>'Tax Sched 23'!F11</f>
        <v>19869</v>
      </c>
      <c r="C1800" s="2" t="s">
        <v>569</v>
      </c>
      <c r="D1800" s="2" t="str">
        <f t="shared" si="27"/>
        <v>Error?</v>
      </c>
    </row>
    <row r="1801" spans="1:4" x14ac:dyDescent="0.2">
      <c r="A1801" s="5">
        <v>1740</v>
      </c>
      <c r="B1801" s="1820">
        <f>'Tax Sched 23'!F12</f>
        <v>0</v>
      </c>
      <c r="C1801" s="2" t="s">
        <v>569</v>
      </c>
      <c r="D1801" s="2" t="str">
        <f t="shared" si="27"/>
        <v>Error?</v>
      </c>
    </row>
    <row r="1802" spans="1:4" x14ac:dyDescent="0.2">
      <c r="A1802" s="5">
        <v>1741</v>
      </c>
      <c r="B1802" s="1820">
        <f>'Tax Sched 23'!F14</f>
        <v>0</v>
      </c>
      <c r="C1802" s="2" t="s">
        <v>569</v>
      </c>
      <c r="D1802" s="2" t="str">
        <f t="shared" si="27"/>
        <v>Error?</v>
      </c>
    </row>
    <row r="1803" spans="1:4" x14ac:dyDescent="0.2">
      <c r="A1803" s="10">
        <v>1742</v>
      </c>
      <c r="B1803" s="1820"/>
      <c r="D1803" s="2" t="str">
        <f t="shared" si="27"/>
        <v>OK</v>
      </c>
    </row>
    <row r="1804" spans="1:4" x14ac:dyDescent="0.2">
      <c r="A1804" s="5">
        <v>1743</v>
      </c>
      <c r="B1804" s="1820">
        <f>'Tax Sched 23'!F15</f>
        <v>0</v>
      </c>
      <c r="C1804" s="2" t="s">
        <v>569</v>
      </c>
      <c r="D1804" s="2" t="str">
        <f t="shared" si="27"/>
        <v>Error?</v>
      </c>
    </row>
    <row r="1805" spans="1:4" x14ac:dyDescent="0.2">
      <c r="A1805" s="10">
        <v>1744</v>
      </c>
      <c r="B1805" s="1820"/>
      <c r="C1805" s="2" t="s">
        <v>569</v>
      </c>
      <c r="D1805" s="2" t="str">
        <f t="shared" si="27"/>
        <v>OK</v>
      </c>
    </row>
    <row r="1806" spans="1:4" x14ac:dyDescent="0.2">
      <c r="A1806" s="10">
        <v>1745</v>
      </c>
      <c r="B1806" s="1820"/>
      <c r="C1806" s="2" t="s">
        <v>569</v>
      </c>
      <c r="D1806" s="2" t="str">
        <f t="shared" si="27"/>
        <v>OK</v>
      </c>
    </row>
    <row r="1807" spans="1:4" x14ac:dyDescent="0.2">
      <c r="A1807" s="12">
        <v>1746</v>
      </c>
      <c r="B1807" s="1820">
        <f>'Tax Sched 23'!F19</f>
        <v>3257272</v>
      </c>
      <c r="C1807" s="2" t="s">
        <v>569</v>
      </c>
      <c r="D1807" s="2" t="str">
        <f t="shared" si="27"/>
        <v>Error?</v>
      </c>
    </row>
    <row r="1808" spans="1:4" x14ac:dyDescent="0.2">
      <c r="A1808" s="5">
        <v>1747</v>
      </c>
      <c r="B1808" s="1820">
        <f>'Tax Sched 23'!E4</f>
        <v>3360997</v>
      </c>
      <c r="D1808" s="2" t="str">
        <f t="shared" si="27"/>
        <v>Error?</v>
      </c>
    </row>
    <row r="1809" spans="1:4" x14ac:dyDescent="0.2">
      <c r="A1809" s="5">
        <v>1748</v>
      </c>
      <c r="B1809" s="1820">
        <f>'Tax Sched 23'!E5</f>
        <v>341856</v>
      </c>
      <c r="D1809" s="2" t="str">
        <f t="shared" si="27"/>
        <v>Error?</v>
      </c>
    </row>
    <row r="1810" spans="1:4" x14ac:dyDescent="0.2">
      <c r="A1810" s="5">
        <v>1749</v>
      </c>
      <c r="B1810" s="1820">
        <f>'Tax Sched 23'!E6</f>
        <v>1096054</v>
      </c>
      <c r="D1810" s="2" t="str">
        <f t="shared" si="27"/>
        <v>Error?</v>
      </c>
    </row>
    <row r="1811" spans="1:4" x14ac:dyDescent="0.2">
      <c r="A1811" s="5">
        <v>1750</v>
      </c>
      <c r="B1811" s="1820">
        <f>'Tax Sched 23'!E7</f>
        <v>936286</v>
      </c>
      <c r="D1811" s="2" t="str">
        <f t="shared" si="27"/>
        <v>Error?</v>
      </c>
    </row>
    <row r="1812" spans="1:4" x14ac:dyDescent="0.2">
      <c r="A1812" s="5">
        <v>1751</v>
      </c>
      <c r="B1812" s="1820">
        <f>'Tax Sched 23'!E8</f>
        <v>35830</v>
      </c>
      <c r="D1812" s="2" t="str">
        <f t="shared" si="27"/>
        <v>Error?</v>
      </c>
    </row>
    <row r="1813" spans="1:4" x14ac:dyDescent="0.2">
      <c r="A1813" s="5">
        <v>1752</v>
      </c>
      <c r="B1813" s="1820">
        <f>'Tax Sched 23'!E10</f>
        <v>31131</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35830</v>
      </c>
      <c r="D1816" s="2" t="str">
        <f t="shared" si="27"/>
        <v>Error?</v>
      </c>
    </row>
    <row r="1817" spans="1:4" x14ac:dyDescent="0.2">
      <c r="A1817" s="5">
        <v>1756</v>
      </c>
      <c r="B1817" s="1820">
        <f>'Tax Sched 23'!E12</f>
        <v>0</v>
      </c>
      <c r="D1817" s="2" t="str">
        <f t="shared" si="27"/>
        <v>Error?</v>
      </c>
    </row>
    <row r="1818" spans="1:4" x14ac:dyDescent="0.2">
      <c r="A1818" s="5">
        <v>1757</v>
      </c>
      <c r="B1818" s="1820">
        <f>'Tax Sched 23'!E14</f>
        <v>0</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5873814</v>
      </c>
      <c r="C1823" s="2" t="s">
        <v>569</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569</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569</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569</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569</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569</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569</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569</v>
      </c>
      <c r="D1867" s="2" t="str">
        <f t="shared" si="28"/>
        <v>Error?</v>
      </c>
    </row>
    <row r="1868" spans="1:4" x14ac:dyDescent="0.2">
      <c r="A1868" s="5">
        <v>1807</v>
      </c>
      <c r="B1868" s="1820">
        <f>'Short-Term Long-Term Debt 24'!F7</f>
        <v>0</v>
      </c>
      <c r="C1868" s="2" t="s">
        <v>569</v>
      </c>
      <c r="D1868" s="2" t="str">
        <f t="shared" si="28"/>
        <v>Error?</v>
      </c>
    </row>
    <row r="1869" spans="1:4" x14ac:dyDescent="0.2">
      <c r="A1869" s="5">
        <v>1808</v>
      </c>
      <c r="B1869" s="1820">
        <f>'Short-Term Long-Term Debt 24'!F12</f>
        <v>0</v>
      </c>
      <c r="C1869" s="2" t="s">
        <v>569</v>
      </c>
      <c r="D1869" s="2" t="str">
        <f t="shared" si="28"/>
        <v>Error?</v>
      </c>
    </row>
    <row r="1870" spans="1:4" x14ac:dyDescent="0.2">
      <c r="A1870" s="5">
        <v>1809</v>
      </c>
      <c r="B1870" s="1820">
        <f>'Short-Term Long-Term Debt 24'!F11</f>
        <v>0</v>
      </c>
      <c r="C1870" s="2" t="s">
        <v>569</v>
      </c>
      <c r="D1870" s="2" t="str">
        <f t="shared" si="28"/>
        <v>Error?</v>
      </c>
    </row>
    <row r="1871" spans="1:4" x14ac:dyDescent="0.2">
      <c r="A1871" s="5">
        <v>1810</v>
      </c>
      <c r="B1871" s="1820">
        <f>'Short-Term Long-Term Debt 24'!F8</f>
        <v>0</v>
      </c>
      <c r="C1871" s="2" t="s">
        <v>569</v>
      </c>
      <c r="D1871" s="2" t="str">
        <f t="shared" si="28"/>
        <v>Error?</v>
      </c>
    </row>
    <row r="1872" spans="1:4" x14ac:dyDescent="0.2">
      <c r="A1872" s="5">
        <v>1811</v>
      </c>
      <c r="B1872" s="1820">
        <f>'Short-Term Long-Term Debt 24'!F9</f>
        <v>0</v>
      </c>
      <c r="C1872" s="2" t="s">
        <v>569</v>
      </c>
      <c r="D1872" s="2" t="str">
        <f t="shared" si="28"/>
        <v>Error?</v>
      </c>
    </row>
    <row r="1873" spans="1:4" x14ac:dyDescent="0.2">
      <c r="A1873" s="5">
        <v>1812</v>
      </c>
      <c r="B1873" s="1820">
        <f>'Short-Term Long-Term Debt 24'!F10</f>
        <v>0</v>
      </c>
      <c r="C1873" s="2" t="s">
        <v>569</v>
      </c>
      <c r="D1873" s="2" t="str">
        <f t="shared" si="28"/>
        <v>Error?</v>
      </c>
    </row>
    <row r="1874" spans="1:4" x14ac:dyDescent="0.2">
      <c r="A1874" s="5">
        <v>1813</v>
      </c>
      <c r="B1874" s="1820">
        <f>'Short-Term Long-Term Debt 24'!F14</f>
        <v>0</v>
      </c>
      <c r="C1874" s="2" t="s">
        <v>569</v>
      </c>
      <c r="D1874" s="2" t="str">
        <f t="shared" si="28"/>
        <v>Error?</v>
      </c>
    </row>
    <row r="1875" spans="1:4" x14ac:dyDescent="0.2">
      <c r="A1875" s="5">
        <v>1814</v>
      </c>
      <c r="B1875" s="1820">
        <f>'Short-Term Long-Term Debt 24'!F15</f>
        <v>0</v>
      </c>
      <c r="C1875" s="2" t="s">
        <v>569</v>
      </c>
      <c r="D1875" s="2" t="str">
        <f t="shared" si="28"/>
        <v>Error?</v>
      </c>
    </row>
    <row r="1876" spans="1:4" x14ac:dyDescent="0.2">
      <c r="A1876" s="5">
        <v>1815</v>
      </c>
      <c r="B1876" s="1820">
        <f>'Short-Term Long-Term Debt 24'!F17</f>
        <v>0</v>
      </c>
      <c r="C1876" s="2" t="s">
        <v>569</v>
      </c>
      <c r="D1876" s="2" t="str">
        <f t="shared" si="28"/>
        <v>Error?</v>
      </c>
    </row>
    <row r="1877" spans="1:4" x14ac:dyDescent="0.2">
      <c r="A1877" s="5">
        <v>1816</v>
      </c>
      <c r="B1877" s="1820">
        <f>'Short-Term Long-Term Debt 24'!F18</f>
        <v>0</v>
      </c>
      <c r="C1877" s="2" t="s">
        <v>569</v>
      </c>
      <c r="D1877" s="2" t="str">
        <f t="shared" si="28"/>
        <v>Error?</v>
      </c>
    </row>
    <row r="1878" spans="1:4" x14ac:dyDescent="0.2">
      <c r="A1878" s="5">
        <v>1817</v>
      </c>
      <c r="B1878" s="1820">
        <f>'Short-Term Long-Term Debt 24'!F20</f>
        <v>0</v>
      </c>
      <c r="C1878" s="2" t="s">
        <v>569</v>
      </c>
      <c r="D1878" s="2" t="str">
        <f t="shared" si="28"/>
        <v>Error?</v>
      </c>
    </row>
    <row r="1879" spans="1:4" x14ac:dyDescent="0.2">
      <c r="A1879" s="5">
        <v>1818</v>
      </c>
      <c r="B1879" s="1820">
        <f>'Short-Term Long-Term Debt 24'!F21</f>
        <v>0</v>
      </c>
      <c r="C1879" s="2" t="s">
        <v>569</v>
      </c>
      <c r="D1879" s="2" t="str">
        <f t="shared" si="28"/>
        <v>Error?</v>
      </c>
    </row>
    <row r="1880" spans="1:4" x14ac:dyDescent="0.2">
      <c r="A1880" s="5">
        <v>1819</v>
      </c>
      <c r="B1880" s="1820">
        <f>'Short-Term Long-Term Debt 24'!F23</f>
        <v>0</v>
      </c>
      <c r="C1880" s="2" t="s">
        <v>569</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4549288</v>
      </c>
      <c r="C1939" s="2" t="s">
        <v>569</v>
      </c>
      <c r="D1939" s="2" t="str">
        <f t="shared" si="29"/>
        <v>Error?</v>
      </c>
    </row>
    <row r="1940" spans="1:5" x14ac:dyDescent="0.2">
      <c r="A1940" s="5">
        <v>1879</v>
      </c>
      <c r="B1940" s="1820">
        <f>'Short-Term Long-Term Debt 24'!F49</f>
        <v>0</v>
      </c>
      <c r="C1940" s="2" t="s">
        <v>569</v>
      </c>
      <c r="D1940" s="2" t="str">
        <f t="shared" si="29"/>
        <v>Error?</v>
      </c>
    </row>
    <row r="1941" spans="1:5" x14ac:dyDescent="0.2">
      <c r="A1941" s="10">
        <v>1880</v>
      </c>
      <c r="B1941" s="1820"/>
      <c r="C1941" s="2" t="s">
        <v>569</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569</v>
      </c>
      <c r="D1953" s="2" t="str">
        <f t="shared" si="29"/>
        <v>Error?</v>
      </c>
    </row>
    <row r="1954" spans="1:5" x14ac:dyDescent="0.2">
      <c r="A1954" s="10">
        <v>1893</v>
      </c>
      <c r="B1954" s="1820"/>
      <c r="C1954" s="2" t="s">
        <v>569</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569</v>
      </c>
      <c r="D1957" s="2" t="str">
        <f t="shared" si="29"/>
        <v>Error?</v>
      </c>
    </row>
    <row r="1958" spans="1:5" x14ac:dyDescent="0.2">
      <c r="A1958" s="5">
        <v>1897</v>
      </c>
      <c r="B1958" s="1820">
        <f>'Rest Tax Levies-Tort Im 25'!G24</f>
        <v>0</v>
      </c>
      <c r="C1958" s="2" t="s">
        <v>569</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-10960</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-10960</v>
      </c>
      <c r="C1977" s="2" t="s">
        <v>569</v>
      </c>
      <c r="D1977" s="2" t="str">
        <f t="shared" si="29"/>
        <v>Error?</v>
      </c>
    </row>
    <row r="1978" spans="1:5" x14ac:dyDescent="0.2">
      <c r="A1978" s="10">
        <v>1917</v>
      </c>
      <c r="B1978" s="1820"/>
      <c r="C1978" s="2" t="s">
        <v>569</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-10960</v>
      </c>
      <c r="C1982" s="2" t="s">
        <v>569</v>
      </c>
      <c r="D1982" s="2" t="str">
        <f t="shared" si="29"/>
        <v>Error?</v>
      </c>
    </row>
    <row r="1983" spans="1:5" x14ac:dyDescent="0.2">
      <c r="A1983" s="5">
        <v>1922</v>
      </c>
      <c r="B1983" s="1820">
        <f>'Rest Tax Levies-Tort Im 25'!H24</f>
        <v>0</v>
      </c>
      <c r="C1983" s="2" t="s">
        <v>569</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569</v>
      </c>
      <c r="D1990" s="2" t="str">
        <f t="shared" si="30"/>
        <v>Error?</v>
      </c>
    </row>
    <row r="1991" spans="1:5" x14ac:dyDescent="0.2">
      <c r="A1991" s="10">
        <v>1930</v>
      </c>
      <c r="B1991" s="1820"/>
      <c r="C1991" s="2" t="s">
        <v>569</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569</v>
      </c>
      <c r="D1995" s="2" t="str">
        <f t="shared" si="30"/>
        <v>Error?</v>
      </c>
    </row>
    <row r="1996" spans="1:5" x14ac:dyDescent="0.2">
      <c r="A1996" s="5">
        <v>1935</v>
      </c>
      <c r="B1996" s="1820">
        <f>'Rest Tax Levies-Tort Im 25'!I24</f>
        <v>0</v>
      </c>
      <c r="C1996" s="2" t="s">
        <v>569</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280244</v>
      </c>
      <c r="D2008" s="2" t="str">
        <f t="shared" si="30"/>
        <v>Error?</v>
      </c>
    </row>
    <row r="2009" spans="1:4" x14ac:dyDescent="0.2">
      <c r="A2009" s="5">
        <v>1948</v>
      </c>
      <c r="B2009" s="1820">
        <f>'Cap Outlay Deprec 26'!C8</f>
        <v>50209884</v>
      </c>
      <c r="D2009" s="2" t="str">
        <f t="shared" si="30"/>
        <v>Error?</v>
      </c>
    </row>
    <row r="2010" spans="1:4" x14ac:dyDescent="0.2">
      <c r="A2010" s="5">
        <v>1949</v>
      </c>
      <c r="B2010" s="1820">
        <f>'Cap Outlay Deprec 26'!C10</f>
        <v>626100</v>
      </c>
      <c r="D2010" s="2" t="str">
        <f t="shared" si="30"/>
        <v>Error?</v>
      </c>
    </row>
    <row r="2011" spans="1:4" x14ac:dyDescent="0.2">
      <c r="A2011" s="5">
        <v>1950</v>
      </c>
      <c r="B2011" s="1820">
        <f>'Cap Outlay Deprec 26'!C12</f>
        <v>1441922</v>
      </c>
      <c r="D2011" s="2" t="str">
        <f t="shared" si="30"/>
        <v>Error?</v>
      </c>
    </row>
    <row r="2012" spans="1:4" x14ac:dyDescent="0.2">
      <c r="A2012" s="5">
        <v>1951</v>
      </c>
      <c r="B2012" s="1820">
        <f>'Cap Outlay Deprec 26'!C13</f>
        <v>0</v>
      </c>
      <c r="D2012" s="2" t="str">
        <f t="shared" si="30"/>
        <v>Error?</v>
      </c>
    </row>
    <row r="2013" spans="1:4" x14ac:dyDescent="0.2">
      <c r="A2013" s="5">
        <v>1952</v>
      </c>
      <c r="B2013" s="1820">
        <f>'Cap Outlay Deprec 26'!C16</f>
        <v>52558150</v>
      </c>
      <c r="C2013" s="2" t="s">
        <v>569</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28587</v>
      </c>
      <c r="D2015" s="2" t="str">
        <f t="shared" si="30"/>
        <v>Error?</v>
      </c>
    </row>
    <row r="2016" spans="1:4" x14ac:dyDescent="0.2">
      <c r="A2016" s="5">
        <v>1955</v>
      </c>
      <c r="B2016" s="1820">
        <f>'Cap Outlay Deprec 26'!D10</f>
        <v>0</v>
      </c>
      <c r="D2016" s="2" t="str">
        <f t="shared" si="30"/>
        <v>Error?</v>
      </c>
    </row>
    <row r="2017" spans="1:4" x14ac:dyDescent="0.2">
      <c r="A2017" s="5">
        <v>1956</v>
      </c>
      <c r="B2017" s="1820">
        <f>'Cap Outlay Deprec 26'!D12</f>
        <v>42624</v>
      </c>
      <c r="D2017" s="2" t="str">
        <f t="shared" si="30"/>
        <v>Error?</v>
      </c>
    </row>
    <row r="2018" spans="1:4" x14ac:dyDescent="0.2">
      <c r="A2018" s="5">
        <v>1957</v>
      </c>
      <c r="B2018" s="1820">
        <f>'Cap Outlay Deprec 26'!D13</f>
        <v>0</v>
      </c>
      <c r="D2018" s="2" t="str">
        <f t="shared" si="30"/>
        <v>Error?</v>
      </c>
    </row>
    <row r="2019" spans="1:4" x14ac:dyDescent="0.2">
      <c r="A2019" s="5">
        <v>1958</v>
      </c>
      <c r="B2019" s="1820">
        <f>'Cap Outlay Deprec 26'!D16</f>
        <v>71211</v>
      </c>
      <c r="C2019" s="2" t="s">
        <v>569</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0</v>
      </c>
      <c r="D2023" s="2" t="str">
        <f t="shared" si="30"/>
        <v>Error?</v>
      </c>
    </row>
    <row r="2024" spans="1:4" x14ac:dyDescent="0.2">
      <c r="A2024" s="5">
        <v>1963</v>
      </c>
      <c r="B2024" s="1820">
        <f>'Cap Outlay Deprec 26'!E13</f>
        <v>0</v>
      </c>
      <c r="D2024" s="2" t="str">
        <f t="shared" si="30"/>
        <v>Error?</v>
      </c>
    </row>
    <row r="2025" spans="1:4" x14ac:dyDescent="0.2">
      <c r="A2025" s="5">
        <v>1964</v>
      </c>
      <c r="B2025" s="1820">
        <f>'Cap Outlay Deprec 26'!E16</f>
        <v>0</v>
      </c>
      <c r="C2025" s="2" t="s">
        <v>569</v>
      </c>
      <c r="D2025" s="2" t="str">
        <f t="shared" si="30"/>
        <v>Error?</v>
      </c>
    </row>
    <row r="2026" spans="1:4" x14ac:dyDescent="0.2">
      <c r="A2026" s="5">
        <v>1965</v>
      </c>
      <c r="B2026" s="1820">
        <f>'Cap Outlay Deprec 26'!F5</f>
        <v>280244</v>
      </c>
      <c r="C2026" s="2" t="s">
        <v>569</v>
      </c>
      <c r="D2026" s="2" t="str">
        <f t="shared" si="30"/>
        <v>Error?</v>
      </c>
    </row>
    <row r="2027" spans="1:4" x14ac:dyDescent="0.2">
      <c r="A2027" s="5">
        <v>1966</v>
      </c>
      <c r="B2027" s="1820">
        <f>'Cap Outlay Deprec 26'!F8</f>
        <v>50238471</v>
      </c>
      <c r="C2027" s="2" t="s">
        <v>569</v>
      </c>
      <c r="D2027" s="2" t="str">
        <f t="shared" si="30"/>
        <v>Error?</v>
      </c>
    </row>
    <row r="2028" spans="1:4" x14ac:dyDescent="0.2">
      <c r="A2028" s="5">
        <v>1967</v>
      </c>
      <c r="B2028" s="1820">
        <f>'Cap Outlay Deprec 26'!F10</f>
        <v>626100</v>
      </c>
      <c r="C2028" s="2" t="s">
        <v>569</v>
      </c>
      <c r="D2028" s="2" t="str">
        <f t="shared" si="30"/>
        <v>Error?</v>
      </c>
    </row>
    <row r="2029" spans="1:4" x14ac:dyDescent="0.2">
      <c r="A2029" s="5">
        <v>1968</v>
      </c>
      <c r="B2029" s="1820">
        <f>'Cap Outlay Deprec 26'!F12</f>
        <v>1484546</v>
      </c>
      <c r="C2029" s="2" t="s">
        <v>569</v>
      </c>
      <c r="D2029" s="2" t="str">
        <f t="shared" si="30"/>
        <v>Error?</v>
      </c>
    </row>
    <row r="2030" spans="1:4" x14ac:dyDescent="0.2">
      <c r="A2030" s="5">
        <v>1969</v>
      </c>
      <c r="B2030" s="1820">
        <f>'Cap Outlay Deprec 26'!F13</f>
        <v>0</v>
      </c>
      <c r="C2030" s="2" t="s">
        <v>569</v>
      </c>
      <c r="D2030" s="2" t="str">
        <f t="shared" si="30"/>
        <v>Error?</v>
      </c>
    </row>
    <row r="2031" spans="1:4" x14ac:dyDescent="0.2">
      <c r="A2031" s="5">
        <v>1970</v>
      </c>
      <c r="B2031" s="1820">
        <f>'Cap Outlay Deprec 26'!F16</f>
        <v>52629361</v>
      </c>
      <c r="C2031" s="2" t="s">
        <v>569</v>
      </c>
      <c r="D2031" s="2" t="str">
        <f t="shared" si="30"/>
        <v>Error?</v>
      </c>
    </row>
    <row r="2032" spans="1:4" x14ac:dyDescent="0.2">
      <c r="A2032" s="10">
        <v>1971</v>
      </c>
      <c r="B2032" s="1820"/>
      <c r="D2032" s="2" t="str">
        <f t="shared" si="30"/>
        <v>OK</v>
      </c>
    </row>
    <row r="2033" spans="1:4" x14ac:dyDescent="0.2">
      <c r="A2033" s="5">
        <v>1972</v>
      </c>
      <c r="B2033" s="1820">
        <f>'Cap Outlay Deprec 26'!H8</f>
        <v>5406217</v>
      </c>
      <c r="D2033" s="2" t="str">
        <f t="shared" si="30"/>
        <v>Error?</v>
      </c>
    </row>
    <row r="2034" spans="1:4" x14ac:dyDescent="0.2">
      <c r="A2034" s="5">
        <v>1973</v>
      </c>
      <c r="B2034" s="1820">
        <f>'Cap Outlay Deprec 26'!H10</f>
        <v>297631</v>
      </c>
      <c r="D2034" s="2" t="str">
        <f t="shared" si="30"/>
        <v>Error?</v>
      </c>
    </row>
    <row r="2035" spans="1:4" x14ac:dyDescent="0.2">
      <c r="A2035" s="5">
        <v>1974</v>
      </c>
      <c r="B2035" s="1820">
        <f>'Cap Outlay Deprec 26'!H12</f>
        <v>1302711</v>
      </c>
      <c r="D2035" s="2" t="str">
        <f t="shared" si="30"/>
        <v>Error?</v>
      </c>
    </row>
    <row r="2036" spans="1:4" x14ac:dyDescent="0.2">
      <c r="A2036" s="5">
        <v>1975</v>
      </c>
      <c r="B2036" s="1820">
        <f>'Cap Outlay Deprec 26'!H13</f>
        <v>0</v>
      </c>
      <c r="D2036" s="2" t="str">
        <f t="shared" si="30"/>
        <v>Error?</v>
      </c>
    </row>
    <row r="2037" spans="1:4" x14ac:dyDescent="0.2">
      <c r="A2037" s="5">
        <v>1976</v>
      </c>
      <c r="B2037" s="1820">
        <f>'Cap Outlay Deprec 26'!H16</f>
        <v>7006559</v>
      </c>
      <c r="C2037" s="2" t="s">
        <v>569</v>
      </c>
      <c r="D2037" s="2" t="str">
        <f t="shared" si="30"/>
        <v>Error?</v>
      </c>
    </row>
    <row r="2038" spans="1:4" x14ac:dyDescent="0.2">
      <c r="A2038" s="10">
        <v>1977</v>
      </c>
      <c r="B2038" s="1820"/>
      <c r="D2038" s="2" t="str">
        <f t="shared" si="30"/>
        <v>OK</v>
      </c>
    </row>
    <row r="2039" spans="1:4" x14ac:dyDescent="0.2">
      <c r="A2039" s="5">
        <v>1978</v>
      </c>
      <c r="B2039" s="1820">
        <f>'Cap Outlay Deprec 26'!I8</f>
        <v>963669</v>
      </c>
      <c r="D2039" s="2" t="str">
        <f t="shared" si="30"/>
        <v>Error?</v>
      </c>
    </row>
    <row r="2040" spans="1:4" x14ac:dyDescent="0.2">
      <c r="A2040" s="5">
        <v>1979</v>
      </c>
      <c r="B2040" s="1820">
        <f>'Cap Outlay Deprec 26'!I10</f>
        <v>21726</v>
      </c>
      <c r="D2040" s="2" t="str">
        <f t="shared" si="30"/>
        <v>Error?</v>
      </c>
    </row>
    <row r="2041" spans="1:4" x14ac:dyDescent="0.2">
      <c r="A2041" s="5">
        <v>1980</v>
      </c>
      <c r="B2041" s="1820">
        <f>'Cap Outlay Deprec 26'!I12</f>
        <v>65033</v>
      </c>
      <c r="D2041" s="2" t="str">
        <f t="shared" si="30"/>
        <v>Error?</v>
      </c>
    </row>
    <row r="2042" spans="1:4" x14ac:dyDescent="0.2">
      <c r="A2042" s="5">
        <v>1981</v>
      </c>
      <c r="B2042" s="1820">
        <f>'Cap Outlay Deprec 26'!I13</f>
        <v>0</v>
      </c>
      <c r="D2042" s="2" t="str">
        <f t="shared" si="30"/>
        <v>Error?</v>
      </c>
    </row>
    <row r="2043" spans="1:4" x14ac:dyDescent="0.2">
      <c r="A2043" s="5">
        <v>1982</v>
      </c>
      <c r="B2043" s="1820">
        <f>'Cap Outlay Deprec 26'!I16</f>
        <v>1050428</v>
      </c>
      <c r="C2043" s="2" t="s">
        <v>569</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0</v>
      </c>
      <c r="D2047" s="2" t="str">
        <f t="shared" ref="D2047:D2110" si="31">IF(ISBLANK(B2047),"OK",IF(A2047-B2047=0,"OK","Error?"))</f>
        <v>Error?</v>
      </c>
    </row>
    <row r="2048" spans="1:4" x14ac:dyDescent="0.2">
      <c r="A2048" s="5">
        <v>1987</v>
      </c>
      <c r="B2048" s="1820">
        <f>'Cap Outlay Deprec 26'!J13</f>
        <v>0</v>
      </c>
      <c r="D2048" s="2" t="str">
        <f t="shared" si="31"/>
        <v>Error?</v>
      </c>
    </row>
    <row r="2049" spans="1:4" x14ac:dyDescent="0.2">
      <c r="A2049" s="5">
        <v>1988</v>
      </c>
      <c r="B2049" s="1820">
        <f>'Cap Outlay Deprec 26'!J16</f>
        <v>0</v>
      </c>
      <c r="C2049" s="2" t="s">
        <v>569</v>
      </c>
      <c r="D2049" s="2" t="str">
        <f t="shared" si="31"/>
        <v>Error?</v>
      </c>
    </row>
    <row r="2050" spans="1:4" x14ac:dyDescent="0.2">
      <c r="A2050" s="10">
        <v>1989</v>
      </c>
      <c r="B2050" s="1820"/>
      <c r="D2050" s="2" t="str">
        <f t="shared" si="31"/>
        <v>OK</v>
      </c>
    </row>
    <row r="2051" spans="1:4" x14ac:dyDescent="0.2">
      <c r="A2051" s="5">
        <v>1990</v>
      </c>
      <c r="B2051" s="1820">
        <f>'Cap Outlay Deprec 26'!K8</f>
        <v>6369886</v>
      </c>
      <c r="C2051" s="2" t="s">
        <v>569</v>
      </c>
      <c r="D2051" s="2" t="str">
        <f t="shared" si="31"/>
        <v>Error?</v>
      </c>
    </row>
    <row r="2052" spans="1:4" x14ac:dyDescent="0.2">
      <c r="A2052" s="5">
        <v>1991</v>
      </c>
      <c r="B2052" s="1820">
        <f>'Cap Outlay Deprec 26'!K10</f>
        <v>319357</v>
      </c>
      <c r="C2052" s="2" t="s">
        <v>569</v>
      </c>
      <c r="D2052" s="2" t="str">
        <f t="shared" si="31"/>
        <v>Error?</v>
      </c>
    </row>
    <row r="2053" spans="1:4" x14ac:dyDescent="0.2">
      <c r="A2053" s="5">
        <v>1992</v>
      </c>
      <c r="B2053" s="1820">
        <f>'Cap Outlay Deprec 26'!K12</f>
        <v>1367744</v>
      </c>
      <c r="C2053" s="2" t="s">
        <v>569</v>
      </c>
      <c r="D2053" s="2" t="str">
        <f t="shared" si="31"/>
        <v>Error?</v>
      </c>
    </row>
    <row r="2054" spans="1:4" x14ac:dyDescent="0.2">
      <c r="A2054" s="5">
        <v>1993</v>
      </c>
      <c r="B2054" s="1820">
        <f>'Cap Outlay Deprec 26'!K13</f>
        <v>0</v>
      </c>
      <c r="C2054" s="2" t="s">
        <v>569</v>
      </c>
      <c r="D2054" s="2" t="str">
        <f t="shared" si="31"/>
        <v>Error?</v>
      </c>
    </row>
    <row r="2055" spans="1:4" x14ac:dyDescent="0.2">
      <c r="A2055" s="5">
        <v>1994</v>
      </c>
      <c r="B2055" s="1820">
        <f>'Cap Outlay Deprec 26'!K16</f>
        <v>8056987</v>
      </c>
      <c r="C2055" s="2" t="s">
        <v>569</v>
      </c>
      <c r="D2055" s="2" t="str">
        <f t="shared" si="31"/>
        <v>Error?</v>
      </c>
    </row>
    <row r="2056" spans="1:4" x14ac:dyDescent="0.2">
      <c r="A2056" s="5">
        <v>1995</v>
      </c>
      <c r="B2056" s="1820">
        <f>'Cap Outlay Deprec 26'!L5</f>
        <v>280244</v>
      </c>
      <c r="C2056" s="2" t="s">
        <v>569</v>
      </c>
      <c r="D2056" s="2" t="str">
        <f t="shared" si="31"/>
        <v>Error?</v>
      </c>
    </row>
    <row r="2057" spans="1:4" x14ac:dyDescent="0.2">
      <c r="A2057" s="5">
        <v>1996</v>
      </c>
      <c r="B2057" s="1820">
        <f>'Cap Outlay Deprec 26'!L8</f>
        <v>43868585</v>
      </c>
      <c r="C2057" s="2" t="s">
        <v>569</v>
      </c>
      <c r="D2057" s="2" t="str">
        <f t="shared" si="31"/>
        <v>Error?</v>
      </c>
    </row>
    <row r="2058" spans="1:4" x14ac:dyDescent="0.2">
      <c r="A2058" s="5">
        <v>1997</v>
      </c>
      <c r="B2058" s="1820">
        <f>'Cap Outlay Deprec 26'!L10</f>
        <v>306743</v>
      </c>
      <c r="C2058" s="2" t="s">
        <v>569</v>
      </c>
      <c r="D2058" s="2" t="str">
        <f t="shared" si="31"/>
        <v>Error?</v>
      </c>
    </row>
    <row r="2059" spans="1:4" x14ac:dyDescent="0.2">
      <c r="A2059" s="5">
        <v>1998</v>
      </c>
      <c r="B2059" s="1820">
        <f>'Cap Outlay Deprec 26'!L12</f>
        <v>116802</v>
      </c>
      <c r="C2059" s="2" t="s">
        <v>569</v>
      </c>
      <c r="D2059" s="2" t="str">
        <f t="shared" si="31"/>
        <v>Error?</v>
      </c>
    </row>
    <row r="2060" spans="1:4" x14ac:dyDescent="0.2">
      <c r="A2060" s="5">
        <v>1999</v>
      </c>
      <c r="B2060" s="1820">
        <f>'Cap Outlay Deprec 26'!L13</f>
        <v>0</v>
      </c>
      <c r="C2060" s="2" t="s">
        <v>569</v>
      </c>
      <c r="D2060" s="2" t="str">
        <f t="shared" si="31"/>
        <v>Error?</v>
      </c>
    </row>
    <row r="2061" spans="1:4" x14ac:dyDescent="0.2">
      <c r="A2061" s="5">
        <v>2000</v>
      </c>
      <c r="B2061" s="1820">
        <f>'Cap Outlay Deprec 26'!L16</f>
        <v>44572374</v>
      </c>
      <c r="C2061" s="2" t="s">
        <v>569</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569</v>
      </c>
      <c r="D2077" s="2" t="str">
        <f t="shared" si="31"/>
        <v>OK</v>
      </c>
    </row>
    <row r="2078" spans="1:4" x14ac:dyDescent="0.2">
      <c r="A2078" s="10">
        <v>2017</v>
      </c>
      <c r="B2078" s="1820"/>
      <c r="C2078" s="2" t="s">
        <v>569</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1515587</v>
      </c>
      <c r="C2081" s="2" t="s">
        <v>569</v>
      </c>
      <c r="D2081" s="2" t="str">
        <f t="shared" si="31"/>
        <v>Error?</v>
      </c>
    </row>
    <row r="2082" spans="1:4" x14ac:dyDescent="0.2">
      <c r="A2082" s="10">
        <v>2021</v>
      </c>
      <c r="B2082" s="1820"/>
      <c r="C2082" s="2" t="s">
        <v>569</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569</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1515587</v>
      </c>
      <c r="C2088" s="2" t="s">
        <v>569</v>
      </c>
      <c r="D2088" s="2" t="str">
        <f t="shared" si="31"/>
        <v>Error?</v>
      </c>
    </row>
    <row r="2089" spans="1:4" x14ac:dyDescent="0.2">
      <c r="A2089" s="5">
        <v>2028</v>
      </c>
      <c r="B2089" s="1820">
        <f>'Expenditures 15-22'!K92</f>
        <v>0</v>
      </c>
      <c r="C2089" s="2" t="s">
        <v>569</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569</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569</v>
      </c>
      <c r="D2093" s="2" t="str">
        <f t="shared" si="31"/>
        <v>Error?</v>
      </c>
    </row>
    <row r="2094" spans="1:4" x14ac:dyDescent="0.2">
      <c r="A2094" s="5">
        <v>2033</v>
      </c>
      <c r="B2094" s="1820">
        <f>'Expenditures 15-22'!K138</f>
        <v>0</v>
      </c>
      <c r="C2094" s="2" t="s">
        <v>569</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569</v>
      </c>
      <c r="D2099" s="2" t="str">
        <f t="shared" si="31"/>
        <v>OK</v>
      </c>
    </row>
    <row r="2100" spans="1:4" x14ac:dyDescent="0.2">
      <c r="A2100" s="10">
        <v>2039</v>
      </c>
      <c r="B2100" s="1820"/>
      <c r="D2100" s="2" t="str">
        <f t="shared" si="31"/>
        <v>OK</v>
      </c>
    </row>
    <row r="2101" spans="1:4" x14ac:dyDescent="0.2">
      <c r="A2101" s="10">
        <v>2040</v>
      </c>
      <c r="B2101" s="1820"/>
      <c r="C2101" s="2" t="s">
        <v>569</v>
      </c>
      <c r="D2101" s="2" t="str">
        <f t="shared" si="31"/>
        <v>OK</v>
      </c>
    </row>
    <row r="2102" spans="1:4" x14ac:dyDescent="0.2">
      <c r="A2102" s="5">
        <v>2041</v>
      </c>
      <c r="B2102" s="1820">
        <f>'Expenditures 15-22'!K310</f>
        <v>0</v>
      </c>
      <c r="C2102" s="2" t="s">
        <v>569</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35000</v>
      </c>
      <c r="C2105" s="2" t="s">
        <v>569</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569</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0</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0</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3914656</v>
      </c>
      <c r="C2551" s="2" t="s">
        <v>569</v>
      </c>
      <c r="D2551" s="2" t="str">
        <f t="shared" si="38"/>
        <v>Error?</v>
      </c>
    </row>
    <row r="2552" spans="1:4" x14ac:dyDescent="0.2">
      <c r="A2552" s="10">
        <v>2491</v>
      </c>
      <c r="B2552" s="1820"/>
      <c r="D2552" s="2" t="str">
        <f t="shared" si="38"/>
        <v>OK</v>
      </c>
    </row>
    <row r="2553" spans="1:4" x14ac:dyDescent="0.2">
      <c r="A2553" s="5">
        <v>2492</v>
      </c>
      <c r="B2553" s="1820">
        <f>'Acct Summary 7-8'!C6</f>
        <v>7170971</v>
      </c>
      <c r="C2553" s="2" t="s">
        <v>569</v>
      </c>
      <c r="D2553" s="2" t="str">
        <f t="shared" si="38"/>
        <v>Error?</v>
      </c>
    </row>
    <row r="2554" spans="1:4" x14ac:dyDescent="0.2">
      <c r="A2554" s="5">
        <v>2493</v>
      </c>
      <c r="B2554" s="1820">
        <f>'Acct Summary 7-8'!C7</f>
        <v>1446245</v>
      </c>
      <c r="C2554" s="2" t="s">
        <v>569</v>
      </c>
      <c r="D2554" s="2" t="str">
        <f t="shared" si="38"/>
        <v>Error?</v>
      </c>
    </row>
    <row r="2555" spans="1:4" x14ac:dyDescent="0.2">
      <c r="A2555" s="5">
        <v>2494</v>
      </c>
      <c r="B2555" s="1820">
        <f>'Acct Summary 7-8'!C8</f>
        <v>12531872</v>
      </c>
      <c r="C2555" s="2" t="s">
        <v>569</v>
      </c>
      <c r="D2555" s="2" t="str">
        <f t="shared" si="38"/>
        <v>Error?</v>
      </c>
    </row>
    <row r="2556" spans="1:4" x14ac:dyDescent="0.2">
      <c r="A2556" s="5">
        <v>2495</v>
      </c>
      <c r="B2556" s="1820">
        <f>'Acct Summary 7-8'!C12</f>
        <v>4648642</v>
      </c>
      <c r="C2556" s="2" t="s">
        <v>569</v>
      </c>
      <c r="D2556" s="2" t="str">
        <f t="shared" si="38"/>
        <v>Error?</v>
      </c>
    </row>
    <row r="2557" spans="1:4" x14ac:dyDescent="0.2">
      <c r="A2557" s="5">
        <v>2496</v>
      </c>
      <c r="B2557" s="1820">
        <f>'Acct Summary 7-8'!C13</f>
        <v>4664489</v>
      </c>
      <c r="C2557" s="2" t="s">
        <v>569</v>
      </c>
      <c r="D2557" s="2" t="str">
        <f t="shared" si="38"/>
        <v>Error?</v>
      </c>
    </row>
    <row r="2558" spans="1:4" x14ac:dyDescent="0.2">
      <c r="A2558" s="5">
        <v>2497</v>
      </c>
      <c r="B2558" s="1820">
        <f>'Acct Summary 7-8'!C14</f>
        <v>2345</v>
      </c>
      <c r="C2558" s="2" t="s">
        <v>569</v>
      </c>
      <c r="D2558" s="2" t="str">
        <f t="shared" si="38"/>
        <v>Error?</v>
      </c>
    </row>
    <row r="2559" spans="1:4" x14ac:dyDescent="0.2">
      <c r="A2559" s="5">
        <v>2498</v>
      </c>
      <c r="B2559" s="1820">
        <f>'Acct Summary 7-8'!C15</f>
        <v>1515587</v>
      </c>
      <c r="C2559" s="2" t="s">
        <v>569</v>
      </c>
      <c r="D2559" s="2" t="str">
        <f t="shared" ref="D2559:D2622" si="39">IF(ISBLANK(B2559),"OK",IF(A2559-B2559=0,"OK","Error?"))</f>
        <v>Error?</v>
      </c>
    </row>
    <row r="2560" spans="1:4" x14ac:dyDescent="0.2">
      <c r="A2560" s="5">
        <v>2499</v>
      </c>
      <c r="B2560" s="1820">
        <f>'Acct Summary 7-8'!C16</f>
        <v>0</v>
      </c>
      <c r="C2560" s="2" t="s">
        <v>569</v>
      </c>
      <c r="D2560" s="2" t="str">
        <f t="shared" si="39"/>
        <v>Error?</v>
      </c>
    </row>
    <row r="2561" spans="1:4" x14ac:dyDescent="0.2">
      <c r="A2561" s="5">
        <v>2500</v>
      </c>
      <c r="B2561" s="1820">
        <f>'Acct Summary 7-8'!C17</f>
        <v>10831063</v>
      </c>
      <c r="C2561" s="2" t="s">
        <v>569</v>
      </c>
      <c r="D2561" s="2" t="str">
        <f t="shared" si="39"/>
        <v>Error?</v>
      </c>
    </row>
    <row r="2562" spans="1:4" x14ac:dyDescent="0.2">
      <c r="A2562" s="5">
        <v>2501</v>
      </c>
      <c r="B2562" s="1820">
        <f>'Acct Summary 7-8'!C20</f>
        <v>1700809</v>
      </c>
      <c r="C2562" s="2" t="s">
        <v>569</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586690</v>
      </c>
      <c r="C2564" s="2" t="s">
        <v>569</v>
      </c>
      <c r="D2564" s="2" t="str">
        <f t="shared" si="39"/>
        <v>Error?</v>
      </c>
    </row>
    <row r="2565" spans="1:4" x14ac:dyDescent="0.2">
      <c r="A2565" s="10">
        <v>2504</v>
      </c>
      <c r="B2565" s="1820"/>
      <c r="D2565" s="2" t="str">
        <f t="shared" si="39"/>
        <v>OK</v>
      </c>
    </row>
    <row r="2566" spans="1:4" x14ac:dyDescent="0.2">
      <c r="A2566" s="5">
        <v>2505</v>
      </c>
      <c r="B2566" s="1820">
        <f>'Acct Summary 7-8'!D6</f>
        <v>825000</v>
      </c>
      <c r="C2566" s="2" t="s">
        <v>569</v>
      </c>
      <c r="D2566" s="2" t="str">
        <f t="shared" si="39"/>
        <v>Error?</v>
      </c>
    </row>
    <row r="2567" spans="1:4" x14ac:dyDescent="0.2">
      <c r="A2567" s="5">
        <v>2506</v>
      </c>
      <c r="B2567" s="1820">
        <f>'Acct Summary 7-8'!D7</f>
        <v>0</v>
      </c>
      <c r="C2567" s="2" t="s">
        <v>569</v>
      </c>
      <c r="D2567" s="2" t="str">
        <f t="shared" si="39"/>
        <v>Error?</v>
      </c>
    </row>
    <row r="2568" spans="1:4" x14ac:dyDescent="0.2">
      <c r="A2568" s="5">
        <v>2507</v>
      </c>
      <c r="B2568" s="1820">
        <f>'Acct Summary 7-8'!D8</f>
        <v>1411690</v>
      </c>
      <c r="C2568" s="2" t="s">
        <v>569</v>
      </c>
      <c r="D2568" s="2" t="str">
        <f t="shared" si="39"/>
        <v>Error?</v>
      </c>
    </row>
    <row r="2569" spans="1:4" x14ac:dyDescent="0.2">
      <c r="A2569" s="5">
        <v>2508</v>
      </c>
      <c r="B2569" s="1820">
        <f>'Acct Summary 7-8'!D13</f>
        <v>1611243</v>
      </c>
      <c r="C2569" s="2" t="s">
        <v>569</v>
      </c>
      <c r="D2569" s="2" t="str">
        <f t="shared" si="39"/>
        <v>Error?</v>
      </c>
    </row>
    <row r="2570" spans="1:4" x14ac:dyDescent="0.2">
      <c r="A2570" s="5">
        <v>2509</v>
      </c>
      <c r="B2570" s="1820">
        <f>'Acct Summary 7-8'!D14</f>
        <v>0</v>
      </c>
      <c r="C2570" s="2" t="s">
        <v>569</v>
      </c>
      <c r="D2570" s="2" t="str">
        <f t="shared" si="39"/>
        <v>Error?</v>
      </c>
    </row>
    <row r="2571" spans="1:4" x14ac:dyDescent="0.2">
      <c r="A2571" s="5">
        <v>2510</v>
      </c>
      <c r="B2571" s="1820">
        <f>'Acct Summary 7-8'!D15</f>
        <v>0</v>
      </c>
      <c r="C2571" s="2" t="s">
        <v>569</v>
      </c>
      <c r="D2571" s="2" t="str">
        <f t="shared" si="39"/>
        <v>Error?</v>
      </c>
    </row>
    <row r="2572" spans="1:4" x14ac:dyDescent="0.2">
      <c r="A2572" s="5">
        <v>2511</v>
      </c>
      <c r="B2572" s="1820">
        <f>'Acct Summary 7-8'!D16</f>
        <v>0</v>
      </c>
      <c r="C2572" s="2" t="s">
        <v>569</v>
      </c>
      <c r="D2572" s="2" t="str">
        <f t="shared" si="39"/>
        <v>Error?</v>
      </c>
    </row>
    <row r="2573" spans="1:4" x14ac:dyDescent="0.2">
      <c r="A2573" s="5">
        <v>2512</v>
      </c>
      <c r="B2573" s="1820">
        <f>'Acct Summary 7-8'!D17</f>
        <v>1611243</v>
      </c>
      <c r="C2573" s="2" t="s">
        <v>569</v>
      </c>
      <c r="D2573" s="2" t="str">
        <f t="shared" si="39"/>
        <v>Error?</v>
      </c>
    </row>
    <row r="2574" spans="1:4" x14ac:dyDescent="0.2">
      <c r="A2574" s="5">
        <v>2513</v>
      </c>
      <c r="B2574" s="1820">
        <f>'Acct Summary 7-8'!D20</f>
        <v>-199553</v>
      </c>
      <c r="C2574" s="2" t="s">
        <v>569</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978181</v>
      </c>
      <c r="C2591" s="2" t="s">
        <v>569</v>
      </c>
      <c r="D2591" s="2" t="str">
        <f t="shared" si="39"/>
        <v>Error?</v>
      </c>
    </row>
    <row r="2592" spans="1:4" x14ac:dyDescent="0.2">
      <c r="A2592" s="10">
        <v>2531</v>
      </c>
      <c r="B2592" s="1820"/>
      <c r="D2592" s="2" t="str">
        <f t="shared" si="39"/>
        <v>OK</v>
      </c>
    </row>
    <row r="2593" spans="1:4" x14ac:dyDescent="0.2">
      <c r="A2593" s="5">
        <v>2532</v>
      </c>
      <c r="B2593" s="1820">
        <f>'Acct Summary 7-8'!F6</f>
        <v>775958</v>
      </c>
      <c r="C2593" s="2" t="s">
        <v>569</v>
      </c>
      <c r="D2593" s="2" t="str">
        <f t="shared" si="39"/>
        <v>Error?</v>
      </c>
    </row>
    <row r="2594" spans="1:4" x14ac:dyDescent="0.2">
      <c r="A2594" s="5">
        <v>2533</v>
      </c>
      <c r="B2594" s="1820">
        <f>'Acct Summary 7-8'!F7</f>
        <v>0</v>
      </c>
      <c r="C2594" s="2" t="s">
        <v>569</v>
      </c>
      <c r="D2594" s="2" t="str">
        <f t="shared" si="39"/>
        <v>Error?</v>
      </c>
    </row>
    <row r="2595" spans="1:4" x14ac:dyDescent="0.2">
      <c r="A2595" s="5">
        <v>2534</v>
      </c>
      <c r="B2595" s="1820">
        <f>'Acct Summary 7-8'!F8</f>
        <v>1754139</v>
      </c>
      <c r="C2595" s="2" t="s">
        <v>569</v>
      </c>
      <c r="D2595" s="2" t="str">
        <f t="shared" si="39"/>
        <v>Error?</v>
      </c>
    </row>
    <row r="2596" spans="1:4" x14ac:dyDescent="0.2">
      <c r="A2596" s="5">
        <v>2535</v>
      </c>
      <c r="B2596" s="1820">
        <f>'Acct Summary 7-8'!F13</f>
        <v>1109062</v>
      </c>
      <c r="C2596" s="2" t="s">
        <v>569</v>
      </c>
      <c r="D2596" s="2" t="str">
        <f t="shared" si="39"/>
        <v>Error?</v>
      </c>
    </row>
    <row r="2597" spans="1:4" x14ac:dyDescent="0.2">
      <c r="A2597" s="5">
        <v>2536</v>
      </c>
      <c r="B2597" s="1820">
        <f>'Acct Summary 7-8'!F14</f>
        <v>0</v>
      </c>
      <c r="C2597" s="2" t="s">
        <v>569</v>
      </c>
      <c r="D2597" s="2" t="str">
        <f t="shared" si="39"/>
        <v>Error?</v>
      </c>
    </row>
    <row r="2598" spans="1:4" x14ac:dyDescent="0.2">
      <c r="A2598" s="5">
        <v>2537</v>
      </c>
      <c r="B2598" s="1820">
        <f>'Acct Summary 7-8'!F15</f>
        <v>0</v>
      </c>
      <c r="C2598" s="2" t="s">
        <v>569</v>
      </c>
      <c r="D2598" s="2" t="str">
        <f t="shared" si="39"/>
        <v>Error?</v>
      </c>
    </row>
    <row r="2599" spans="1:4" x14ac:dyDescent="0.2">
      <c r="A2599" s="5">
        <v>2538</v>
      </c>
      <c r="B2599" s="1820">
        <f>'Acct Summary 7-8'!F16</f>
        <v>0</v>
      </c>
      <c r="C2599" s="2" t="s">
        <v>569</v>
      </c>
      <c r="D2599" s="2" t="str">
        <f t="shared" si="39"/>
        <v>Error?</v>
      </c>
    </row>
    <row r="2600" spans="1:4" x14ac:dyDescent="0.2">
      <c r="A2600" s="5">
        <v>2539</v>
      </c>
      <c r="B2600" s="1820">
        <f>'Acct Summary 7-8'!F17</f>
        <v>1109062</v>
      </c>
      <c r="C2600" s="2" t="s">
        <v>569</v>
      </c>
      <c r="D2600" s="2" t="str">
        <f t="shared" si="39"/>
        <v>Error?</v>
      </c>
    </row>
    <row r="2601" spans="1:4" x14ac:dyDescent="0.2">
      <c r="A2601" s="5">
        <v>2540</v>
      </c>
      <c r="B2601" s="1820">
        <f>'Acct Summary 7-8'!F20</f>
        <v>645077</v>
      </c>
      <c r="C2601" s="2" t="s">
        <v>569</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134055</v>
      </c>
      <c r="C2603" s="2" t="s">
        <v>569</v>
      </c>
      <c r="D2603" s="2" t="str">
        <f t="shared" si="39"/>
        <v>Error?</v>
      </c>
    </row>
    <row r="2604" spans="1:4" x14ac:dyDescent="0.2">
      <c r="A2604" s="5">
        <v>2543</v>
      </c>
      <c r="B2604" s="1820">
        <f>'Acct Summary 7-8'!G6</f>
        <v>0</v>
      </c>
      <c r="C2604" s="2" t="s">
        <v>569</v>
      </c>
      <c r="D2604" s="2" t="str">
        <f t="shared" si="39"/>
        <v>Error?</v>
      </c>
    </row>
    <row r="2605" spans="1:4" x14ac:dyDescent="0.2">
      <c r="A2605" s="5">
        <v>2544</v>
      </c>
      <c r="B2605" s="1820">
        <f>'Acct Summary 7-8'!G7</f>
        <v>0</v>
      </c>
      <c r="C2605" s="2" t="s">
        <v>569</v>
      </c>
      <c r="D2605" s="2" t="str">
        <f t="shared" si="39"/>
        <v>Error?</v>
      </c>
    </row>
    <row r="2606" spans="1:4" x14ac:dyDescent="0.2">
      <c r="A2606" s="5">
        <v>2545</v>
      </c>
      <c r="B2606" s="1820">
        <f>'Acct Summary 7-8'!G8</f>
        <v>134055</v>
      </c>
      <c r="C2606" s="2" t="s">
        <v>569</v>
      </c>
      <c r="D2606" s="2" t="str">
        <f t="shared" si="39"/>
        <v>Error?</v>
      </c>
    </row>
    <row r="2607" spans="1:4" x14ac:dyDescent="0.2">
      <c r="A2607" s="5">
        <v>2546</v>
      </c>
      <c r="B2607" s="1820">
        <f>'Acct Summary 7-8'!G12</f>
        <v>97218</v>
      </c>
      <c r="C2607" s="2" t="s">
        <v>569</v>
      </c>
      <c r="D2607" s="2" t="str">
        <f t="shared" si="39"/>
        <v>Error?</v>
      </c>
    </row>
    <row r="2608" spans="1:4" x14ac:dyDescent="0.2">
      <c r="A2608" s="5">
        <v>2547</v>
      </c>
      <c r="B2608" s="1820">
        <f>'Acct Summary 7-8'!G13</f>
        <v>192310</v>
      </c>
      <c r="C2608" s="2" t="s">
        <v>569</v>
      </c>
      <c r="D2608" s="2" t="str">
        <f t="shared" si="39"/>
        <v>Error?</v>
      </c>
    </row>
    <row r="2609" spans="1:4" x14ac:dyDescent="0.2">
      <c r="A2609" s="5">
        <v>2548</v>
      </c>
      <c r="B2609" s="1820">
        <f>'Acct Summary 7-8'!G14</f>
        <v>0</v>
      </c>
      <c r="C2609" s="2" t="s">
        <v>569</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569</v>
      </c>
      <c r="D2611" s="2" t="str">
        <f t="shared" si="39"/>
        <v>Error?</v>
      </c>
    </row>
    <row r="2612" spans="1:4" x14ac:dyDescent="0.2">
      <c r="A2612" s="5">
        <v>2551</v>
      </c>
      <c r="B2612" s="1820">
        <f>'Acct Summary 7-8'!G17</f>
        <v>289528</v>
      </c>
      <c r="C2612" s="2" t="s">
        <v>569</v>
      </c>
      <c r="D2612" s="2" t="str">
        <f t="shared" si="39"/>
        <v>Error?</v>
      </c>
    </row>
    <row r="2613" spans="1:4" x14ac:dyDescent="0.2">
      <c r="A2613" s="5">
        <v>2552</v>
      </c>
      <c r="B2613" s="1820">
        <f>'Acct Summary 7-8'!G20</f>
        <v>-155473</v>
      </c>
      <c r="C2613" s="2" t="s">
        <v>569</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1082084</v>
      </c>
      <c r="C2630" s="2" t="s">
        <v>569</v>
      </c>
      <c r="D2630" s="2" t="str">
        <f t="shared" si="40"/>
        <v>Error?</v>
      </c>
    </row>
    <row r="2631" spans="1:4" x14ac:dyDescent="0.2">
      <c r="A2631" s="5">
        <v>2570</v>
      </c>
      <c r="B2631" s="1820">
        <f>'Acct Summary 7-8'!E6</f>
        <v>0</v>
      </c>
      <c r="C2631" s="2" t="s">
        <v>569</v>
      </c>
      <c r="D2631" s="2" t="str">
        <f t="shared" si="40"/>
        <v>Error?</v>
      </c>
    </row>
    <row r="2632" spans="1:4" x14ac:dyDescent="0.2">
      <c r="A2632" s="5">
        <v>2571</v>
      </c>
      <c r="B2632" s="1820">
        <f>'Acct Summary 7-8'!E8</f>
        <v>1082084</v>
      </c>
      <c r="C2632" s="2" t="s">
        <v>569</v>
      </c>
      <c r="D2632" s="2" t="str">
        <f t="shared" si="40"/>
        <v>Error?</v>
      </c>
    </row>
    <row r="2633" spans="1:4" x14ac:dyDescent="0.2">
      <c r="A2633" s="5">
        <v>2572</v>
      </c>
      <c r="B2633" s="1820">
        <f>'Acct Summary 7-8'!E15</f>
        <v>0</v>
      </c>
      <c r="C2633" s="2" t="s">
        <v>569</v>
      </c>
      <c r="D2633" s="2" t="str">
        <f t="shared" si="40"/>
        <v>Error?</v>
      </c>
    </row>
    <row r="2634" spans="1:4" x14ac:dyDescent="0.2">
      <c r="A2634" s="5">
        <v>2573</v>
      </c>
      <c r="B2634" s="1820">
        <f>'Acct Summary 7-8'!E16</f>
        <v>1208728</v>
      </c>
      <c r="C2634" s="2" t="s">
        <v>569</v>
      </c>
      <c r="D2634" s="2" t="str">
        <f t="shared" si="40"/>
        <v>Error?</v>
      </c>
    </row>
    <row r="2635" spans="1:4" x14ac:dyDescent="0.2">
      <c r="A2635" s="5">
        <v>2574</v>
      </c>
      <c r="B2635" s="1820">
        <f>'Acct Summary 7-8'!E17</f>
        <v>1208728</v>
      </c>
      <c r="C2635" s="2" t="s">
        <v>569</v>
      </c>
      <c r="D2635" s="2" t="str">
        <f t="shared" si="40"/>
        <v>Error?</v>
      </c>
    </row>
    <row r="2636" spans="1:4" x14ac:dyDescent="0.2">
      <c r="A2636" s="5">
        <v>2575</v>
      </c>
      <c r="B2636" s="1820">
        <f>'Acct Summary 7-8'!E20</f>
        <v>-126644</v>
      </c>
      <c r="C2636" s="2" t="s">
        <v>569</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569</v>
      </c>
      <c r="D2638" s="2" t="str">
        <f t="shared" si="40"/>
        <v>OK</v>
      </c>
    </row>
    <row r="2639" spans="1:4" x14ac:dyDescent="0.2">
      <c r="A2639" s="10">
        <v>2578</v>
      </c>
      <c r="B2639" s="1820"/>
      <c r="C2639" s="2" t="s">
        <v>569</v>
      </c>
      <c r="D2639" s="2" t="str">
        <f t="shared" si="40"/>
        <v>OK</v>
      </c>
    </row>
    <row r="2640" spans="1:4" x14ac:dyDescent="0.2">
      <c r="A2640" s="10">
        <v>2579</v>
      </c>
      <c r="B2640" s="1820"/>
      <c r="C2640" s="2" t="s">
        <v>569</v>
      </c>
      <c r="D2640" s="2" t="str">
        <f t="shared" si="40"/>
        <v>OK</v>
      </c>
    </row>
    <row r="2641" spans="1:4" x14ac:dyDescent="0.2">
      <c r="A2641" s="10">
        <v>2580</v>
      </c>
      <c r="B2641" s="1820"/>
      <c r="C2641" s="2" t="s">
        <v>569</v>
      </c>
      <c r="D2641" s="2" t="str">
        <f t="shared" si="40"/>
        <v>OK</v>
      </c>
    </row>
    <row r="2642" spans="1:4" x14ac:dyDescent="0.2">
      <c r="A2642" s="10">
        <v>2581</v>
      </c>
      <c r="B2642" s="1820"/>
      <c r="C2642" s="2" t="s">
        <v>569</v>
      </c>
      <c r="D2642" s="2" t="str">
        <f t="shared" si="40"/>
        <v>OK</v>
      </c>
    </row>
    <row r="2643" spans="1:4" x14ac:dyDescent="0.2">
      <c r="A2643" s="10">
        <v>2582</v>
      </c>
      <c r="B2643" s="1820"/>
      <c r="C2643" s="2" t="s">
        <v>569</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15</v>
      </c>
      <c r="C2655" s="2" t="s">
        <v>569</v>
      </c>
      <c r="D2655" s="2" t="str">
        <f t="shared" si="40"/>
        <v>Error?</v>
      </c>
    </row>
    <row r="2656" spans="1:4" x14ac:dyDescent="0.2">
      <c r="A2656" s="5">
        <v>2595</v>
      </c>
      <c r="B2656" s="1820">
        <f>'Acct Summary 7-8'!H6</f>
        <v>0</v>
      </c>
      <c r="C2656" s="2" t="s">
        <v>569</v>
      </c>
      <c r="D2656" s="2" t="str">
        <f t="shared" si="40"/>
        <v>Error?</v>
      </c>
    </row>
    <row r="2657" spans="1:4" x14ac:dyDescent="0.2">
      <c r="A2657" s="5">
        <v>2596</v>
      </c>
      <c r="B2657" s="1820">
        <f>'Acct Summary 7-8'!H7</f>
        <v>0</v>
      </c>
      <c r="C2657" s="2" t="s">
        <v>569</v>
      </c>
      <c r="D2657" s="2" t="str">
        <f t="shared" si="40"/>
        <v>Error?</v>
      </c>
    </row>
    <row r="2658" spans="1:4" x14ac:dyDescent="0.2">
      <c r="A2658" s="5">
        <v>2597</v>
      </c>
      <c r="B2658" s="1820">
        <f>'Acct Summary 7-8'!H8</f>
        <v>15</v>
      </c>
      <c r="C2658" s="2" t="s">
        <v>569</v>
      </c>
      <c r="D2658" s="2" t="str">
        <f t="shared" si="40"/>
        <v>Error?</v>
      </c>
    </row>
    <row r="2659" spans="1:4" x14ac:dyDescent="0.2">
      <c r="A2659" s="5">
        <v>2598</v>
      </c>
      <c r="B2659" s="1820">
        <f>'Acct Summary 7-8'!H13</f>
        <v>0</v>
      </c>
      <c r="C2659" s="2" t="s">
        <v>569</v>
      </c>
      <c r="D2659" s="2" t="str">
        <f t="shared" si="40"/>
        <v>Error?</v>
      </c>
    </row>
    <row r="2660" spans="1:4" x14ac:dyDescent="0.2">
      <c r="A2660" s="5">
        <v>2599</v>
      </c>
      <c r="B2660" s="1820">
        <f>'Acct Summary 7-8'!H15</f>
        <v>0</v>
      </c>
      <c r="C2660" s="2" t="s">
        <v>569</v>
      </c>
      <c r="D2660" s="2" t="str">
        <f t="shared" si="40"/>
        <v>Error?</v>
      </c>
    </row>
    <row r="2661" spans="1:4" x14ac:dyDescent="0.2">
      <c r="A2661" s="5">
        <v>2600</v>
      </c>
      <c r="B2661" s="1820">
        <f>'Acct Summary 7-8'!H17</f>
        <v>0</v>
      </c>
      <c r="C2661" s="2" t="s">
        <v>569</v>
      </c>
      <c r="D2661" s="2" t="str">
        <f t="shared" si="40"/>
        <v>Error?</v>
      </c>
    </row>
    <row r="2662" spans="1:4" x14ac:dyDescent="0.2">
      <c r="A2662" s="5">
        <v>2601</v>
      </c>
      <c r="B2662" s="1820">
        <f>'Acct Summary 7-8'!H20</f>
        <v>15</v>
      </c>
      <c r="C2662" s="2" t="s">
        <v>569</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188665</v>
      </c>
      <c r="D2718" s="2" t="str">
        <f t="shared" si="41"/>
        <v>Error?</v>
      </c>
    </row>
    <row r="2719" spans="1:4" x14ac:dyDescent="0.2">
      <c r="A2719" s="5">
        <v>2658</v>
      </c>
      <c r="B2719" s="1820">
        <f>'Expenditures 15-22'!D51</f>
        <v>19252</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892</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3528</v>
      </c>
      <c r="D2723" s="2" t="str">
        <f t="shared" si="41"/>
        <v>Error?</v>
      </c>
    </row>
    <row r="2724" spans="1:4" x14ac:dyDescent="0.2">
      <c r="A2724" s="5">
        <v>2663</v>
      </c>
      <c r="B2724" s="1820">
        <f>'Expenditures 15-22'!K51</f>
        <v>212337</v>
      </c>
      <c r="C2724" s="2" t="s">
        <v>569</v>
      </c>
      <c r="D2724" s="2" t="str">
        <f t="shared" si="41"/>
        <v>Error?</v>
      </c>
    </row>
    <row r="2725" spans="1:4" x14ac:dyDescent="0.2">
      <c r="A2725" s="5">
        <v>2664</v>
      </c>
      <c r="B2725" s="1820">
        <f>'Expenditures 15-22'!D247</f>
        <v>11063</v>
      </c>
      <c r="D2725" s="2" t="str">
        <f t="shared" si="41"/>
        <v>Error?</v>
      </c>
    </row>
    <row r="2726" spans="1:4" x14ac:dyDescent="0.2">
      <c r="A2726" s="5">
        <v>2665</v>
      </c>
      <c r="B2726" s="1820">
        <f>'Expenditures 15-22'!K247</f>
        <v>11063</v>
      </c>
      <c r="C2726" s="2" t="s">
        <v>569</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569</v>
      </c>
      <c r="D2733" s="2" t="str">
        <f t="shared" si="41"/>
        <v>Error?</v>
      </c>
    </row>
    <row r="2734" spans="1:4" x14ac:dyDescent="0.2">
      <c r="A2734" s="5">
        <v>2673</v>
      </c>
      <c r="B2734" s="1820">
        <f>'Short-Term Long-Term Debt 24'!F25</f>
        <v>0</v>
      </c>
      <c r="C2734" s="2" t="s">
        <v>569</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1994</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0</v>
      </c>
      <c r="C2789" s="2" t="s">
        <v>569</v>
      </c>
      <c r="D2789" s="2" t="str">
        <f t="shared" si="42"/>
        <v>Error?</v>
      </c>
    </row>
    <row r="2790" spans="1:4" x14ac:dyDescent="0.2">
      <c r="A2790" s="5">
        <v>2729</v>
      </c>
      <c r="B2790" s="1820">
        <f>'Expenditures 15-22'!E102</f>
        <v>0</v>
      </c>
      <c r="C2790" s="2" t="s">
        <v>569</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569</v>
      </c>
      <c r="D2795" s="2" t="str">
        <f t="shared" si="42"/>
        <v>Error?</v>
      </c>
    </row>
    <row r="2796" spans="1:4" x14ac:dyDescent="0.2">
      <c r="A2796" s="5">
        <v>2735</v>
      </c>
      <c r="B2796" s="1820">
        <f>'Expenditures 15-22'!K108</f>
        <v>0</v>
      </c>
      <c r="C2796" s="2" t="s">
        <v>569</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569</v>
      </c>
      <c r="D2804" s="2" t="str">
        <f t="shared" si="42"/>
        <v>OK</v>
      </c>
    </row>
    <row r="2805" spans="1:4" x14ac:dyDescent="0.2">
      <c r="A2805" s="5">
        <v>2744</v>
      </c>
      <c r="B2805" s="1820">
        <f>'Expenditures 15-22'!K130</f>
        <v>0</v>
      </c>
      <c r="C2805" s="2" t="s">
        <v>569</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569</v>
      </c>
      <c r="D2809" s="2" t="str">
        <f t="shared" si="42"/>
        <v>OK</v>
      </c>
    </row>
    <row r="2810" spans="1:4" x14ac:dyDescent="0.2">
      <c r="A2810" s="5">
        <v>2749</v>
      </c>
      <c r="B2810" s="1820">
        <f>'Expenditures 15-22'!K144</f>
        <v>0</v>
      </c>
      <c r="C2810" s="2" t="s">
        <v>569</v>
      </c>
      <c r="D2810" s="2" t="str">
        <f t="shared" si="42"/>
        <v>Error?</v>
      </c>
    </row>
    <row r="2811" spans="1:4" x14ac:dyDescent="0.2">
      <c r="A2811" s="5">
        <v>2750</v>
      </c>
      <c r="B2811" s="1820">
        <f>'Expenditures 15-22'!K145</f>
        <v>0</v>
      </c>
      <c r="C2811" s="2" t="s">
        <v>569</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569</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569</v>
      </c>
      <c r="D2818" s="2" t="str">
        <f t="shared" si="43"/>
        <v>Error?</v>
      </c>
    </row>
    <row r="2819" spans="1:4" x14ac:dyDescent="0.2">
      <c r="A2819" s="5">
        <v>2758</v>
      </c>
      <c r="B2819" s="1820">
        <f>'Expenditures 15-22'!K166</f>
        <v>0</v>
      </c>
      <c r="C2819" s="2" t="s">
        <v>569</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569</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569</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569</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569</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569</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569</v>
      </c>
      <c r="D2841" s="2" t="str">
        <f t="shared" si="43"/>
        <v>Error?</v>
      </c>
    </row>
    <row r="2842" spans="1:5" x14ac:dyDescent="0.2">
      <c r="A2842" s="5">
        <v>2781</v>
      </c>
      <c r="B2842" s="1820">
        <f>'Expenditures 15-22'!K202</f>
        <v>0</v>
      </c>
      <c r="C2842" s="2" t="s">
        <v>569</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569</v>
      </c>
      <c r="D2845" s="2" t="str">
        <f t="shared" si="43"/>
        <v>Error?</v>
      </c>
    </row>
    <row r="2846" spans="1:5" x14ac:dyDescent="0.2">
      <c r="A2846" s="5">
        <v>2785</v>
      </c>
      <c r="B2846" s="1820">
        <f>'Expenditures 15-22'!K291</f>
        <v>0</v>
      </c>
      <c r="C2846" s="2" t="s">
        <v>569</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0</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57089</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57089</v>
      </c>
      <c r="C2888" s="2" t="s">
        <v>569</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18872</v>
      </c>
      <c r="C2895" s="2" t="s">
        <v>569</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569</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57089</v>
      </c>
      <c r="D2912" s="2" t="str">
        <f t="shared" si="44"/>
        <v>Error?</v>
      </c>
    </row>
    <row r="2913" spans="1:4" x14ac:dyDescent="0.2">
      <c r="A2913" s="5">
        <v>2852</v>
      </c>
      <c r="B2913" s="1820">
        <f>'Assets-Liab 5-6'!I41</f>
        <v>57089</v>
      </c>
      <c r="C2913" s="2" t="s">
        <v>569</v>
      </c>
      <c r="D2913" s="2" t="str">
        <f t="shared" si="44"/>
        <v>Error?</v>
      </c>
    </row>
    <row r="2914" spans="1:4" x14ac:dyDescent="0.2">
      <c r="A2914" s="5">
        <v>2853</v>
      </c>
      <c r="B2914" s="1820">
        <f>'Assets-Liab 5-6'!L33</f>
        <v>18872</v>
      </c>
      <c r="D2914" s="2" t="str">
        <f t="shared" si="44"/>
        <v>Error?</v>
      </c>
    </row>
    <row r="2915" spans="1:4" x14ac:dyDescent="0.2">
      <c r="A2915" s="10">
        <v>2854</v>
      </c>
      <c r="B2915" s="1820"/>
      <c r="D2915" s="2" t="str">
        <f t="shared" si="44"/>
        <v>OK</v>
      </c>
    </row>
    <row r="2916" spans="1:4" x14ac:dyDescent="0.2">
      <c r="A2916" s="5">
        <v>2855</v>
      </c>
      <c r="B2916" s="1820">
        <f>'Assets-Liab 5-6'!L34</f>
        <v>18872</v>
      </c>
      <c r="C2916" s="2" t="s">
        <v>569</v>
      </c>
      <c r="D2916" s="2" t="str">
        <f t="shared" si="44"/>
        <v>Error?</v>
      </c>
    </row>
    <row r="2917" spans="1:4" x14ac:dyDescent="0.2">
      <c r="A2917" s="5">
        <v>2856</v>
      </c>
      <c r="B2917" s="1820">
        <f>'Assets-Liab 5-6'!L41</f>
        <v>18872</v>
      </c>
      <c r="C2917" s="2" t="s">
        <v>569</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0</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1515587</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569</v>
      </c>
      <c r="D2973" s="2" t="str">
        <f t="shared" si="45"/>
        <v>Error?</v>
      </c>
    </row>
    <row r="2974" spans="1:4" x14ac:dyDescent="0.2">
      <c r="A2974" s="5">
        <v>2913</v>
      </c>
      <c r="B2974" s="1820">
        <f>'Expenditures 15-22'!K79</f>
        <v>1515587</v>
      </c>
      <c r="C2974" s="2" t="s">
        <v>569</v>
      </c>
      <c r="D2974" s="2" t="str">
        <f t="shared" si="45"/>
        <v>Error?</v>
      </c>
    </row>
    <row r="2975" spans="1:4" x14ac:dyDescent="0.2">
      <c r="A2975" s="5">
        <v>2914</v>
      </c>
      <c r="B2975" s="1820">
        <f>'Expenditures 15-22'!K80</f>
        <v>0</v>
      </c>
      <c r="C2975" s="2" t="s">
        <v>569</v>
      </c>
      <c r="D2975" s="2" t="str">
        <f t="shared" si="45"/>
        <v>Error?</v>
      </c>
    </row>
    <row r="2976" spans="1:4" x14ac:dyDescent="0.2">
      <c r="A2976" s="5">
        <v>2915</v>
      </c>
      <c r="B2976" s="1820">
        <f>'Expenditures 15-22'!K81</f>
        <v>0</v>
      </c>
      <c r="C2976" s="2" t="s">
        <v>569</v>
      </c>
      <c r="D2976" s="2" t="str">
        <f t="shared" si="45"/>
        <v>Error?</v>
      </c>
    </row>
    <row r="2977" spans="1:4" x14ac:dyDescent="0.2">
      <c r="A2977" s="5">
        <v>2916</v>
      </c>
      <c r="B2977" s="1820">
        <f>'Expenditures 15-22'!K82</f>
        <v>0</v>
      </c>
      <c r="C2977" s="2" t="s">
        <v>569</v>
      </c>
      <c r="D2977" s="2" t="str">
        <f t="shared" si="45"/>
        <v>Error?</v>
      </c>
    </row>
    <row r="2978" spans="1:4" x14ac:dyDescent="0.2">
      <c r="A2978" s="5">
        <v>2917</v>
      </c>
      <c r="B2978" s="1820">
        <f>'Expenditures 15-22'!K83</f>
        <v>0</v>
      </c>
      <c r="C2978" s="2" t="s">
        <v>569</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569</v>
      </c>
      <c r="D2985" s="2" t="str">
        <f t="shared" si="45"/>
        <v>OK</v>
      </c>
    </row>
    <row r="2986" spans="1:4" x14ac:dyDescent="0.2">
      <c r="A2986" s="5">
        <v>2925</v>
      </c>
      <c r="B2986" s="1820">
        <f>'Expenditures 15-22'!K134</f>
        <v>0</v>
      </c>
      <c r="C2986" s="2" t="s">
        <v>569</v>
      </c>
      <c r="D2986" s="2" t="str">
        <f t="shared" si="45"/>
        <v>Error?</v>
      </c>
    </row>
    <row r="2987" spans="1:4" x14ac:dyDescent="0.2">
      <c r="A2987" s="5">
        <v>2926</v>
      </c>
      <c r="B2987" s="1820">
        <f>'Expenditures 15-22'!K135</f>
        <v>0</v>
      </c>
      <c r="C2987" s="2" t="s">
        <v>569</v>
      </c>
      <c r="D2987" s="2" t="str">
        <f t="shared" si="45"/>
        <v>Error?</v>
      </c>
    </row>
    <row r="2988" spans="1:4" x14ac:dyDescent="0.2">
      <c r="A2988" s="5">
        <v>2927</v>
      </c>
      <c r="B2988" s="1820">
        <f>'Expenditures 15-22'!K136</f>
        <v>0</v>
      </c>
      <c r="C2988" s="2" t="s">
        <v>569</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569</v>
      </c>
      <c r="D3007" s="2" t="str">
        <f t="shared" ref="D3007:D3070" si="46">IF(ISBLANK(B3007),"OK",IF(A3007-B3007=0,"OK","Error?"))</f>
        <v>Error?</v>
      </c>
    </row>
    <row r="3008" spans="1:4" x14ac:dyDescent="0.2">
      <c r="A3008" s="5">
        <v>2947</v>
      </c>
      <c r="B3008" s="1820">
        <f>'Expenditures 15-22'!K189</f>
        <v>0</v>
      </c>
      <c r="C3008" s="2" t="s">
        <v>569</v>
      </c>
      <c r="D3008" s="2" t="str">
        <f t="shared" si="46"/>
        <v>Error?</v>
      </c>
    </row>
    <row r="3009" spans="1:5" x14ac:dyDescent="0.2">
      <c r="A3009" s="5">
        <v>2948</v>
      </c>
      <c r="B3009" s="1820">
        <f>'Expenditures 15-22'!K190</f>
        <v>0</v>
      </c>
      <c r="C3009" s="2" t="s">
        <v>569</v>
      </c>
      <c r="D3009" s="2" t="str">
        <f t="shared" si="46"/>
        <v>Error?</v>
      </c>
    </row>
    <row r="3010" spans="1:5" x14ac:dyDescent="0.2">
      <c r="A3010" s="5">
        <v>2949</v>
      </c>
      <c r="B3010" s="1820">
        <f>'Expenditures 15-22'!K191</f>
        <v>0</v>
      </c>
      <c r="C3010" s="2" t="s">
        <v>569</v>
      </c>
      <c r="D3010" s="2" t="str">
        <f t="shared" si="46"/>
        <v>Error?</v>
      </c>
    </row>
    <row r="3011" spans="1:5" x14ac:dyDescent="0.2">
      <c r="A3011" s="5">
        <v>2950</v>
      </c>
      <c r="B3011" s="1820">
        <f>'Expenditures 15-22'!K192</f>
        <v>0</v>
      </c>
      <c r="C3011" s="2" t="s">
        <v>569</v>
      </c>
      <c r="D3011" s="2" t="str">
        <f t="shared" si="46"/>
        <v>Error?</v>
      </c>
    </row>
    <row r="3012" spans="1:5" x14ac:dyDescent="0.2">
      <c r="A3012" s="5">
        <v>2951</v>
      </c>
      <c r="B3012" s="1820">
        <f>'Expenditures 15-22'!K193</f>
        <v>0</v>
      </c>
      <c r="C3012" s="2" t="s">
        <v>569</v>
      </c>
      <c r="D3012" s="2" t="str">
        <f t="shared" si="46"/>
        <v>Error?</v>
      </c>
    </row>
    <row r="3013" spans="1:5" x14ac:dyDescent="0.2">
      <c r="A3013" s="10">
        <v>2952</v>
      </c>
      <c r="B3013" s="1820"/>
      <c r="D3013" s="4" t="s">
        <v>1994</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0</v>
      </c>
      <c r="D3055" s="2" t="str">
        <f t="shared" si="46"/>
        <v>Error?</v>
      </c>
    </row>
    <row r="3056" spans="1:4" x14ac:dyDescent="0.2">
      <c r="A3056" s="5">
        <v>2995</v>
      </c>
      <c r="B3056" s="1820">
        <f>'Expenditures 15-22'!D10</f>
        <v>0</v>
      </c>
      <c r="D3056" s="2" t="str">
        <f t="shared" si="46"/>
        <v>Error?</v>
      </c>
    </row>
    <row r="3057" spans="1:4" x14ac:dyDescent="0.2">
      <c r="A3057" s="5">
        <v>2996</v>
      </c>
      <c r="B3057" s="1820">
        <f>'Expenditures 15-22'!E10</f>
        <v>0</v>
      </c>
      <c r="D3057" s="2" t="str">
        <f t="shared" si="46"/>
        <v>Error?</v>
      </c>
    </row>
    <row r="3058" spans="1:4" x14ac:dyDescent="0.2">
      <c r="A3058" s="5">
        <v>2997</v>
      </c>
      <c r="B3058" s="1820">
        <f>'Expenditures 15-22'!F10</f>
        <v>0</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0</v>
      </c>
      <c r="C3062" s="2" t="s">
        <v>569</v>
      </c>
      <c r="D3062" s="2" t="str">
        <f t="shared" si="46"/>
        <v>Error?</v>
      </c>
    </row>
    <row r="3063" spans="1:4" x14ac:dyDescent="0.2">
      <c r="A3063" s="10">
        <v>3002</v>
      </c>
      <c r="B3063" s="1820"/>
      <c r="D3063" s="2" t="str">
        <f t="shared" si="46"/>
        <v>OK</v>
      </c>
    </row>
    <row r="3064" spans="1:4" x14ac:dyDescent="0.2">
      <c r="A3064" s="5">
        <v>3003</v>
      </c>
      <c r="B3064" s="1820">
        <f>'Expenditures 15-22'!D219</f>
        <v>0</v>
      </c>
      <c r="D3064" s="2" t="str">
        <f t="shared" si="46"/>
        <v>Error?</v>
      </c>
    </row>
    <row r="3065" spans="1:4" x14ac:dyDescent="0.2">
      <c r="A3065" s="5">
        <v>3004</v>
      </c>
      <c r="B3065" s="1820">
        <f>'Expenditures 15-22'!K219</f>
        <v>0</v>
      </c>
      <c r="C3065" s="2" t="s">
        <v>569</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569</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34790</v>
      </c>
      <c r="C3225" s="2" t="s">
        <v>569</v>
      </c>
      <c r="D3225" s="2" t="str">
        <f t="shared" si="49"/>
        <v>Error?</v>
      </c>
    </row>
    <row r="3226" spans="1:4" x14ac:dyDescent="0.2">
      <c r="A3226" s="5">
        <v>3165</v>
      </c>
      <c r="B3226" s="1820">
        <f>'Acct Summary 7-8'!I8</f>
        <v>34790</v>
      </c>
      <c r="C3226" s="2" t="s">
        <v>569</v>
      </c>
      <c r="D3226" s="2" t="str">
        <f t="shared" si="49"/>
        <v>Error?</v>
      </c>
    </row>
    <row r="3227" spans="1:4" x14ac:dyDescent="0.2">
      <c r="A3227" s="5">
        <v>3166</v>
      </c>
      <c r="B3227" s="1820">
        <f>'Acct Summary 7-8'!I20</f>
        <v>34790</v>
      </c>
      <c r="C3227" s="2" t="s">
        <v>569</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0</v>
      </c>
      <c r="C3229" s="2" t="s">
        <v>569</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0</v>
      </c>
      <c r="C3231" s="2" t="s">
        <v>569</v>
      </c>
      <c r="D3231" s="2" t="str">
        <f t="shared" si="49"/>
        <v>Error?</v>
      </c>
    </row>
    <row r="3232" spans="1:4" x14ac:dyDescent="0.2">
      <c r="A3232" s="5">
        <v>3171</v>
      </c>
      <c r="B3232" s="1820">
        <f>'Acct Summary 7-8'!C77</f>
        <v>0</v>
      </c>
      <c r="C3232" s="2" t="s">
        <v>569</v>
      </c>
      <c r="D3232" s="2" t="str">
        <f t="shared" si="49"/>
        <v>Error?</v>
      </c>
    </row>
    <row r="3233" spans="1:4" x14ac:dyDescent="0.2">
      <c r="A3233" s="5">
        <v>3172</v>
      </c>
      <c r="B3233" s="1820">
        <f>'Acct Summary 7-8'!C78</f>
        <v>1700809</v>
      </c>
      <c r="C3233" s="2" t="s">
        <v>569</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569</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0</v>
      </c>
      <c r="C3237" s="2" t="s">
        <v>569</v>
      </c>
      <c r="D3237" s="2" t="str">
        <f t="shared" si="49"/>
        <v>Error?</v>
      </c>
    </row>
    <row r="3238" spans="1:4" x14ac:dyDescent="0.2">
      <c r="A3238" s="5">
        <v>3177</v>
      </c>
      <c r="B3238" s="1820">
        <f>'Acct Summary 7-8'!D77</f>
        <v>0</v>
      </c>
      <c r="C3238" s="2" t="s">
        <v>569</v>
      </c>
      <c r="D3238" s="2" t="str">
        <f t="shared" si="49"/>
        <v>Error?</v>
      </c>
    </row>
    <row r="3239" spans="1:4" x14ac:dyDescent="0.2">
      <c r="A3239" s="5">
        <v>3178</v>
      </c>
      <c r="B3239" s="1820">
        <f>'Acct Summary 7-8'!D78</f>
        <v>-199553</v>
      </c>
      <c r="C3239" s="2" t="s">
        <v>569</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569</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569</v>
      </c>
      <c r="D3254" s="2" t="str">
        <f t="shared" si="49"/>
        <v>Error?</v>
      </c>
    </row>
    <row r="3255" spans="1:4" x14ac:dyDescent="0.2">
      <c r="A3255" s="5">
        <v>3194</v>
      </c>
      <c r="B3255" s="1820">
        <f>'Acct Summary 7-8'!F77</f>
        <v>0</v>
      </c>
      <c r="C3255" s="2" t="s">
        <v>569</v>
      </c>
      <c r="D3255" s="2" t="str">
        <f t="shared" si="49"/>
        <v>Error?</v>
      </c>
    </row>
    <row r="3256" spans="1:4" x14ac:dyDescent="0.2">
      <c r="A3256" s="5">
        <v>3195</v>
      </c>
      <c r="B3256" s="1820">
        <f>'Acct Summary 7-8'!F78</f>
        <v>645077</v>
      </c>
      <c r="C3256" s="2" t="s">
        <v>569</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569</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569</v>
      </c>
      <c r="D3260" s="2" t="str">
        <f t="shared" si="49"/>
        <v>Error?</v>
      </c>
    </row>
    <row r="3261" spans="1:4" x14ac:dyDescent="0.2">
      <c r="A3261" s="5">
        <v>3200</v>
      </c>
      <c r="B3261" s="1820">
        <f>'Acct Summary 7-8'!G77</f>
        <v>0</v>
      </c>
      <c r="C3261" s="2" t="s">
        <v>569</v>
      </c>
      <c r="D3261" s="2" t="str">
        <f t="shared" si="49"/>
        <v>Error?</v>
      </c>
    </row>
    <row r="3262" spans="1:4" x14ac:dyDescent="0.2">
      <c r="A3262" s="5">
        <v>3201</v>
      </c>
      <c r="B3262" s="1820">
        <f>'Acct Summary 7-8'!G78</f>
        <v>-155473</v>
      </c>
      <c r="C3262" s="2" t="s">
        <v>569</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0</v>
      </c>
      <c r="C3274" s="2" t="s">
        <v>569</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569</v>
      </c>
      <c r="D3276" s="2" t="str">
        <f t="shared" si="50"/>
        <v>Error?</v>
      </c>
    </row>
    <row r="3277" spans="1:4" x14ac:dyDescent="0.2">
      <c r="A3277" s="5">
        <v>3216</v>
      </c>
      <c r="B3277" s="1820">
        <f>'Acct Summary 7-8'!E77</f>
        <v>0</v>
      </c>
      <c r="C3277" s="2" t="s">
        <v>569</v>
      </c>
      <c r="D3277" s="2" t="str">
        <f t="shared" si="50"/>
        <v>Error?</v>
      </c>
    </row>
    <row r="3278" spans="1:4" x14ac:dyDescent="0.2">
      <c r="A3278" s="5">
        <v>3217</v>
      </c>
      <c r="B3278" s="1820">
        <f>'Acct Summary 7-8'!E78</f>
        <v>-126644</v>
      </c>
      <c r="C3278" s="2" t="s">
        <v>569</v>
      </c>
      <c r="D3278" s="2" t="str">
        <f t="shared" si="50"/>
        <v>Error?</v>
      </c>
    </row>
    <row r="3279" spans="1:4" x14ac:dyDescent="0.2">
      <c r="A3279" s="10">
        <v>3218</v>
      </c>
      <c r="B3279" s="1820"/>
      <c r="D3279" s="2" t="str">
        <f t="shared" si="50"/>
        <v>OK</v>
      </c>
    </row>
    <row r="3280" spans="1:4" x14ac:dyDescent="0.2">
      <c r="A3280" s="10">
        <v>3219</v>
      </c>
      <c r="B3280" s="1820"/>
      <c r="C3280" s="2" t="s">
        <v>569</v>
      </c>
      <c r="D3280" s="2" t="str">
        <f t="shared" si="50"/>
        <v>OK</v>
      </c>
    </row>
    <row r="3281" spans="1:4" x14ac:dyDescent="0.2">
      <c r="A3281" s="10">
        <v>3220</v>
      </c>
      <c r="B3281" s="1820"/>
      <c r="D3281" s="2" t="str">
        <f t="shared" si="50"/>
        <v>OK</v>
      </c>
    </row>
    <row r="3282" spans="1:4" x14ac:dyDescent="0.2">
      <c r="A3282" s="10">
        <v>3221</v>
      </c>
      <c r="B3282" s="1820"/>
      <c r="C3282" s="2" t="s">
        <v>569</v>
      </c>
      <c r="D3282" s="2" t="str">
        <f t="shared" si="50"/>
        <v>OK</v>
      </c>
    </row>
    <row r="3283" spans="1:4" x14ac:dyDescent="0.2">
      <c r="A3283" s="10">
        <v>3222</v>
      </c>
      <c r="B3283" s="1820"/>
      <c r="C3283" s="2" t="s">
        <v>569</v>
      </c>
      <c r="D3283" s="2" t="str">
        <f t="shared" si="50"/>
        <v>OK</v>
      </c>
    </row>
    <row r="3284" spans="1:4" x14ac:dyDescent="0.2">
      <c r="A3284" s="10">
        <v>3223</v>
      </c>
      <c r="B3284" s="1820"/>
      <c r="C3284" s="2" t="s">
        <v>569</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0</v>
      </c>
      <c r="C3296" s="2" t="s">
        <v>569</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569</v>
      </c>
      <c r="D3298" s="2" t="str">
        <f t="shared" si="50"/>
        <v>Error?</v>
      </c>
    </row>
    <row r="3299" spans="1:4" x14ac:dyDescent="0.2">
      <c r="A3299" s="5">
        <v>3238</v>
      </c>
      <c r="B3299" s="1820">
        <f>'Acct Summary 7-8'!H77</f>
        <v>0</v>
      </c>
      <c r="C3299" s="2" t="s">
        <v>569</v>
      </c>
      <c r="D3299" s="2" t="str">
        <f t="shared" si="50"/>
        <v>Error?</v>
      </c>
    </row>
    <row r="3300" spans="1:4" x14ac:dyDescent="0.2">
      <c r="A3300" s="5">
        <v>3239</v>
      </c>
      <c r="B3300" s="1820">
        <f>'Acct Summary 7-8'!H78</f>
        <v>15</v>
      </c>
      <c r="C3300" s="2" t="s">
        <v>569</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569</v>
      </c>
      <c r="D3317" s="2" t="str">
        <f t="shared" si="50"/>
        <v>Error?</v>
      </c>
    </row>
    <row r="3318" spans="1:4" x14ac:dyDescent="0.2">
      <c r="A3318" s="5">
        <v>3257</v>
      </c>
      <c r="B3318" s="1820">
        <f>'Acct Summary 7-8'!I76</f>
        <v>35000</v>
      </c>
      <c r="C3318" s="2" t="s">
        <v>569</v>
      </c>
      <c r="D3318" s="2" t="str">
        <f t="shared" si="50"/>
        <v>Error?</v>
      </c>
    </row>
    <row r="3319" spans="1:4" x14ac:dyDescent="0.2">
      <c r="A3319" s="5">
        <v>3258</v>
      </c>
      <c r="B3319" s="1820">
        <f>'Acct Summary 7-8'!I77</f>
        <v>-35000</v>
      </c>
      <c r="C3319" s="2" t="s">
        <v>569</v>
      </c>
      <c r="D3319" s="2" t="str">
        <f t="shared" si="50"/>
        <v>Error?</v>
      </c>
    </row>
    <row r="3320" spans="1:4" x14ac:dyDescent="0.2">
      <c r="A3320" s="5">
        <v>3259</v>
      </c>
      <c r="B3320" s="1820">
        <f>'Acct Summary 7-8'!I78</f>
        <v>-210</v>
      </c>
      <c r="C3320" s="2" t="s">
        <v>569</v>
      </c>
      <c r="D3320" s="2" t="str">
        <f t="shared" si="50"/>
        <v>Error?</v>
      </c>
    </row>
    <row r="3321" spans="1:4" x14ac:dyDescent="0.2">
      <c r="A3321" s="5">
        <v>3260</v>
      </c>
      <c r="B3321" s="1820">
        <f>'Acct Summary 7-8'!I79</f>
        <v>57299</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57089</v>
      </c>
      <c r="C3323" s="2" t="s">
        <v>569</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474260</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107578</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1350</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10126</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0</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164</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593478</v>
      </c>
      <c r="C3380" s="2" t="s">
        <v>569</v>
      </c>
      <c r="D3380" s="2" t="str">
        <f t="shared" si="51"/>
        <v>Error?</v>
      </c>
    </row>
    <row r="3381" spans="1:4" x14ac:dyDescent="0.2">
      <c r="A3381" s="5">
        <v>3320</v>
      </c>
      <c r="B3381" s="1820">
        <f>'Expenditures 15-22'!K19</f>
        <v>0</v>
      </c>
      <c r="C3381" s="2" t="s">
        <v>569</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58445</v>
      </c>
      <c r="D3387" s="2" t="str">
        <f t="shared" si="51"/>
        <v>Error?</v>
      </c>
    </row>
    <row r="3388" spans="1:4" x14ac:dyDescent="0.2">
      <c r="A3388" s="5">
        <v>3327</v>
      </c>
      <c r="B3388" s="1820">
        <f>'Expenditures 15-22'!D217</f>
        <v>34572</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58445</v>
      </c>
      <c r="C3390" s="2" t="s">
        <v>569</v>
      </c>
      <c r="D3390" s="2" t="str">
        <f t="shared" si="51"/>
        <v>Error?</v>
      </c>
    </row>
    <row r="3391" spans="1:4" x14ac:dyDescent="0.2">
      <c r="A3391" s="5">
        <v>3330</v>
      </c>
      <c r="B3391" s="1820">
        <f>'Expenditures 15-22'!K217</f>
        <v>34572</v>
      </c>
      <c r="C3391" s="2" t="s">
        <v>569</v>
      </c>
      <c r="D3391" s="2" t="str">
        <f t="shared" ref="D3391:D3454" si="52">IF(ISBLANK(B3391),"OK",IF(A3391-B3391=0,"OK","Error?"))</f>
        <v>Error?</v>
      </c>
    </row>
    <row r="3392" spans="1:4" x14ac:dyDescent="0.2">
      <c r="A3392" s="5">
        <v>3331</v>
      </c>
      <c r="B3392" s="1820">
        <f>'Expenditures 15-22'!K228</f>
        <v>0</v>
      </c>
      <c r="C3392" s="2" t="s">
        <v>569</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569</v>
      </c>
      <c r="D3405" s="2" t="str">
        <f t="shared" si="52"/>
        <v>Error?</v>
      </c>
    </row>
    <row r="3406" spans="1:4" x14ac:dyDescent="0.2">
      <c r="A3406" s="5">
        <v>3345</v>
      </c>
      <c r="B3406" s="1820">
        <f>'Acct Summary 7-8'!D5</f>
        <v>0</v>
      </c>
      <c r="C3406" s="2" t="s">
        <v>569</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569</v>
      </c>
      <c r="D3408" s="2" t="str">
        <f t="shared" si="52"/>
        <v>Error?</v>
      </c>
    </row>
    <row r="3409" spans="1:4" x14ac:dyDescent="0.2">
      <c r="A3409" s="5">
        <v>3348</v>
      </c>
      <c r="B3409" s="1820">
        <f>'Acct Summary 7-8'!G5</f>
        <v>0</v>
      </c>
      <c r="C3409" s="2" t="s">
        <v>569</v>
      </c>
      <c r="D3409" s="2" t="str">
        <f t="shared" si="52"/>
        <v>Error?</v>
      </c>
    </row>
    <row r="3410" spans="1:4" x14ac:dyDescent="0.2">
      <c r="A3410" s="10">
        <v>3349</v>
      </c>
      <c r="B3410" s="1820"/>
      <c r="D3410" s="2" t="str">
        <f t="shared" si="52"/>
        <v>OK</v>
      </c>
    </row>
    <row r="3411" spans="1:4" x14ac:dyDescent="0.2">
      <c r="A3411" s="5">
        <v>3350</v>
      </c>
      <c r="B3411" s="1820">
        <f>'Assets-Liab 5-6'!C4</f>
        <v>7250</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0</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171037</v>
      </c>
      <c r="D3417" s="2" t="str">
        <f t="shared" si="52"/>
        <v>Error?</v>
      </c>
    </row>
    <row r="3418" spans="1:4" x14ac:dyDescent="0.2">
      <c r="A3418" s="10">
        <v>3357</v>
      </c>
      <c r="B3418" s="1820"/>
      <c r="D3418" s="2" t="str">
        <f t="shared" si="52"/>
        <v>OK</v>
      </c>
    </row>
    <row r="3419" spans="1:4" x14ac:dyDescent="0.2">
      <c r="A3419" s="5">
        <v>3358</v>
      </c>
      <c r="B3419" s="1820">
        <f>'Assets-Liab 5-6'!F4</f>
        <v>0</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0</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0</v>
      </c>
      <c r="D3425" s="2" t="str">
        <f t="shared" si="52"/>
        <v>Error?</v>
      </c>
    </row>
    <row r="3426" spans="1:4" x14ac:dyDescent="0.2">
      <c r="A3426" s="10">
        <v>3365</v>
      </c>
      <c r="B3426" s="1820"/>
      <c r="D3426" s="2" t="str">
        <f t="shared" si="52"/>
        <v>OK</v>
      </c>
    </row>
    <row r="3427" spans="1:4" x14ac:dyDescent="0.2">
      <c r="A3427" s="5">
        <v>3366</v>
      </c>
      <c r="B3427" s="1820">
        <f>'Assets-Liab 5-6'!I4</f>
        <v>0</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18872</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569</v>
      </c>
      <c r="D3444" s="2" t="str">
        <f t="shared" si="52"/>
        <v>OK</v>
      </c>
    </row>
    <row r="3445" spans="1:4" x14ac:dyDescent="0.2">
      <c r="A3445" s="10">
        <v>3384</v>
      </c>
      <c r="B3445" s="1820"/>
      <c r="C3445" s="2" t="s">
        <v>569</v>
      </c>
      <c r="D3445" s="2" t="str">
        <f t="shared" si="52"/>
        <v>OK</v>
      </c>
    </row>
    <row r="3446" spans="1:4" x14ac:dyDescent="0.2">
      <c r="A3446" s="5">
        <v>3385</v>
      </c>
      <c r="B3446" s="1820">
        <f>'Tax Sched 23'!B16</f>
        <v>42843</v>
      </c>
      <c r="C3446" s="2" t="s">
        <v>569</v>
      </c>
      <c r="D3446" s="2" t="str">
        <f t="shared" si="52"/>
        <v>Error?</v>
      </c>
    </row>
    <row r="3447" spans="1:4" x14ac:dyDescent="0.2">
      <c r="A3447" s="5">
        <v>3386</v>
      </c>
      <c r="B3447" s="1820">
        <f>'Tax Sched 23'!D16</f>
        <v>26882</v>
      </c>
      <c r="C3447" s="2" t="s">
        <v>569</v>
      </c>
      <c r="D3447" s="2" t="str">
        <f t="shared" si="52"/>
        <v>Error?</v>
      </c>
    </row>
    <row r="3448" spans="1:4" x14ac:dyDescent="0.2">
      <c r="A3448" s="5">
        <v>3387</v>
      </c>
      <c r="B3448" s="1820">
        <f>'Tax Sched 23'!C16</f>
        <v>15961</v>
      </c>
      <c r="D3448" s="2" t="str">
        <f t="shared" si="52"/>
        <v>Error?</v>
      </c>
    </row>
    <row r="3449" spans="1:4" x14ac:dyDescent="0.2">
      <c r="A3449" s="5">
        <v>3388</v>
      </c>
      <c r="B3449" s="1820">
        <f>'Tax Sched 23'!F16</f>
        <v>19869</v>
      </c>
      <c r="C3449" s="2" t="s">
        <v>569</v>
      </c>
      <c r="D3449" s="2" t="str">
        <f t="shared" si="52"/>
        <v>Error?</v>
      </c>
    </row>
    <row r="3450" spans="1:4" x14ac:dyDescent="0.2">
      <c r="A3450" s="5">
        <v>3389</v>
      </c>
      <c r="B3450" s="1820">
        <f>'Tax Sched 23'!E16</f>
        <v>35830</v>
      </c>
      <c r="D3450" s="2" t="str">
        <f t="shared" si="52"/>
        <v>Error?</v>
      </c>
    </row>
    <row r="3451" spans="1:4" x14ac:dyDescent="0.2">
      <c r="A3451" s="5">
        <v>3390</v>
      </c>
      <c r="B3451" s="1820">
        <f>'Cap Outlay Deprec 26'!C15</f>
        <v>0</v>
      </c>
      <c r="D3451" s="2" t="str">
        <f t="shared" si="52"/>
        <v>Error?</v>
      </c>
    </row>
    <row r="3452" spans="1:4" x14ac:dyDescent="0.2">
      <c r="A3452" s="5">
        <v>3391</v>
      </c>
      <c r="B3452" s="1820">
        <f>'Cap Outlay Deprec 26'!D15</f>
        <v>0</v>
      </c>
      <c r="D3452" s="2" t="str">
        <f t="shared" si="52"/>
        <v>Error?</v>
      </c>
    </row>
    <row r="3453" spans="1:4" x14ac:dyDescent="0.2">
      <c r="A3453" s="5">
        <v>3392</v>
      </c>
      <c r="B3453" s="1820">
        <f>'Cap Outlay Deprec 26'!E15</f>
        <v>0</v>
      </c>
      <c r="D3453" s="2" t="str">
        <f t="shared" si="52"/>
        <v>Error?</v>
      </c>
    </row>
    <row r="3454" spans="1:4" x14ac:dyDescent="0.2">
      <c r="A3454" s="5">
        <v>3393</v>
      </c>
      <c r="B3454" s="1820">
        <f>'Cap Outlay Deprec 26'!F15</f>
        <v>0</v>
      </c>
      <c r="C3454" s="2" t="s">
        <v>569</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0</v>
      </c>
      <c r="C3459" s="2" t="s">
        <v>569</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569</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1994</v>
      </c>
      <c r="E3521" s="4" t="s">
        <v>134</v>
      </c>
    </row>
    <row r="3522" spans="1:5" x14ac:dyDescent="0.2">
      <c r="A3522" s="10">
        <v>3461</v>
      </c>
      <c r="B3522" s="1820"/>
      <c r="D3522" s="4" t="s">
        <v>1994</v>
      </c>
      <c r="E3522" s="4" t="s">
        <v>134</v>
      </c>
    </row>
    <row r="3523" spans="1:5" x14ac:dyDescent="0.2">
      <c r="A3523" s="10">
        <v>3462</v>
      </c>
      <c r="B3523" s="1820"/>
      <c r="D3523" s="4" t="s">
        <v>1994</v>
      </c>
      <c r="E3523" s="4" t="s">
        <v>134</v>
      </c>
    </row>
    <row r="3524" spans="1:5" x14ac:dyDescent="0.2">
      <c r="A3524" s="10">
        <v>3463</v>
      </c>
      <c r="B3524" s="1820"/>
      <c r="D3524" s="4" t="s">
        <v>1994</v>
      </c>
      <c r="E3524" s="4" t="s">
        <v>134</v>
      </c>
    </row>
    <row r="3525" spans="1:5" x14ac:dyDescent="0.2">
      <c r="A3525" s="10">
        <v>3464</v>
      </c>
      <c r="B3525" s="1820"/>
      <c r="D3525" s="4" t="s">
        <v>1994</v>
      </c>
      <c r="E3525" s="4" t="s">
        <v>134</v>
      </c>
    </row>
    <row r="3526" spans="1:5" x14ac:dyDescent="0.2">
      <c r="A3526" s="10">
        <v>3465</v>
      </c>
      <c r="B3526" s="1820"/>
      <c r="D3526" s="4" t="s">
        <v>1994</v>
      </c>
      <c r="E3526" s="4" t="s">
        <v>134</v>
      </c>
    </row>
    <row r="3527" spans="1:5" x14ac:dyDescent="0.2">
      <c r="A3527" s="10">
        <v>3466</v>
      </c>
      <c r="B3527" s="1820"/>
      <c r="D3527" s="4" t="s">
        <v>1994</v>
      </c>
      <c r="E3527" s="4" t="s">
        <v>134</v>
      </c>
    </row>
    <row r="3528" spans="1:5" x14ac:dyDescent="0.2">
      <c r="A3528" s="10">
        <v>3467</v>
      </c>
      <c r="B3528" s="1820"/>
      <c r="D3528" s="4" t="s">
        <v>1994</v>
      </c>
      <c r="E3528" s="4" t="s">
        <v>134</v>
      </c>
    </row>
    <row r="3529" spans="1:5" x14ac:dyDescent="0.2">
      <c r="A3529" s="10">
        <v>3468</v>
      </c>
      <c r="B3529" s="1820"/>
      <c r="D3529" s="4" t="s">
        <v>1994</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0</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8835</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8835</v>
      </c>
      <c r="C3552" s="2" t="s">
        <v>569</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569</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8835</v>
      </c>
      <c r="D3567" s="2" t="str">
        <f t="shared" si="54"/>
        <v>Error?</v>
      </c>
    </row>
    <row r="3568" spans="1:4" x14ac:dyDescent="0.2">
      <c r="A3568" s="5">
        <v>3507</v>
      </c>
      <c r="B3568" s="1820">
        <f>'Assets-Liab 5-6'!K41</f>
        <v>8835</v>
      </c>
      <c r="C3568" s="2" t="s">
        <v>569</v>
      </c>
      <c r="D3568" s="2" t="str">
        <f t="shared" si="54"/>
        <v>Error?</v>
      </c>
    </row>
    <row r="3569" spans="1:4" x14ac:dyDescent="0.2">
      <c r="A3569" s="5">
        <v>3508</v>
      </c>
      <c r="B3569" s="1820">
        <f>'Acct Summary 7-8'!K4</f>
        <v>-2310</v>
      </c>
      <c r="C3569" s="2" t="s">
        <v>569</v>
      </c>
      <c r="D3569" s="2" t="str">
        <f t="shared" si="54"/>
        <v>Error?</v>
      </c>
    </row>
    <row r="3570" spans="1:4" x14ac:dyDescent="0.2">
      <c r="A3570" s="5">
        <v>3509</v>
      </c>
      <c r="B3570" s="1820">
        <f>'Acct Summary 7-8'!K6</f>
        <v>0</v>
      </c>
      <c r="C3570" s="2" t="s">
        <v>569</v>
      </c>
      <c r="D3570" s="2" t="str">
        <f t="shared" si="54"/>
        <v>Error?</v>
      </c>
    </row>
    <row r="3571" spans="1:4" x14ac:dyDescent="0.2">
      <c r="A3571" s="5">
        <v>3510</v>
      </c>
      <c r="B3571" s="1820">
        <f>'Acct Summary 7-8'!K8</f>
        <v>-2310</v>
      </c>
      <c r="C3571" s="2" t="s">
        <v>569</v>
      </c>
      <c r="D3571" s="2" t="str">
        <f t="shared" si="54"/>
        <v>Error?</v>
      </c>
    </row>
    <row r="3572" spans="1:4" x14ac:dyDescent="0.2">
      <c r="A3572" s="5">
        <v>3511</v>
      </c>
      <c r="B3572" s="1820">
        <f>'Acct Summary 7-8'!K13</f>
        <v>0</v>
      </c>
      <c r="C3572" s="2" t="s">
        <v>569</v>
      </c>
      <c r="D3572" s="2" t="str">
        <f t="shared" si="54"/>
        <v>Error?</v>
      </c>
    </row>
    <row r="3573" spans="1:4" x14ac:dyDescent="0.2">
      <c r="A3573" s="5">
        <v>3512</v>
      </c>
      <c r="B3573" s="1820">
        <f>'Acct Summary 7-8'!K15</f>
        <v>0</v>
      </c>
      <c r="C3573" s="2" t="s">
        <v>569</v>
      </c>
      <c r="D3573" s="2" t="str">
        <f t="shared" si="54"/>
        <v>Error?</v>
      </c>
    </row>
    <row r="3574" spans="1:4" x14ac:dyDescent="0.2">
      <c r="A3574" s="5">
        <v>3513</v>
      </c>
      <c r="B3574" s="1820">
        <f>'Acct Summary 7-8'!K16</f>
        <v>0</v>
      </c>
      <c r="C3574" s="2" t="s">
        <v>569</v>
      </c>
      <c r="D3574" s="2" t="str">
        <f t="shared" si="54"/>
        <v>Error?</v>
      </c>
    </row>
    <row r="3575" spans="1:4" x14ac:dyDescent="0.2">
      <c r="A3575" s="5">
        <v>3514</v>
      </c>
      <c r="B3575" s="1820">
        <f>'Acct Summary 7-8'!K17</f>
        <v>0</v>
      </c>
      <c r="C3575" s="2" t="s">
        <v>569</v>
      </c>
      <c r="D3575" s="2" t="str">
        <f t="shared" si="54"/>
        <v>Error?</v>
      </c>
    </row>
    <row r="3576" spans="1:4" x14ac:dyDescent="0.2">
      <c r="A3576" s="5">
        <v>3515</v>
      </c>
      <c r="B3576" s="1820">
        <f>'Acct Summary 7-8'!K20</f>
        <v>-2310</v>
      </c>
      <c r="C3576" s="2" t="s">
        <v>569</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35000</v>
      </c>
      <c r="C3584" s="2" t="s">
        <v>569</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569</v>
      </c>
      <c r="D3586" s="2" t="str">
        <f t="shared" si="55"/>
        <v>Error?</v>
      </c>
    </row>
    <row r="3587" spans="1:4" x14ac:dyDescent="0.2">
      <c r="A3587" s="5">
        <v>3526</v>
      </c>
      <c r="B3587" s="1820">
        <f>'Acct Summary 7-8'!K77</f>
        <v>35000</v>
      </c>
      <c r="C3587" s="2" t="s">
        <v>569</v>
      </c>
      <c r="D3587" s="2" t="str">
        <f t="shared" si="55"/>
        <v>Error?</v>
      </c>
    </row>
    <row r="3588" spans="1:4" x14ac:dyDescent="0.2">
      <c r="A3588" s="5">
        <v>3527</v>
      </c>
      <c r="B3588" s="1820">
        <f>'Acct Summary 7-8'!K78</f>
        <v>32690</v>
      </c>
      <c r="C3588" s="2" t="s">
        <v>569</v>
      </c>
      <c r="D3588" s="2" t="str">
        <f t="shared" si="55"/>
        <v>Error?</v>
      </c>
    </row>
    <row r="3589" spans="1:4" x14ac:dyDescent="0.2">
      <c r="A3589" s="5">
        <v>3528</v>
      </c>
      <c r="B3589" s="1820">
        <f>'Acct Summary 7-8'!K79</f>
        <v>-23855</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8835</v>
      </c>
      <c r="C3591" s="2" t="s">
        <v>569</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569</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569</v>
      </c>
      <c r="D3621" s="2" t="str">
        <f t="shared" si="55"/>
        <v>Error?</v>
      </c>
    </row>
    <row r="3622" spans="1:4" x14ac:dyDescent="0.2">
      <c r="A3622" s="5">
        <v>3561</v>
      </c>
      <c r="B3622" s="1820">
        <f>'Expenditures 15-22'!C367</f>
        <v>0</v>
      </c>
      <c r="C3622" s="2" t="s">
        <v>569</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569</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569</v>
      </c>
      <c r="D3628" s="2" t="str">
        <f t="shared" si="55"/>
        <v>Error?</v>
      </c>
    </row>
    <row r="3629" spans="1:4" x14ac:dyDescent="0.2">
      <c r="A3629" s="5">
        <v>3568</v>
      </c>
      <c r="B3629" s="1820">
        <f>'Expenditures 15-22'!D367</f>
        <v>0</v>
      </c>
      <c r="C3629" s="2" t="s">
        <v>569</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0</v>
      </c>
      <c r="C3633" s="2" t="s">
        <v>569</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0</v>
      </c>
      <c r="C3635" s="2" t="s">
        <v>569</v>
      </c>
      <c r="D3635" s="2" t="str">
        <f t="shared" si="55"/>
        <v>Error?</v>
      </c>
    </row>
    <row r="3636" spans="1:4" x14ac:dyDescent="0.2">
      <c r="A3636" s="5">
        <v>3575</v>
      </c>
      <c r="B3636" s="1820">
        <f>'Expenditures 15-22'!E367</f>
        <v>0</v>
      </c>
      <c r="C3636" s="2" t="s">
        <v>569</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569</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569</v>
      </c>
      <c r="D3642" s="2" t="str">
        <f t="shared" si="55"/>
        <v>Error?</v>
      </c>
    </row>
    <row r="3643" spans="1:4" x14ac:dyDescent="0.2">
      <c r="A3643" s="5">
        <v>3582</v>
      </c>
      <c r="B3643" s="1820">
        <f>'Expenditures 15-22'!F367</f>
        <v>0</v>
      </c>
      <c r="C3643" s="2" t="s">
        <v>569</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569</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569</v>
      </c>
      <c r="D3649" s="2" t="str">
        <f t="shared" si="56"/>
        <v>Error?</v>
      </c>
    </row>
    <row r="3650" spans="1:4" x14ac:dyDescent="0.2">
      <c r="A3650" s="5">
        <v>3589</v>
      </c>
      <c r="B3650" s="1820">
        <f>'Expenditures 15-22'!G367</f>
        <v>0</v>
      </c>
      <c r="C3650" s="2" t="s">
        <v>569</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569</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569</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569</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569</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0</v>
      </c>
      <c r="C3668" s="2" t="s">
        <v>569</v>
      </c>
      <c r="D3668" s="2" t="str">
        <f t="shared" si="56"/>
        <v>Error?</v>
      </c>
    </row>
    <row r="3669" spans="1:4" x14ac:dyDescent="0.2">
      <c r="A3669" s="5">
        <v>3608</v>
      </c>
      <c r="B3669" s="1820">
        <f>'Expenditures 15-22'!K349</f>
        <v>0</v>
      </c>
      <c r="C3669" s="2" t="s">
        <v>569</v>
      </c>
      <c r="D3669" s="2" t="str">
        <f t="shared" si="56"/>
        <v>Error?</v>
      </c>
    </row>
    <row r="3670" spans="1:4" x14ac:dyDescent="0.2">
      <c r="A3670" s="5">
        <v>3609</v>
      </c>
      <c r="B3670" s="1820">
        <f>'Expenditures 15-22'!K350</f>
        <v>0</v>
      </c>
      <c r="C3670" s="2" t="s">
        <v>569</v>
      </c>
      <c r="D3670" s="2" t="str">
        <f t="shared" si="56"/>
        <v>Error?</v>
      </c>
    </row>
    <row r="3671" spans="1:4" x14ac:dyDescent="0.2">
      <c r="A3671" s="5">
        <v>3610</v>
      </c>
      <c r="B3671" s="1820">
        <f>'Expenditures 15-22'!K351</f>
        <v>0</v>
      </c>
      <c r="C3671" s="2" t="s">
        <v>569</v>
      </c>
      <c r="D3671" s="2" t="str">
        <f t="shared" si="56"/>
        <v>Error?</v>
      </c>
    </row>
    <row r="3672" spans="1:4" x14ac:dyDescent="0.2">
      <c r="A3672" s="5">
        <v>3611</v>
      </c>
      <c r="B3672" s="1820">
        <f>'Expenditures 15-22'!K352</f>
        <v>0</v>
      </c>
      <c r="C3672" s="2" t="s">
        <v>569</v>
      </c>
      <c r="D3672" s="2" t="str">
        <f t="shared" si="56"/>
        <v>Error?</v>
      </c>
    </row>
    <row r="3673" spans="1:4" x14ac:dyDescent="0.2">
      <c r="A3673" s="5">
        <v>3612</v>
      </c>
      <c r="B3673" s="1820">
        <f>'Expenditures 15-22'!K356</f>
        <v>0</v>
      </c>
      <c r="C3673" s="2" t="s">
        <v>569</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569</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0</v>
      </c>
      <c r="C3678" s="2" t="s">
        <v>569</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-2310</v>
      </c>
      <c r="C3681" s="2" t="s">
        <v>569</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569</v>
      </c>
      <c r="D3688" s="2" t="str">
        <f t="shared" si="56"/>
        <v>Error?</v>
      </c>
    </row>
    <row r="3689" spans="1:4" x14ac:dyDescent="0.2">
      <c r="A3689" s="5">
        <v>3628</v>
      </c>
      <c r="B3689" s="1820">
        <f>'Short-Term Long-Term Debt 24'!F19</f>
        <v>0</v>
      </c>
      <c r="C3689" s="2" t="s">
        <v>569</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569</v>
      </c>
      <c r="D3702" s="2" t="str">
        <f t="shared" si="56"/>
        <v>Error?</v>
      </c>
    </row>
    <row r="3703" spans="1:4" x14ac:dyDescent="0.2">
      <c r="A3703" s="5">
        <v>3642</v>
      </c>
      <c r="B3703" s="1820">
        <f>'Acct Summary 7-8'!K53</f>
        <v>0</v>
      </c>
      <c r="C3703" s="2" t="s">
        <v>569</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569</v>
      </c>
      <c r="D3717" s="2" t="str">
        <f t="shared" si="57"/>
        <v>Error?</v>
      </c>
    </row>
    <row r="3718" spans="1:4" x14ac:dyDescent="0.2">
      <c r="A3718" s="5">
        <v>3657</v>
      </c>
      <c r="B3718" s="1820">
        <f>'Acct Summary 7-8'!K7</f>
        <v>0</v>
      </c>
      <c r="C3718" s="2" t="s">
        <v>569</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569</v>
      </c>
      <c r="D3722" s="2" t="str">
        <f t="shared" si="57"/>
        <v>Error?</v>
      </c>
    </row>
    <row r="3723" spans="1:4" x14ac:dyDescent="0.2">
      <c r="A3723" s="5">
        <v>3662</v>
      </c>
      <c r="B3723" s="1820">
        <f>'Expenditures 15-22'!K283</f>
        <v>0</v>
      </c>
      <c r="C3723" s="2" t="s">
        <v>569</v>
      </c>
      <c r="D3723" s="2" t="str">
        <f t="shared" si="57"/>
        <v>Error?</v>
      </c>
    </row>
    <row r="3724" spans="1:4" x14ac:dyDescent="0.2">
      <c r="A3724" s="5">
        <v>3663</v>
      </c>
      <c r="B3724" s="1820">
        <f>'Expenditures 15-22'!K285</f>
        <v>0</v>
      </c>
      <c r="C3724" s="2" t="s">
        <v>569</v>
      </c>
      <c r="D3724" s="2" t="str">
        <f t="shared" si="57"/>
        <v>Error?</v>
      </c>
    </row>
    <row r="3725" spans="1:4" x14ac:dyDescent="0.2">
      <c r="A3725" s="5">
        <v>3664</v>
      </c>
      <c r="B3725" s="1820">
        <f>'Tax Sched 23'!B13</f>
        <v>-1302</v>
      </c>
      <c r="C3725" s="2" t="s">
        <v>569</v>
      </c>
      <c r="D3725" s="2" t="str">
        <f t="shared" si="57"/>
        <v>Error?</v>
      </c>
    </row>
    <row r="3726" spans="1:4" x14ac:dyDescent="0.2">
      <c r="A3726" s="5">
        <v>3665</v>
      </c>
      <c r="B3726" s="1820">
        <f>'Tax Sched 23'!D13</f>
        <v>-1302</v>
      </c>
      <c r="C3726" s="2" t="s">
        <v>569</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569</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500510</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569</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569</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569</v>
      </c>
      <c r="D4098" s="2" t="str">
        <f t="shared" si="63"/>
        <v>OK</v>
      </c>
    </row>
    <row r="4099" spans="1:4" x14ac:dyDescent="0.2">
      <c r="A4099" s="5">
        <v>4038</v>
      </c>
      <c r="B4099" s="1820">
        <f>'Expenditures 15-22'!K307</f>
        <v>0</v>
      </c>
      <c r="C4099" s="2" t="s">
        <v>569</v>
      </c>
      <c r="D4099" s="2" t="str">
        <f t="shared" si="63"/>
        <v>Error?</v>
      </c>
    </row>
    <row r="4100" spans="1:4" x14ac:dyDescent="0.2">
      <c r="A4100" s="5">
        <v>4039</v>
      </c>
      <c r="B4100" s="1820">
        <f>'Expenditures 15-22'!K308</f>
        <v>0</v>
      </c>
      <c r="C4100" s="2" t="s">
        <v>569</v>
      </c>
      <c r="D4100" s="2" t="str">
        <f t="shared" si="63"/>
        <v>Error?</v>
      </c>
    </row>
    <row r="4101" spans="1:4" x14ac:dyDescent="0.2">
      <c r="A4101" s="10">
        <v>4040</v>
      </c>
      <c r="B4101" s="1820"/>
      <c r="C4101" s="2" t="s">
        <v>569</v>
      </c>
      <c r="D4101" s="2" t="str">
        <f t="shared" si="63"/>
        <v>OK</v>
      </c>
    </row>
    <row r="4102" spans="1:4" x14ac:dyDescent="0.2">
      <c r="A4102" s="5">
        <v>4041</v>
      </c>
      <c r="B4102" s="1820">
        <f>'Tax Sched 23'!B17</f>
        <v>0</v>
      </c>
      <c r="C4102" s="2" t="s">
        <v>569</v>
      </c>
      <c r="D4102" s="2" t="str">
        <f t="shared" si="63"/>
        <v>Error?</v>
      </c>
    </row>
    <row r="4103" spans="1:4" x14ac:dyDescent="0.2">
      <c r="A4103" s="5">
        <v>4042</v>
      </c>
      <c r="B4103" s="1820">
        <f>'Tax Sched 23'!B18</f>
        <v>0</v>
      </c>
      <c r="C4103" s="2" t="s">
        <v>569</v>
      </c>
      <c r="D4103" s="2" t="str">
        <f t="shared" si="63"/>
        <v>Error?</v>
      </c>
    </row>
    <row r="4104" spans="1:4" x14ac:dyDescent="0.2">
      <c r="A4104" s="5">
        <v>4043</v>
      </c>
      <c r="B4104" s="1820">
        <f>'Tax Sched 23'!D17</f>
        <v>0</v>
      </c>
      <c r="C4104" s="2" t="s">
        <v>569</v>
      </c>
      <c r="D4104" s="2" t="str">
        <f t="shared" si="63"/>
        <v>Error?</v>
      </c>
    </row>
    <row r="4105" spans="1:4" x14ac:dyDescent="0.2">
      <c r="A4105" s="5">
        <v>4044</v>
      </c>
      <c r="B4105" s="1820">
        <f>'Tax Sched 23'!D18</f>
        <v>0</v>
      </c>
      <c r="C4105" s="2" t="s">
        <v>569</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569</v>
      </c>
      <c r="D4108" s="2" t="str">
        <f t="shared" si="63"/>
        <v>Error?</v>
      </c>
    </row>
    <row r="4109" spans="1:4" x14ac:dyDescent="0.2">
      <c r="A4109" s="5">
        <v>4048</v>
      </c>
      <c r="B4109" s="1820">
        <f>'Tax Sched 23'!F18</f>
        <v>0</v>
      </c>
      <c r="C4109" s="2" t="s">
        <v>569</v>
      </c>
      <c r="D4109" s="2" t="str">
        <f t="shared" si="63"/>
        <v>Error?</v>
      </c>
    </row>
    <row r="4110" spans="1:4" x14ac:dyDescent="0.2">
      <c r="A4110" s="5">
        <v>4049</v>
      </c>
      <c r="B4110" s="1820">
        <f>'Tax Sched 23'!E17</f>
        <v>0</v>
      </c>
      <c r="C4110" s="2" t="s">
        <v>569</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4235431</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16767303</v>
      </c>
      <c r="C4122" s="2" t="s">
        <v>569</v>
      </c>
      <c r="D4122" s="2" t="str">
        <f t="shared" si="63"/>
        <v>Error?</v>
      </c>
    </row>
    <row r="4123" spans="1:4" x14ac:dyDescent="0.2">
      <c r="A4123" s="5">
        <v>4062</v>
      </c>
      <c r="B4123" s="1820">
        <f>'Acct Summary 7-8'!D10</f>
        <v>1411690</v>
      </c>
      <c r="C4123" s="2" t="s">
        <v>569</v>
      </c>
      <c r="D4123" s="2" t="str">
        <f t="shared" si="63"/>
        <v>Error?</v>
      </c>
    </row>
    <row r="4124" spans="1:4" x14ac:dyDescent="0.2">
      <c r="A4124" s="5">
        <v>4063</v>
      </c>
      <c r="B4124" s="1820">
        <f>'Acct Summary 7-8'!E10</f>
        <v>1082084</v>
      </c>
      <c r="C4124" s="2" t="s">
        <v>569</v>
      </c>
      <c r="D4124" s="2" t="str">
        <f t="shared" si="63"/>
        <v>Error?</v>
      </c>
    </row>
    <row r="4125" spans="1:4" x14ac:dyDescent="0.2">
      <c r="A4125" s="5">
        <v>4064</v>
      </c>
      <c r="B4125" s="1820">
        <f>'Acct Summary 7-8'!F10</f>
        <v>1754139</v>
      </c>
      <c r="C4125" s="2" t="s">
        <v>569</v>
      </c>
      <c r="D4125" s="2" t="str">
        <f t="shared" si="63"/>
        <v>Error?</v>
      </c>
    </row>
    <row r="4126" spans="1:4" x14ac:dyDescent="0.2">
      <c r="A4126" s="5">
        <v>4065</v>
      </c>
      <c r="B4126" s="1820">
        <f>'Acct Summary 7-8'!G10</f>
        <v>134055</v>
      </c>
      <c r="C4126" s="2" t="s">
        <v>569</v>
      </c>
      <c r="D4126" s="2" t="str">
        <f t="shared" si="63"/>
        <v>Error?</v>
      </c>
    </row>
    <row r="4127" spans="1:4" x14ac:dyDescent="0.2">
      <c r="A4127" s="5">
        <v>4066</v>
      </c>
      <c r="B4127" s="1820">
        <f>'Acct Summary 7-8'!H10</f>
        <v>15</v>
      </c>
      <c r="C4127" s="2" t="s">
        <v>569</v>
      </c>
      <c r="D4127" s="2" t="str">
        <f t="shared" si="63"/>
        <v>Error?</v>
      </c>
    </row>
    <row r="4128" spans="1:4" x14ac:dyDescent="0.2">
      <c r="A4128" s="5">
        <v>4067</v>
      </c>
      <c r="B4128" s="1820">
        <f>'Acct Summary 7-8'!I10</f>
        <v>34790</v>
      </c>
      <c r="C4128" s="2" t="s">
        <v>569</v>
      </c>
      <c r="D4128" s="2" t="str">
        <f t="shared" si="63"/>
        <v>Error?</v>
      </c>
    </row>
    <row r="4129" spans="1:4" x14ac:dyDescent="0.2">
      <c r="A4129" s="10">
        <v>4068</v>
      </c>
      <c r="B4129" s="1820"/>
      <c r="C4129" s="2" t="s">
        <v>569</v>
      </c>
      <c r="D4129" s="2" t="str">
        <f t="shared" si="63"/>
        <v>OK</v>
      </c>
    </row>
    <row r="4130" spans="1:4" x14ac:dyDescent="0.2">
      <c r="A4130" s="5">
        <v>4069</v>
      </c>
      <c r="B4130" s="1820">
        <f>'Acct Summary 7-8'!K10</f>
        <v>-2310</v>
      </c>
      <c r="C4130" s="2" t="s">
        <v>569</v>
      </c>
      <c r="D4130" s="2" t="str">
        <f t="shared" si="63"/>
        <v>Error?</v>
      </c>
    </row>
    <row r="4131" spans="1:4" x14ac:dyDescent="0.2">
      <c r="A4131" s="5">
        <v>4070</v>
      </c>
      <c r="B4131" s="1820">
        <f>'Acct Summary 7-8'!C18</f>
        <v>4235431</v>
      </c>
      <c r="C4131" s="2" t="s">
        <v>569</v>
      </c>
      <c r="D4131" s="2" t="str">
        <f t="shared" si="63"/>
        <v>Error?</v>
      </c>
    </row>
    <row r="4132" spans="1:4" x14ac:dyDescent="0.2">
      <c r="A4132" s="5">
        <v>4071</v>
      </c>
      <c r="B4132" s="1820">
        <f>'Acct Summary 7-8'!D18</f>
        <v>0</v>
      </c>
      <c r="C4132" s="2" t="s">
        <v>569</v>
      </c>
      <c r="D4132" s="2" t="str">
        <f t="shared" si="63"/>
        <v>Error?</v>
      </c>
    </row>
    <row r="4133" spans="1:4" x14ac:dyDescent="0.2">
      <c r="A4133" s="5">
        <v>4072</v>
      </c>
      <c r="B4133" s="1820">
        <f>'Acct Summary 7-8'!F18</f>
        <v>0</v>
      </c>
      <c r="C4133" s="2" t="s">
        <v>569</v>
      </c>
      <c r="D4133" s="2" t="str">
        <f t="shared" si="63"/>
        <v>Error?</v>
      </c>
    </row>
    <row r="4134" spans="1:4" x14ac:dyDescent="0.2">
      <c r="A4134" s="5">
        <v>4073</v>
      </c>
      <c r="B4134" s="1820">
        <f>'Acct Summary 7-8'!H18</f>
        <v>0</v>
      </c>
      <c r="C4134" s="2" t="s">
        <v>569</v>
      </c>
      <c r="D4134" s="2" t="str">
        <f t="shared" si="63"/>
        <v>Error?</v>
      </c>
    </row>
    <row r="4135" spans="1:4" x14ac:dyDescent="0.2">
      <c r="A4135" s="5">
        <v>4074</v>
      </c>
      <c r="B4135" s="1820">
        <f>'Acct Summary 7-8'!K18</f>
        <v>0</v>
      </c>
      <c r="C4135" s="2" t="s">
        <v>569</v>
      </c>
      <c r="D4135" s="2" t="str">
        <f t="shared" si="63"/>
        <v>Error?</v>
      </c>
    </row>
    <row r="4136" spans="1:4" x14ac:dyDescent="0.2">
      <c r="A4136" s="5">
        <v>4075</v>
      </c>
      <c r="B4136" s="1820">
        <f>'Acct Summary 7-8'!C19</f>
        <v>15066494</v>
      </c>
      <c r="C4136" s="2" t="s">
        <v>569</v>
      </c>
      <c r="D4136" s="2" t="str">
        <f t="shared" si="63"/>
        <v>Error?</v>
      </c>
    </row>
    <row r="4137" spans="1:4" x14ac:dyDescent="0.2">
      <c r="A4137" s="5">
        <v>4076</v>
      </c>
      <c r="B4137" s="1820">
        <f>'Acct Summary 7-8'!D19</f>
        <v>1611243</v>
      </c>
      <c r="C4137" s="2" t="s">
        <v>569</v>
      </c>
      <c r="D4137" s="2" t="str">
        <f t="shared" si="63"/>
        <v>Error?</v>
      </c>
    </row>
    <row r="4138" spans="1:4" x14ac:dyDescent="0.2">
      <c r="A4138" s="5">
        <v>4077</v>
      </c>
      <c r="B4138" s="1820">
        <f>'Acct Summary 7-8'!E19</f>
        <v>1208728</v>
      </c>
      <c r="C4138" s="2" t="s">
        <v>569</v>
      </c>
      <c r="D4138" s="2" t="str">
        <f t="shared" si="63"/>
        <v>Error?</v>
      </c>
    </row>
    <row r="4139" spans="1:4" x14ac:dyDescent="0.2">
      <c r="A4139" s="5">
        <v>4078</v>
      </c>
      <c r="B4139" s="1820">
        <f>'Acct Summary 7-8'!F19</f>
        <v>1109062</v>
      </c>
      <c r="C4139" s="2" t="s">
        <v>569</v>
      </c>
      <c r="D4139" s="2" t="str">
        <f t="shared" si="63"/>
        <v>Error?</v>
      </c>
    </row>
    <row r="4140" spans="1:4" x14ac:dyDescent="0.2">
      <c r="A4140" s="5">
        <v>4079</v>
      </c>
      <c r="B4140" s="1820">
        <f>'Acct Summary 7-8'!G19</f>
        <v>289528</v>
      </c>
      <c r="C4140" s="2" t="s">
        <v>569</v>
      </c>
      <c r="D4140" s="2" t="str">
        <f t="shared" si="63"/>
        <v>Error?</v>
      </c>
    </row>
    <row r="4141" spans="1:4" x14ac:dyDescent="0.2">
      <c r="A4141" s="5">
        <v>4080</v>
      </c>
      <c r="B4141" s="1820">
        <f>'Acct Summary 7-8'!H19</f>
        <v>0</v>
      </c>
      <c r="C4141" s="2" t="s">
        <v>569</v>
      </c>
      <c r="D4141" s="2" t="str">
        <f t="shared" si="63"/>
        <v>Error?</v>
      </c>
    </row>
    <row r="4142" spans="1:4" x14ac:dyDescent="0.2">
      <c r="A4142" s="10">
        <v>4081</v>
      </c>
      <c r="B4142" s="1820"/>
      <c r="D4142" s="2" t="str">
        <f t="shared" si="63"/>
        <v>OK</v>
      </c>
    </row>
    <row r="4143" spans="1:4" x14ac:dyDescent="0.2">
      <c r="A4143" s="10">
        <v>4082</v>
      </c>
      <c r="B4143" s="1820"/>
      <c r="C4143" s="2" t="s">
        <v>569</v>
      </c>
      <c r="D4143" s="2" t="str">
        <f t="shared" si="63"/>
        <v>OK</v>
      </c>
    </row>
    <row r="4144" spans="1:4" x14ac:dyDescent="0.2">
      <c r="A4144" s="5">
        <v>4083</v>
      </c>
      <c r="B4144" s="1820">
        <f>'Acct Summary 7-8'!K19</f>
        <v>0</v>
      </c>
      <c r="C4144" s="2" t="s">
        <v>569</v>
      </c>
      <c r="D4144" s="2" t="str">
        <f t="shared" si="63"/>
        <v>Error?</v>
      </c>
    </row>
    <row r="4145" spans="1:4" x14ac:dyDescent="0.2">
      <c r="A4145" s="10">
        <v>4084</v>
      </c>
      <c r="B4145" s="1820"/>
      <c r="C4145" s="2" t="s">
        <v>569</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569</v>
      </c>
      <c r="D4150" s="2" t="str">
        <f t="shared" si="63"/>
        <v>OK</v>
      </c>
    </row>
    <row r="4151" spans="1:4" x14ac:dyDescent="0.2">
      <c r="A4151" s="10">
        <v>4090</v>
      </c>
      <c r="B4151" s="1820"/>
      <c r="C4151" s="2" t="s">
        <v>569</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569</v>
      </c>
      <c r="D4156" s="2" t="str">
        <f t="shared" si="63"/>
        <v>Error?</v>
      </c>
    </row>
    <row r="4157" spans="1:4" x14ac:dyDescent="0.2">
      <c r="A4157" s="5">
        <v>4096</v>
      </c>
      <c r="B4157" s="1820">
        <f>'Expenditures 15-22'!K204</f>
        <v>0</v>
      </c>
      <c r="C4157" s="2" t="s">
        <v>569</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569</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569</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569</v>
      </c>
      <c r="D4170" s="2" t="str">
        <f t="shared" si="64"/>
        <v>OK</v>
      </c>
    </row>
    <row r="4171" spans="1:4" x14ac:dyDescent="0.2">
      <c r="A4171" s="5">
        <v>4110</v>
      </c>
      <c r="B4171" s="1820">
        <f>'Short-Term Long-Term Debt 24'!I49</f>
        <v>3778028</v>
      </c>
      <c r="C4171" s="2" t="s">
        <v>569</v>
      </c>
      <c r="D4171" s="2" t="str">
        <f t="shared" si="64"/>
        <v>Error?</v>
      </c>
    </row>
    <row r="4172" spans="1:4" x14ac:dyDescent="0.2">
      <c r="A4172" s="5">
        <v>4111</v>
      </c>
      <c r="B4172" s="1820">
        <f>'Short-Term Long-Term Debt 24'!J49</f>
        <v>3778028</v>
      </c>
      <c r="C4172" s="2" t="s">
        <v>569</v>
      </c>
      <c r="D4172" s="2" t="str">
        <f t="shared" si="64"/>
        <v>Error?</v>
      </c>
    </row>
    <row r="4173" spans="1:4" x14ac:dyDescent="0.2">
      <c r="A4173" s="5">
        <v>4112</v>
      </c>
      <c r="B4173" s="1820">
        <f>'Short-Term Long-Term Debt 24'!H49</f>
        <v>771260</v>
      </c>
      <c r="C4173" s="2" t="s">
        <v>569</v>
      </c>
      <c r="D4173" s="2" t="str">
        <f t="shared" si="64"/>
        <v>Error?</v>
      </c>
    </row>
    <row r="4174" spans="1:4" x14ac:dyDescent="0.2">
      <c r="A4174" s="10">
        <v>4113</v>
      </c>
      <c r="B4174" s="1820"/>
      <c r="C4174" s="2" t="s">
        <v>569</v>
      </c>
      <c r="D4174" s="2" t="str">
        <f t="shared" si="64"/>
        <v>OK</v>
      </c>
    </row>
    <row r="4175" spans="1:4" x14ac:dyDescent="0.2">
      <c r="A4175" s="5">
        <v>4114</v>
      </c>
      <c r="B4175" s="1820">
        <f>'Acct Summary 7-8'!E18</f>
        <v>0</v>
      </c>
      <c r="C4175" s="2" t="s">
        <v>569</v>
      </c>
      <c r="D4175" s="2" t="str">
        <f t="shared" si="64"/>
        <v>Error?</v>
      </c>
    </row>
    <row r="4176" spans="1:4" x14ac:dyDescent="0.2">
      <c r="A4176" s="5">
        <v>4115</v>
      </c>
      <c r="B4176" s="1820">
        <f>'Acct Summary 7-8'!G18</f>
        <v>0</v>
      </c>
      <c r="C4176" s="2" t="s">
        <v>569</v>
      </c>
      <c r="D4176" s="2" t="str">
        <f t="shared" si="64"/>
        <v>Error?</v>
      </c>
    </row>
    <row r="4177" spans="1:4" x14ac:dyDescent="0.2">
      <c r="A4177" s="5">
        <v>4116</v>
      </c>
      <c r="B4177" s="1820">
        <f>'Short-Term Long-Term Debt 24'!G49</f>
        <v>0</v>
      </c>
      <c r="D4177" s="2" t="str">
        <f t="shared" si="64"/>
        <v>Error?</v>
      </c>
    </row>
    <row r="4178" spans="1:4" x14ac:dyDescent="0.2">
      <c r="A4178" s="10">
        <v>4117</v>
      </c>
      <c r="B4178" s="1820"/>
      <c r="C4178" s="2" t="s">
        <v>569</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569</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569</v>
      </c>
      <c r="D4202" s="2" t="str">
        <f t="shared" si="64"/>
        <v>Error?</v>
      </c>
    </row>
    <row r="4203" spans="1:4" x14ac:dyDescent="0.2">
      <c r="A4203" s="5">
        <v>4142</v>
      </c>
      <c r="B4203" s="1820">
        <f>'Expenditures 15-22'!E139</f>
        <v>0</v>
      </c>
      <c r="C4203" s="2" t="s">
        <v>569</v>
      </c>
      <c r="D4203" s="2" t="str">
        <f t="shared" si="64"/>
        <v>Error?</v>
      </c>
    </row>
    <row r="4204" spans="1:4" x14ac:dyDescent="0.2">
      <c r="A4204" s="10">
        <v>4143</v>
      </c>
      <c r="B4204" s="1820"/>
      <c r="D4204" s="2" t="str">
        <f t="shared" si="64"/>
        <v>OK</v>
      </c>
    </row>
    <row r="4205" spans="1:4" x14ac:dyDescent="0.2">
      <c r="A4205" s="10">
        <v>4144</v>
      </c>
      <c r="B4205" s="1820"/>
      <c r="C4205" s="2" t="s">
        <v>569</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569</v>
      </c>
      <c r="D4211" s="2" t="str">
        <f t="shared" si="64"/>
        <v>Error?</v>
      </c>
    </row>
    <row r="4212" spans="1:4" x14ac:dyDescent="0.2">
      <c r="A4212" s="10">
        <v>4151</v>
      </c>
      <c r="B4212" s="1820"/>
      <c r="D4212" s="2" t="str">
        <f t="shared" si="64"/>
        <v>OK</v>
      </c>
    </row>
    <row r="4213" spans="1:4" x14ac:dyDescent="0.2">
      <c r="A4213" s="10">
        <v>4152</v>
      </c>
      <c r="B4213" s="1820"/>
      <c r="C4213" s="2" t="s">
        <v>569</v>
      </c>
      <c r="D4213" s="2" t="str">
        <f t="shared" si="64"/>
        <v>OK</v>
      </c>
    </row>
    <row r="4214" spans="1:4" x14ac:dyDescent="0.2">
      <c r="A4214" s="10">
        <v>4153</v>
      </c>
      <c r="B4214" s="1820"/>
      <c r="C4214" s="2" t="s">
        <v>569</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569</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1896</v>
      </c>
    </row>
    <row r="4236" spans="1:5" x14ac:dyDescent="0.2">
      <c r="A4236" s="10">
        <v>4175</v>
      </c>
      <c r="B4236" s="1820"/>
      <c r="D4236" s="2" t="str">
        <f t="shared" si="65"/>
        <v>OK</v>
      </c>
      <c r="E4236" s="4" t="s">
        <v>1896</v>
      </c>
    </row>
    <row r="4237" spans="1:5" x14ac:dyDescent="0.2">
      <c r="A4237" s="10">
        <v>4176</v>
      </c>
      <c r="B4237" s="1820"/>
      <c r="D4237" s="2" t="str">
        <f t="shared" si="65"/>
        <v>OK</v>
      </c>
      <c r="E4237" s="4" t="s">
        <v>1896</v>
      </c>
    </row>
    <row r="4238" spans="1:5" x14ac:dyDescent="0.2">
      <c r="A4238" s="10">
        <v>4177</v>
      </c>
      <c r="B4238" s="1820"/>
      <c r="D4238" s="2" t="str">
        <f t="shared" si="65"/>
        <v>OK</v>
      </c>
      <c r="E4238" s="4" t="s">
        <v>1896</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4"/>
    </row>
    <row r="4265" spans="1:5" x14ac:dyDescent="0.2">
      <c r="A4265" s="12">
        <v>4204</v>
      </c>
      <c r="B4265" s="1820">
        <f>('FP Info 3'!D10)*100000</f>
        <v>4420.6000000000004</v>
      </c>
      <c r="C4265" s="2" t="s">
        <v>569</v>
      </c>
      <c r="D4265" s="2" t="str">
        <f t="shared" si="65"/>
        <v>Error?</v>
      </c>
      <c r="E4265" s="124"/>
    </row>
    <row r="4266" spans="1:5" x14ac:dyDescent="0.2">
      <c r="A4266" s="12">
        <v>4205</v>
      </c>
      <c r="B4266" s="1820">
        <f>('FP Info 3'!F10)*100000</f>
        <v>449.90000000000003</v>
      </c>
      <c r="C4266" s="2" t="s">
        <v>569</v>
      </c>
      <c r="D4266" s="2" t="str">
        <f t="shared" si="65"/>
        <v>Error?</v>
      </c>
      <c r="E4266" s="124"/>
    </row>
    <row r="4267" spans="1:5" x14ac:dyDescent="0.2">
      <c r="A4267" s="12">
        <v>4206</v>
      </c>
      <c r="B4267" s="1820">
        <f>('FP Info 3'!H10)*100000</f>
        <v>1231.1000000000001</v>
      </c>
      <c r="C4267" s="2" t="s">
        <v>569</v>
      </c>
      <c r="D4267" s="2" t="str">
        <f t="shared" si="65"/>
        <v>Error?</v>
      </c>
      <c r="E4267" s="124"/>
    </row>
    <row r="4268" spans="1:5" x14ac:dyDescent="0.2">
      <c r="A4268" s="12">
        <v>4207</v>
      </c>
      <c r="B4268" s="1820">
        <f>('FP Info 3'!J10)*100000</f>
        <v>6102</v>
      </c>
      <c r="C4268" s="2" t="s">
        <v>569</v>
      </c>
      <c r="D4268" s="2" t="str">
        <f t="shared" si="65"/>
        <v>Error?</v>
      </c>
    </row>
    <row r="4269" spans="1:5" x14ac:dyDescent="0.2">
      <c r="A4269" s="12">
        <v>4208</v>
      </c>
      <c r="B4269" s="1820">
        <f>'FP Info 3'!J16</f>
        <v>7674297</v>
      </c>
      <c r="C4269" s="2" t="s">
        <v>569</v>
      </c>
      <c r="D4269" s="2" t="str">
        <f t="shared" si="65"/>
        <v>Error?</v>
      </c>
    </row>
    <row r="4270" spans="1:5" x14ac:dyDescent="0.2">
      <c r="A4270" s="12">
        <v>4209</v>
      </c>
      <c r="B4270" s="1820">
        <f>'FP Info 3'!D24</f>
        <v>0</v>
      </c>
      <c r="D4270" s="2" t="str">
        <f t="shared" si="65"/>
        <v>Error?</v>
      </c>
    </row>
    <row r="4271" spans="1:5" x14ac:dyDescent="0.2">
      <c r="A4271" s="10">
        <v>4210</v>
      </c>
      <c r="B4271" s="1820"/>
      <c r="C4271" s="2" t="s">
        <v>569</v>
      </c>
      <c r="D4271" s="2" t="str">
        <f t="shared" si="65"/>
        <v>OK</v>
      </c>
    </row>
    <row r="4272" spans="1:5" x14ac:dyDescent="0.2">
      <c r="A4272" s="10">
        <v>4211</v>
      </c>
      <c r="B4272" s="1820"/>
      <c r="D4272" s="2" t="str">
        <f t="shared" si="65"/>
        <v>OK</v>
      </c>
      <c r="E4272" s="2" t="s">
        <v>824</v>
      </c>
    </row>
    <row r="4273" spans="1:5" x14ac:dyDescent="0.2">
      <c r="A4273" s="10">
        <v>4212</v>
      </c>
      <c r="B4273" s="1820"/>
      <c r="D4273" s="2" t="str">
        <f t="shared" si="65"/>
        <v>OK</v>
      </c>
      <c r="E4273" s="2" t="s">
        <v>915</v>
      </c>
    </row>
    <row r="4274" spans="1:5" x14ac:dyDescent="0.2">
      <c r="A4274" s="10">
        <v>4213</v>
      </c>
      <c r="B4274" s="1820"/>
      <c r="C4274" s="2" t="s">
        <v>569</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569</v>
      </c>
      <c r="D4295" s="2" t="str">
        <f t="shared" si="66"/>
        <v>OK</v>
      </c>
    </row>
    <row r="4296" spans="1:4" x14ac:dyDescent="0.2">
      <c r="A4296" s="10">
        <v>4235</v>
      </c>
      <c r="B4296" s="1820"/>
      <c r="C4296" s="2" t="s">
        <v>569</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0</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569</v>
      </c>
      <c r="D4357" s="2" t="str">
        <f t="shared" si="67"/>
        <v>Error?</v>
      </c>
    </row>
    <row r="4358" spans="1:4" x14ac:dyDescent="0.2">
      <c r="A4358" s="5">
        <v>4297</v>
      </c>
      <c r="B4358" s="1820">
        <f>'Revenues 9-14'!C263</f>
        <v>28085</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36446</v>
      </c>
      <c r="D4362" s="2" t="str">
        <f t="shared" si="67"/>
        <v>Error?</v>
      </c>
    </row>
    <row r="4363" spans="1:4" x14ac:dyDescent="0.2">
      <c r="A4363" s="5">
        <v>4302</v>
      </c>
      <c r="B4363" s="1820">
        <f>'Revenues 9-14'!I169</f>
        <v>0</v>
      </c>
      <c r="C4363" s="2" t="s">
        <v>569</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569</v>
      </c>
      <c r="D4372" s="2" t="str">
        <f t="shared" si="67"/>
        <v>Error?</v>
      </c>
    </row>
    <row r="4373" spans="1:4" x14ac:dyDescent="0.2">
      <c r="A4373" s="5">
        <v>4312</v>
      </c>
      <c r="B4373" s="1820">
        <f>'Revenues 9-14'!I175</f>
        <v>0</v>
      </c>
      <c r="C4373" s="2" t="s">
        <v>569</v>
      </c>
      <c r="D4373" s="2" t="str">
        <f t="shared" si="67"/>
        <v>Error?</v>
      </c>
    </row>
    <row r="4374" spans="1:4" x14ac:dyDescent="0.2">
      <c r="A4374" s="10">
        <v>4313</v>
      </c>
      <c r="B4374" s="1820"/>
      <c r="C4374" s="2" t="s">
        <v>569</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569</v>
      </c>
      <c r="D4395" s="2" t="str">
        <f t="shared" si="67"/>
        <v>Error?</v>
      </c>
    </row>
    <row r="4396" spans="1:5" x14ac:dyDescent="0.2">
      <c r="A4396" s="5">
        <v>4335</v>
      </c>
      <c r="B4396" s="1820">
        <f>'Revenues 9-14'!D188</f>
        <v>0</v>
      </c>
      <c r="C4396" s="2" t="s">
        <v>569</v>
      </c>
      <c r="D4396" s="2" t="str">
        <f t="shared" si="67"/>
        <v>Error?</v>
      </c>
    </row>
    <row r="4397" spans="1:5" x14ac:dyDescent="0.2">
      <c r="A4397" s="5">
        <v>4336</v>
      </c>
      <c r="B4397" s="1820">
        <f>'Revenues 9-14'!F188</f>
        <v>0</v>
      </c>
      <c r="C4397" s="2" t="s">
        <v>569</v>
      </c>
      <c r="D4397" s="2" t="str">
        <f t="shared" si="67"/>
        <v>Error?</v>
      </c>
    </row>
    <row r="4398" spans="1:5" x14ac:dyDescent="0.2">
      <c r="A4398" s="5">
        <v>4337</v>
      </c>
      <c r="B4398" s="1820">
        <f>'Revenues 9-14'!G188</f>
        <v>0</v>
      </c>
      <c r="C4398" s="2" t="s">
        <v>569</v>
      </c>
      <c r="D4398" s="2" t="str">
        <f t="shared" si="67"/>
        <v>Error?</v>
      </c>
    </row>
    <row r="4399" spans="1:5" x14ac:dyDescent="0.2">
      <c r="A4399" s="10">
        <v>4338</v>
      </c>
      <c r="B4399" s="1820"/>
      <c r="D4399" s="2" t="str">
        <f t="shared" si="67"/>
        <v>OK</v>
      </c>
      <c r="E4399" s="4" t="s">
        <v>1896</v>
      </c>
    </row>
    <row r="4400" spans="1:5" x14ac:dyDescent="0.2">
      <c r="A4400" s="10">
        <v>4339</v>
      </c>
      <c r="B4400" s="1820"/>
      <c r="D4400" s="2" t="str">
        <f t="shared" si="67"/>
        <v>OK</v>
      </c>
      <c r="E4400" s="4" t="s">
        <v>1896</v>
      </c>
    </row>
    <row r="4401" spans="1:5" x14ac:dyDescent="0.2">
      <c r="A4401" s="10">
        <v>4340</v>
      </c>
      <c r="B4401" s="1820"/>
      <c r="D4401" s="2" t="str">
        <f t="shared" si="67"/>
        <v>OK</v>
      </c>
      <c r="E4401" s="4" t="s">
        <v>1896</v>
      </c>
    </row>
    <row r="4402" spans="1:5" x14ac:dyDescent="0.2">
      <c r="A4402" s="10">
        <v>4341</v>
      </c>
      <c r="B4402" s="1820"/>
      <c r="D4402" s="2" t="str">
        <f t="shared" si="67"/>
        <v>OK</v>
      </c>
      <c r="E4402" s="4" t="s">
        <v>1896</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879</v>
      </c>
      <c r="C4411" s="2" t="s">
        <v>569</v>
      </c>
      <c r="D4411" s="2" t="str">
        <f t="shared" si="67"/>
        <v>Error?</v>
      </c>
    </row>
    <row r="4412" spans="1:5" x14ac:dyDescent="0.2">
      <c r="A4412" s="5">
        <v>4351</v>
      </c>
      <c r="B4412" s="1820">
        <f>'Revenues 9-14'!D209</f>
        <v>0</v>
      </c>
      <c r="C4412" s="2" t="s">
        <v>569</v>
      </c>
      <c r="D4412" s="2" t="str">
        <f t="shared" si="67"/>
        <v>Error?</v>
      </c>
    </row>
    <row r="4413" spans="1:5" x14ac:dyDescent="0.2">
      <c r="A4413" s="5">
        <v>4352</v>
      </c>
      <c r="B4413" s="1820">
        <f>'Revenues 9-14'!F209</f>
        <v>0</v>
      </c>
      <c r="C4413" s="2" t="s">
        <v>569</v>
      </c>
      <c r="D4413" s="2" t="str">
        <f t="shared" si="67"/>
        <v>Error?</v>
      </c>
    </row>
    <row r="4414" spans="1:5" x14ac:dyDescent="0.2">
      <c r="A4414" s="5">
        <v>4353</v>
      </c>
      <c r="B4414" s="1820">
        <f>'Revenues 9-14'!G209</f>
        <v>0</v>
      </c>
      <c r="C4414" s="2" t="s">
        <v>569</v>
      </c>
      <c r="D4414" s="2" t="str">
        <f t="shared" si="67"/>
        <v>Error?</v>
      </c>
    </row>
    <row r="4415" spans="1:5" x14ac:dyDescent="0.2">
      <c r="A4415" s="5">
        <v>4354</v>
      </c>
      <c r="B4415" s="1820">
        <f>'Revenues 9-14'!C256</f>
        <v>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63207</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569</v>
      </c>
      <c r="D4434" s="2" t="str">
        <f t="shared" si="68"/>
        <v>Error?</v>
      </c>
    </row>
    <row r="4435" spans="1:5" x14ac:dyDescent="0.2">
      <c r="A4435" s="5">
        <v>4374</v>
      </c>
      <c r="B4435" s="1820">
        <f>'Revenues 9-14'!I267</f>
        <v>0</v>
      </c>
      <c r="C4435" s="2" t="s">
        <v>569</v>
      </c>
      <c r="D4435" s="2" t="str">
        <f t="shared" si="68"/>
        <v>Error?</v>
      </c>
    </row>
    <row r="4436" spans="1:5" x14ac:dyDescent="0.2">
      <c r="A4436" s="10">
        <v>4375</v>
      </c>
      <c r="B4436" s="1820"/>
      <c r="C4436" s="2" t="s">
        <v>569</v>
      </c>
      <c r="D4436" s="2" t="str">
        <f t="shared" si="68"/>
        <v>OK</v>
      </c>
      <c r="E4436" s="124"/>
    </row>
    <row r="4437" spans="1:5" x14ac:dyDescent="0.2">
      <c r="A4437" s="12">
        <v>4376</v>
      </c>
      <c r="B4437" s="1820">
        <f>('FP Info 3'!L10)*100000</f>
        <v>40.9</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569</v>
      </c>
      <c r="D4441" s="2" t="str">
        <f t="shared" si="68"/>
        <v>Error?</v>
      </c>
    </row>
    <row r="4442" spans="1:5" x14ac:dyDescent="0.2">
      <c r="A4442" s="5">
        <v>4381</v>
      </c>
      <c r="B4442" s="1820">
        <f>'Revenues 9-14'!K266</f>
        <v>0</v>
      </c>
      <c r="C4442" s="2" t="s">
        <v>569</v>
      </c>
      <c r="D4442" s="2" t="str">
        <f t="shared" si="68"/>
        <v>Error?</v>
      </c>
    </row>
    <row r="4443" spans="1:5" x14ac:dyDescent="0.2">
      <c r="A4443" s="5">
        <v>4382</v>
      </c>
      <c r="B4443" s="1820">
        <f>'Acct Summary 7-8'!E7</f>
        <v>0</v>
      </c>
      <c r="C4443" s="2" t="s">
        <v>569</v>
      </c>
      <c r="D4443" s="2" t="str">
        <f t="shared" si="68"/>
        <v>Error?</v>
      </c>
    </row>
    <row r="4444" spans="1:5" x14ac:dyDescent="0.2">
      <c r="A4444" s="5">
        <v>4383</v>
      </c>
      <c r="B4444" s="1820">
        <f>'Acct Summary 7-8'!I7</f>
        <v>0</v>
      </c>
      <c r="C4444" s="2" t="s">
        <v>569</v>
      </c>
      <c r="D4444" s="2" t="str">
        <f t="shared" si="68"/>
        <v>Error?</v>
      </c>
    </row>
    <row r="4445" spans="1:5" x14ac:dyDescent="0.2">
      <c r="A4445" s="10">
        <v>4384</v>
      </c>
      <c r="B4445" s="1820"/>
      <c r="C4445" s="2" t="s">
        <v>569</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569</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37295</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0</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569</v>
      </c>
      <c r="D4950" s="2" t="str">
        <f t="shared" si="76"/>
        <v>Error?</v>
      </c>
    </row>
    <row r="4951" spans="1:4" x14ac:dyDescent="0.2">
      <c r="A4951" s="5">
        <v>4890</v>
      </c>
      <c r="B4951" s="1820">
        <f>'Revenues 9-14'!K175</f>
        <v>0</v>
      </c>
      <c r="C4951" s="2" t="s">
        <v>569</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95020959</v>
      </c>
      <c r="D4995" s="2" t="str">
        <f t="shared" si="77"/>
        <v>Error?</v>
      </c>
    </row>
    <row r="4996" spans="1:4" x14ac:dyDescent="0.2">
      <c r="A4996" s="12">
        <v>4935</v>
      </c>
      <c r="B4996" s="1820">
        <f>'FP Info 3'!H31</f>
        <v>6556446.1710000001</v>
      </c>
      <c r="D4996" s="2" t="str">
        <f t="shared" si="77"/>
        <v>Error?</v>
      </c>
    </row>
    <row r="4997" spans="1:4" x14ac:dyDescent="0.2">
      <c r="A4997" s="12">
        <v>4936</v>
      </c>
      <c r="B4997" s="1820">
        <f>'FP Info 3'!H37</f>
        <v>3778028</v>
      </c>
      <c r="D4997" s="2" t="str">
        <f t="shared" si="77"/>
        <v>Error?</v>
      </c>
    </row>
    <row r="4998" spans="1:4" x14ac:dyDescent="0.2">
      <c r="A4998" s="10">
        <v>4937</v>
      </c>
      <c r="B4998" s="1820"/>
      <c r="D4998" s="2" t="str">
        <f t="shared" si="77"/>
        <v>OK</v>
      </c>
    </row>
    <row r="4999" spans="1:4" x14ac:dyDescent="0.2">
      <c r="A4999" s="10">
        <v>4938</v>
      </c>
      <c r="B4999" s="1820"/>
      <c r="C4999" s="2" t="s">
        <v>569</v>
      </c>
      <c r="D4999" s="2" t="str">
        <f t="shared" si="77"/>
        <v>OK</v>
      </c>
    </row>
    <row r="5000" spans="1:4" x14ac:dyDescent="0.2">
      <c r="A5000" s="5">
        <v>4939</v>
      </c>
      <c r="B5000" s="1820">
        <f>'Revenues 9-14'!K169</f>
        <v>0</v>
      </c>
      <c r="C5000" s="2" t="s">
        <v>569</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569</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569</v>
      </c>
      <c r="D5009" s="2" t="str">
        <f t="shared" si="77"/>
        <v>OK</v>
      </c>
    </row>
    <row r="5010" spans="1:4" x14ac:dyDescent="0.2">
      <c r="A5010" s="10">
        <v>4949</v>
      </c>
      <c r="B5010" s="1820"/>
      <c r="C5010" s="2" t="s">
        <v>569</v>
      </c>
      <c r="D5010" s="2" t="str">
        <f t="shared" si="77"/>
        <v>OK</v>
      </c>
    </row>
    <row r="5011" spans="1:4" x14ac:dyDescent="0.2">
      <c r="A5011" s="5">
        <v>4950</v>
      </c>
      <c r="B5011" s="1820">
        <f>'Acct Summary 7-8'!I6</f>
        <v>0</v>
      </c>
      <c r="C5011" s="2" t="s">
        <v>569</v>
      </c>
      <c r="D5011" s="2" t="str">
        <f t="shared" si="77"/>
        <v>Error?</v>
      </c>
    </row>
    <row r="5012" spans="1:4" x14ac:dyDescent="0.2">
      <c r="A5012" s="5">
        <v>4951</v>
      </c>
      <c r="B5012" s="1820">
        <f>'Acct Summary 7-8'!C27</f>
        <v>0</v>
      </c>
      <c r="C5012" s="2" t="s">
        <v>569</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569</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569</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3481575</v>
      </c>
      <c r="D5061" s="2" t="str">
        <f t="shared" si="78"/>
        <v>Error?</v>
      </c>
    </row>
    <row r="5062" spans="1:4" x14ac:dyDescent="0.2">
      <c r="A5062" s="10">
        <v>5001</v>
      </c>
      <c r="B5062" s="1820"/>
      <c r="D5062" s="2" t="str">
        <f t="shared" si="78"/>
        <v>OK</v>
      </c>
    </row>
    <row r="5063" spans="1:4" x14ac:dyDescent="0.2">
      <c r="A5063" s="5">
        <v>5002</v>
      </c>
      <c r="B5063" s="1820">
        <f>'Revenues 9-14'!C7</f>
        <v>-10960</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3470615</v>
      </c>
      <c r="C5066" s="2" t="s">
        <v>569</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208865</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208865</v>
      </c>
      <c r="C5071" s="2" t="s">
        <v>569</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0</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0</v>
      </c>
      <c r="C5087" s="2" t="s">
        <v>569</v>
      </c>
      <c r="D5087" s="2" t="str">
        <f t="shared" si="78"/>
        <v>Error?</v>
      </c>
    </row>
    <row r="5088" spans="1:4" x14ac:dyDescent="0.2">
      <c r="A5088" s="5">
        <v>5027</v>
      </c>
      <c r="B5088" s="1820">
        <f>'Revenues 9-14'!C65</f>
        <v>77073</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77073</v>
      </c>
      <c r="C5090" s="2" t="s">
        <v>569</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1411</v>
      </c>
      <c r="D5094" s="2" t="str">
        <f t="shared" si="78"/>
        <v>Error?</v>
      </c>
    </row>
    <row r="5095" spans="1:4" x14ac:dyDescent="0.2">
      <c r="A5095" s="5">
        <v>5034</v>
      </c>
      <c r="B5095" s="1820">
        <f>'Revenues 9-14'!C74</f>
        <v>0</v>
      </c>
      <c r="D5095" s="2" t="str">
        <f t="shared" si="78"/>
        <v>Error?</v>
      </c>
    </row>
    <row r="5096" spans="1:4" x14ac:dyDescent="0.2">
      <c r="A5096" s="5">
        <v>5035</v>
      </c>
      <c r="B5096" s="1820">
        <f>'Revenues 9-14'!C75</f>
        <v>1411</v>
      </c>
      <c r="C5096" s="2" t="s">
        <v>569</v>
      </c>
      <c r="D5096" s="2" t="str">
        <f t="shared" si="78"/>
        <v>Error?</v>
      </c>
    </row>
    <row r="5097" spans="1:4" x14ac:dyDescent="0.2">
      <c r="A5097" s="5">
        <v>5036</v>
      </c>
      <c r="B5097" s="1820">
        <f>'Revenues 9-14'!C77</f>
        <v>0</v>
      </c>
      <c r="D5097" s="2" t="str">
        <f t="shared" si="78"/>
        <v>Error?</v>
      </c>
    </row>
    <row r="5098" spans="1:4" x14ac:dyDescent="0.2">
      <c r="A5098" s="5">
        <v>5037</v>
      </c>
      <c r="B5098" s="1820">
        <f>'Revenues 9-14'!C78</f>
        <v>0</v>
      </c>
      <c r="D5098" s="2" t="str">
        <f t="shared" si="78"/>
        <v>Error?</v>
      </c>
    </row>
    <row r="5099" spans="1:4" x14ac:dyDescent="0.2">
      <c r="A5099" s="5">
        <v>5038</v>
      </c>
      <c r="B5099" s="1820">
        <f>'Revenues 9-14'!C79</f>
        <v>0</v>
      </c>
      <c r="D5099" s="2" t="str">
        <f t="shared" si="78"/>
        <v>Error?</v>
      </c>
    </row>
    <row r="5100" spans="1:4" x14ac:dyDescent="0.2">
      <c r="A5100" s="5">
        <v>5039</v>
      </c>
      <c r="B5100" s="1820">
        <f>'Revenues 9-14'!C80</f>
        <v>0</v>
      </c>
      <c r="D5100" s="2" t="str">
        <f t="shared" si="78"/>
        <v>Error?</v>
      </c>
    </row>
    <row r="5101" spans="1:4" x14ac:dyDescent="0.2">
      <c r="A5101" s="5">
        <v>5040</v>
      </c>
      <c r="B5101" s="1820">
        <f>'Revenues 9-14'!C81</f>
        <v>0</v>
      </c>
      <c r="D5101" s="2" t="str">
        <f t="shared" si="78"/>
        <v>Error?</v>
      </c>
    </row>
    <row r="5102" spans="1:4" x14ac:dyDescent="0.2">
      <c r="A5102" s="5">
        <v>5041</v>
      </c>
      <c r="B5102" s="1820">
        <f>'Revenues 9-14'!C82</f>
        <v>0</v>
      </c>
      <c r="C5102" s="2" t="s">
        <v>569</v>
      </c>
      <c r="D5102" s="2" t="str">
        <f t="shared" si="78"/>
        <v>Error?</v>
      </c>
    </row>
    <row r="5103" spans="1:4" x14ac:dyDescent="0.2">
      <c r="A5103" s="5">
        <v>5042</v>
      </c>
      <c r="B5103" s="1820">
        <f>'Revenues 9-14'!C84</f>
        <v>0</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0</v>
      </c>
      <c r="C5112" s="2" t="s">
        <v>569</v>
      </c>
      <c r="D5112" s="2" t="str">
        <f t="shared" si="78"/>
        <v>Error?</v>
      </c>
    </row>
    <row r="5113" spans="1:4" x14ac:dyDescent="0.2">
      <c r="A5113" s="5">
        <v>5052</v>
      </c>
      <c r="B5113" s="1820">
        <f>'Revenues 9-14'!C95</f>
        <v>125000</v>
      </c>
      <c r="D5113" s="2" t="str">
        <f t="shared" si="78"/>
        <v>Error?</v>
      </c>
    </row>
    <row r="5114" spans="1:4" x14ac:dyDescent="0.2">
      <c r="A5114" s="5">
        <v>5053</v>
      </c>
      <c r="B5114" s="1820">
        <f>'Revenues 9-14'!C96</f>
        <v>0</v>
      </c>
      <c r="D5114" s="2" t="str">
        <f t="shared" si="78"/>
        <v>Error?</v>
      </c>
    </row>
    <row r="5115" spans="1:4" x14ac:dyDescent="0.2">
      <c r="A5115" s="5">
        <v>5054</v>
      </c>
      <c r="B5115" s="1820">
        <f>'Revenues 9-14'!C98</f>
        <v>0</v>
      </c>
      <c r="D5115" s="2" t="str">
        <f t="shared" si="78"/>
        <v>Error?</v>
      </c>
    </row>
    <row r="5116" spans="1:4" x14ac:dyDescent="0.2">
      <c r="A5116" s="5">
        <v>5055</v>
      </c>
      <c r="B5116" s="1820">
        <f>'Revenues 9-14'!C99</f>
        <v>26115</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0</v>
      </c>
      <c r="D5118" s="2" t="str">
        <f t="shared" si="78"/>
        <v>Error?</v>
      </c>
    </row>
    <row r="5119" spans="1:4" x14ac:dyDescent="0.2">
      <c r="A5119" s="5">
        <v>5058</v>
      </c>
      <c r="B5119" s="1820">
        <f>'Revenues 9-14'!C107</f>
        <v>5577</v>
      </c>
      <c r="D5119" s="2" t="str">
        <f t="shared" ref="D5119:D5182" si="79">IF(ISBLANK(B5119),"OK",IF(A5119-B5119=0,"OK","Error?"))</f>
        <v>Error?</v>
      </c>
    </row>
    <row r="5120" spans="1:4" x14ac:dyDescent="0.2">
      <c r="A5120" s="5">
        <v>5059</v>
      </c>
      <c r="B5120" s="1820">
        <f>'Revenues 9-14'!C108</f>
        <v>156692</v>
      </c>
      <c r="C5120" s="2" t="s">
        <v>569</v>
      </c>
      <c r="D5120" s="2" t="str">
        <f t="shared" si="79"/>
        <v>Error?</v>
      </c>
    </row>
    <row r="5121" spans="1:4" x14ac:dyDescent="0.2">
      <c r="A5121" s="5">
        <v>5060</v>
      </c>
      <c r="B5121" s="1820">
        <f>'Revenues 9-14'!C109</f>
        <v>3914656</v>
      </c>
      <c r="C5121" s="2" t="s">
        <v>569</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569</v>
      </c>
      <c r="D5125" s="2" t="str">
        <f t="shared" si="79"/>
        <v>Error?</v>
      </c>
    </row>
    <row r="5126" spans="1:4" x14ac:dyDescent="0.2">
      <c r="A5126" s="5">
        <v>5065</v>
      </c>
      <c r="B5126" s="1820">
        <f>'Revenues 9-14'!C117</f>
        <v>6717686</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6717686</v>
      </c>
      <c r="C5132" s="2" t="s">
        <v>569</v>
      </c>
      <c r="D5132" s="2" t="str">
        <f t="shared" si="79"/>
        <v>Error?</v>
      </c>
    </row>
    <row r="5133" spans="1:4" x14ac:dyDescent="0.2">
      <c r="A5133" s="5">
        <v>5072</v>
      </c>
      <c r="B5133" s="1820">
        <f>'Revenues 9-14'!C125</f>
        <v>2870</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0</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2870</v>
      </c>
      <c r="C5147" s="2" t="s">
        <v>569</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0</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0</v>
      </c>
      <c r="C5161" s="2" t="s">
        <v>569</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569</v>
      </c>
      <c r="D5165" s="2" t="str">
        <f t="shared" si="79"/>
        <v>Error?</v>
      </c>
    </row>
    <row r="5166" spans="1:4" x14ac:dyDescent="0.2">
      <c r="A5166" s="10">
        <v>5105</v>
      </c>
      <c r="B5166" s="1820"/>
      <c r="D5166" s="2" t="str">
        <f t="shared" si="79"/>
        <v>OK</v>
      </c>
    </row>
    <row r="5167" spans="1:4" x14ac:dyDescent="0.2">
      <c r="A5167" s="5">
        <v>5106</v>
      </c>
      <c r="B5167" s="1820">
        <f>'Revenues 9-14'!C146</f>
        <v>8958</v>
      </c>
      <c r="D5167" s="2" t="str">
        <f t="shared" si="79"/>
        <v>Error?</v>
      </c>
    </row>
    <row r="5168" spans="1:4" x14ac:dyDescent="0.2">
      <c r="A5168" s="5">
        <v>5107</v>
      </c>
      <c r="B5168" s="1820">
        <f>'Revenues 9-14'!C148</f>
        <v>0</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569</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404162</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1896</v>
      </c>
    </row>
    <row r="5200" spans="1:5" x14ac:dyDescent="0.2">
      <c r="A5200" s="10">
        <v>5139</v>
      </c>
      <c r="B5200" s="1820"/>
      <c r="D5200" s="2" t="str">
        <f t="shared" si="80"/>
        <v>OK</v>
      </c>
      <c r="E5200" s="4" t="s">
        <v>1896</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453285</v>
      </c>
      <c r="C5214" s="2" t="s">
        <v>569</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7170971</v>
      </c>
      <c r="C5223" s="2" t="s">
        <v>569</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569</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569</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341966</v>
      </c>
      <c r="D5239" s="2" t="str">
        <f t="shared" si="80"/>
        <v>Error?</v>
      </c>
    </row>
    <row r="5240" spans="1:4" x14ac:dyDescent="0.2">
      <c r="A5240" s="5">
        <v>5179</v>
      </c>
      <c r="B5240" s="1820">
        <f>'Revenues 9-14'!C192</f>
        <v>0</v>
      </c>
      <c r="D5240" s="2" t="str">
        <f t="shared" si="80"/>
        <v>Error?</v>
      </c>
    </row>
    <row r="5241" spans="1:4" x14ac:dyDescent="0.2">
      <c r="A5241" s="5">
        <v>5180</v>
      </c>
      <c r="B5241" s="1820">
        <f>'Revenues 9-14'!C193</f>
        <v>152803</v>
      </c>
      <c r="D5241" s="2" t="str">
        <f t="shared" si="80"/>
        <v>Error?</v>
      </c>
    </row>
    <row r="5242" spans="1:4" x14ac:dyDescent="0.2">
      <c r="A5242" s="5">
        <v>5181</v>
      </c>
      <c r="B5242" s="1820">
        <f>'Revenues 9-14'!C194</f>
        <v>149804</v>
      </c>
      <c r="D5242" s="2" t="str">
        <f t="shared" si="80"/>
        <v>Error?</v>
      </c>
    </row>
    <row r="5243" spans="1:4" x14ac:dyDescent="0.2">
      <c r="A5243" s="5">
        <v>5182</v>
      </c>
      <c r="B5243" s="1820">
        <f>'Revenues 9-14'!C195</f>
        <v>23355</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667928</v>
      </c>
      <c r="C5246" s="2" t="s">
        <v>569</v>
      </c>
      <c r="D5246" s="2" t="str">
        <f t="shared" si="80"/>
        <v>Error?</v>
      </c>
    </row>
    <row r="5247" spans="1:4" x14ac:dyDescent="0.2">
      <c r="A5247" s="5">
        <v>5186</v>
      </c>
      <c r="B5247" s="1820">
        <f>'Revenues 9-14'!C200</f>
        <v>314805</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1896</v>
      </c>
    </row>
    <row r="5255" spans="1:5" x14ac:dyDescent="0.2">
      <c r="A5255" s="5">
        <v>5194</v>
      </c>
      <c r="B5255" s="1820">
        <f>'Revenues 9-14'!C202</f>
        <v>0</v>
      </c>
      <c r="D5255" s="2" t="str">
        <f t="shared" si="81"/>
        <v>Error?</v>
      </c>
    </row>
    <row r="5256" spans="1:5" x14ac:dyDescent="0.2">
      <c r="A5256" s="5">
        <v>5195</v>
      </c>
      <c r="B5256" s="1820">
        <f>'Revenues 9-14'!C206</f>
        <v>879</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314805</v>
      </c>
      <c r="C5260" s="2" t="s">
        <v>569</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11679</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323216</v>
      </c>
      <c r="D5278" s="2" t="str">
        <f t="shared" si="81"/>
        <v>Error?</v>
      </c>
    </row>
    <row r="5279" spans="1:4" x14ac:dyDescent="0.2">
      <c r="A5279" s="5">
        <v>5218</v>
      </c>
      <c r="B5279" s="1820">
        <f>'Revenues 9-14'!C214</f>
        <v>0</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334895</v>
      </c>
      <c r="C5286" s="2" t="s">
        <v>569</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0</v>
      </c>
      <c r="C5304" s="2" t="s">
        <v>569</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1896</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1446245</v>
      </c>
      <c r="C5320" s="2" t="s">
        <v>569</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1446245</v>
      </c>
      <c r="C5326" s="2" t="s">
        <v>569</v>
      </c>
      <c r="D5326" s="2" t="str">
        <f t="shared" si="82"/>
        <v>Error?</v>
      </c>
    </row>
    <row r="5327" spans="1:5" x14ac:dyDescent="0.2">
      <c r="A5327" s="5">
        <v>5266</v>
      </c>
      <c r="B5327" s="1820">
        <f>'Revenues 9-14'!C268</f>
        <v>12531872</v>
      </c>
      <c r="C5327" s="2" t="s">
        <v>569</v>
      </c>
      <c r="D5327" s="2" t="str">
        <f t="shared" si="82"/>
        <v>Error?</v>
      </c>
    </row>
    <row r="5328" spans="1:5" x14ac:dyDescent="0.2">
      <c r="A5328" s="5">
        <v>5267</v>
      </c>
      <c r="B5328" s="1820">
        <f>'Revenues 9-14'!D5</f>
        <v>366430</v>
      </c>
      <c r="D5328" s="2" t="str">
        <f t="shared" si="82"/>
        <v>Error?</v>
      </c>
    </row>
    <row r="5329" spans="1:4" x14ac:dyDescent="0.2">
      <c r="A5329" s="10">
        <v>5268</v>
      </c>
      <c r="B5329" s="1820"/>
      <c r="D5329" s="2" t="str">
        <f t="shared" si="82"/>
        <v>OK</v>
      </c>
    </row>
    <row r="5330" spans="1:4" x14ac:dyDescent="0.2">
      <c r="A5330" s="5">
        <v>5269</v>
      </c>
      <c r="B5330" s="1820">
        <f>'Revenues 9-14'!D6</f>
        <v>-1302</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365128</v>
      </c>
      <c r="C5334" s="2" t="s">
        <v>569</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569</v>
      </c>
      <c r="D5339" s="2" t="str">
        <f t="shared" si="82"/>
        <v>Error?</v>
      </c>
    </row>
    <row r="5340" spans="1:4" x14ac:dyDescent="0.2">
      <c r="A5340" s="5">
        <v>5279</v>
      </c>
      <c r="B5340" s="1820">
        <f>'Revenues 9-14'!D65</f>
        <v>7579</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7579</v>
      </c>
      <c r="C5342" s="2" t="s">
        <v>569</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569</v>
      </c>
      <c r="D5348" s="2" t="str">
        <f t="shared" si="82"/>
        <v>Error?</v>
      </c>
    </row>
    <row r="5349" spans="1:4" x14ac:dyDescent="0.2">
      <c r="A5349" s="5">
        <v>5288</v>
      </c>
      <c r="B5349" s="1820">
        <f>'Revenues 9-14'!D95</f>
        <v>151116</v>
      </c>
      <c r="D5349" s="2" t="str">
        <f t="shared" si="82"/>
        <v>Error?</v>
      </c>
    </row>
    <row r="5350" spans="1:4" x14ac:dyDescent="0.2">
      <c r="A5350" s="5">
        <v>5289</v>
      </c>
      <c r="B5350" s="1820">
        <f>'Revenues 9-14'!D96</f>
        <v>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0</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62867</v>
      </c>
      <c r="D5354" s="2" t="str">
        <f t="shared" si="82"/>
        <v>Error?</v>
      </c>
    </row>
    <row r="5355" spans="1:4" x14ac:dyDescent="0.2">
      <c r="A5355" s="5">
        <v>5294</v>
      </c>
      <c r="B5355" s="1820">
        <f>'Revenues 9-14'!D108</f>
        <v>213983</v>
      </c>
      <c r="C5355" s="2" t="s">
        <v>569</v>
      </c>
      <c r="D5355" s="2" t="str">
        <f t="shared" si="82"/>
        <v>Error?</v>
      </c>
    </row>
    <row r="5356" spans="1:4" x14ac:dyDescent="0.2">
      <c r="A5356" s="5">
        <v>5295</v>
      </c>
      <c r="B5356" s="1820">
        <f>'Revenues 9-14'!D109</f>
        <v>586690</v>
      </c>
      <c r="C5356" s="2" t="s">
        <v>569</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569</v>
      </c>
      <c r="D5360" s="2" t="str">
        <f t="shared" si="82"/>
        <v>Error?</v>
      </c>
    </row>
    <row r="5361" spans="1:4" x14ac:dyDescent="0.2">
      <c r="A5361" s="5">
        <v>5300</v>
      </c>
      <c r="B5361" s="1820">
        <f>'Revenues 9-14'!D117</f>
        <v>825000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825000</v>
      </c>
      <c r="C5367" s="2" t="s">
        <v>569</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569</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569</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569</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0</v>
      </c>
      <c r="C5412" s="2" t="s">
        <v>569</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825000</v>
      </c>
      <c r="C5421" s="2" t="s">
        <v>569</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569</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569</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1896</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569</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569</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569</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569</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569</v>
      </c>
      <c r="D5507" s="2" t="str">
        <f t="shared" si="85"/>
        <v>Error?</v>
      </c>
    </row>
    <row r="5508" spans="1:4" x14ac:dyDescent="0.2">
      <c r="A5508" s="5">
        <v>5447</v>
      </c>
      <c r="B5508" s="1820">
        <f>'Revenues 9-14'!D268</f>
        <v>1411690</v>
      </c>
      <c r="C5508" s="2" t="s">
        <v>569</v>
      </c>
      <c r="D5508" s="2" t="str">
        <f t="shared" si="85"/>
        <v>Error?</v>
      </c>
    </row>
    <row r="5509" spans="1:4" x14ac:dyDescent="0.2">
      <c r="A5509" s="5">
        <v>5448</v>
      </c>
      <c r="B5509" s="1820">
        <f>'Revenues 9-14'!E5</f>
        <v>1081778</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1081778</v>
      </c>
      <c r="C5513" s="2" t="s">
        <v>569</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569</v>
      </c>
      <c r="D5518" s="2" t="str">
        <f t="shared" si="85"/>
        <v>Error?</v>
      </c>
    </row>
    <row r="5519" spans="1:4" x14ac:dyDescent="0.2">
      <c r="A5519" s="5">
        <v>5458</v>
      </c>
      <c r="B5519" s="1820">
        <f>'Revenues 9-14'!E65</f>
        <v>306</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306</v>
      </c>
      <c r="C5521" s="2" t="s">
        <v>569</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0</v>
      </c>
      <c r="C5526" s="2" t="s">
        <v>569</v>
      </c>
      <c r="D5526" s="2" t="str">
        <f t="shared" si="85"/>
        <v>Error?</v>
      </c>
    </row>
    <row r="5527" spans="1:4" x14ac:dyDescent="0.2">
      <c r="A5527" s="5">
        <v>5466</v>
      </c>
      <c r="B5527" s="1820">
        <f>'Revenues 9-14'!E109</f>
        <v>1082084</v>
      </c>
      <c r="C5527" s="2" t="s">
        <v>569</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569</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569</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569</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1082084</v>
      </c>
      <c r="C5552" s="2" t="s">
        <v>569</v>
      </c>
      <c r="D5552" s="2" t="str">
        <f t="shared" si="85"/>
        <v>Error?</v>
      </c>
    </row>
    <row r="5553" spans="1:4" x14ac:dyDescent="0.2">
      <c r="A5553" s="5">
        <v>5492</v>
      </c>
      <c r="B5553" s="1820">
        <f>'Revenues 9-14'!F5</f>
        <v>954209</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954209</v>
      </c>
      <c r="C5557" s="2" t="s">
        <v>569</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569</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0</v>
      </c>
      <c r="C5579" s="2" t="s">
        <v>569</v>
      </c>
      <c r="D5579" s="2" t="str">
        <f t="shared" si="86"/>
        <v>Error?</v>
      </c>
    </row>
    <row r="5580" spans="1:4" x14ac:dyDescent="0.2">
      <c r="A5580" s="5">
        <v>5519</v>
      </c>
      <c r="B5580" s="1820">
        <f>'Revenues 9-14'!F65</f>
        <v>23972</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23972</v>
      </c>
      <c r="C5582" s="2" t="s">
        <v>569</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0</v>
      </c>
      <c r="D5586" s="2" t="str">
        <f t="shared" si="86"/>
        <v>Error?</v>
      </c>
    </row>
    <row r="5587" spans="1:4" x14ac:dyDescent="0.2">
      <c r="A5587" s="5">
        <v>5526</v>
      </c>
      <c r="B5587" s="1820">
        <f>'Revenues 9-14'!F108</f>
        <v>0</v>
      </c>
      <c r="C5587" s="2" t="s">
        <v>569</v>
      </c>
      <c r="D5587" s="2" t="str">
        <f t="shared" si="86"/>
        <v>Error?</v>
      </c>
    </row>
    <row r="5588" spans="1:4" x14ac:dyDescent="0.2">
      <c r="A5588" s="5">
        <v>5527</v>
      </c>
      <c r="B5588" s="1820">
        <f>'Revenues 9-14'!F109</f>
        <v>978181</v>
      </c>
      <c r="C5588" s="2" t="s">
        <v>569</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569</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569</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569</v>
      </c>
      <c r="D5614" s="2" t="str">
        <f t="shared" si="86"/>
        <v>Error?</v>
      </c>
    </row>
    <row r="5615" spans="1:4" x14ac:dyDescent="0.2">
      <c r="A5615" s="5">
        <v>5554</v>
      </c>
      <c r="B5615" s="1820">
        <f>'Revenues 9-14'!F152</f>
        <v>447410</v>
      </c>
      <c r="D5615" s="2" t="str">
        <f t="shared" si="86"/>
        <v>Error?</v>
      </c>
    </row>
    <row r="5616" spans="1:4" x14ac:dyDescent="0.2">
      <c r="A5616" s="10">
        <v>5555</v>
      </c>
      <c r="B5616" s="1820"/>
      <c r="D5616" s="2" t="str">
        <f t="shared" si="86"/>
        <v>OK</v>
      </c>
    </row>
    <row r="5617" spans="1:5" x14ac:dyDescent="0.2">
      <c r="A5617" s="5">
        <v>5556</v>
      </c>
      <c r="B5617" s="1820">
        <f>'Revenues 9-14'!F153</f>
        <v>328548</v>
      </c>
      <c r="D5617" s="2" t="str">
        <f t="shared" si="86"/>
        <v>Error?</v>
      </c>
    </row>
    <row r="5618" spans="1:5" x14ac:dyDescent="0.2">
      <c r="A5618" s="5">
        <v>5557</v>
      </c>
      <c r="B5618" s="1820">
        <f>'Revenues 9-14'!F155</f>
        <v>775958</v>
      </c>
      <c r="C5618" s="2" t="s">
        <v>569</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1896</v>
      </c>
    </row>
    <row r="5631" spans="1:5" x14ac:dyDescent="0.2">
      <c r="A5631" s="10">
        <v>5570</v>
      </c>
      <c r="B5631" s="1820"/>
      <c r="D5631" s="2" t="str">
        <f t="shared" ref="D5631:D5694" si="87">IF(ISBLANK(B5631),"OK",IF(A5631-B5631=0,"OK","Error?"))</f>
        <v>OK</v>
      </c>
      <c r="E5631" s="4" t="s">
        <v>1896</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775958</v>
      </c>
      <c r="C5644" s="2" t="s">
        <v>569</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775958</v>
      </c>
      <c r="C5653" s="2" t="s">
        <v>569</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569</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569</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1896</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569</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569</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1896</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569</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569</v>
      </c>
      <c r="D5719" s="2" t="str">
        <f t="shared" si="88"/>
        <v>Error?</v>
      </c>
    </row>
    <row r="5720" spans="1:4" x14ac:dyDescent="0.2">
      <c r="A5720" s="5">
        <v>5659</v>
      </c>
      <c r="B5720" s="1820">
        <f>'Revenues 9-14'!F268</f>
        <v>1754139</v>
      </c>
      <c r="C5720" s="2" t="s">
        <v>569</v>
      </c>
      <c r="D5720" s="2" t="str">
        <f t="shared" si="88"/>
        <v>Error?</v>
      </c>
    </row>
    <row r="5721" spans="1:4" x14ac:dyDescent="0.2">
      <c r="A5721" s="5">
        <v>5660</v>
      </c>
      <c r="B5721" s="1820">
        <f>'Revenues 9-14'!G5</f>
        <v>44076</v>
      </c>
      <c r="D5721" s="2" t="str">
        <f t="shared" si="88"/>
        <v>Error?</v>
      </c>
    </row>
    <row r="5722" spans="1:4" x14ac:dyDescent="0.2">
      <c r="A5722" s="5">
        <v>5661</v>
      </c>
      <c r="B5722" s="1820">
        <f>'Revenues 9-14'!G7</f>
        <v>0</v>
      </c>
      <c r="D5722" s="2" t="str">
        <f t="shared" si="88"/>
        <v>Error?</v>
      </c>
    </row>
    <row r="5723" spans="1:4" x14ac:dyDescent="0.2">
      <c r="A5723" s="5">
        <v>5662</v>
      </c>
      <c r="B5723" s="1820">
        <f>'Revenues 9-14'!G8</f>
        <v>42843</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86919</v>
      </c>
      <c r="C5725" s="2" t="s">
        <v>569</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0</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0</v>
      </c>
      <c r="C5730" s="2" t="s">
        <v>569</v>
      </c>
      <c r="D5730" s="2" t="str">
        <f t="shared" si="88"/>
        <v>Error?</v>
      </c>
    </row>
    <row r="5731" spans="1:4" x14ac:dyDescent="0.2">
      <c r="A5731" s="5">
        <v>5670</v>
      </c>
      <c r="B5731" s="1820">
        <f>'Revenues 9-14'!G65</f>
        <v>47136</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47136</v>
      </c>
      <c r="C5733" s="2" t="s">
        <v>569</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569</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569</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569</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569</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569</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1896</v>
      </c>
    </row>
    <row r="5768" spans="1:5" x14ac:dyDescent="0.2">
      <c r="A5768" s="10">
        <v>5707</v>
      </c>
      <c r="B5768" s="1820"/>
      <c r="D5768" s="2" t="str">
        <f t="shared" si="89"/>
        <v>OK</v>
      </c>
      <c r="E5768" s="4" t="s">
        <v>1896</v>
      </c>
    </row>
    <row r="5769" spans="1:5" x14ac:dyDescent="0.2">
      <c r="A5769" s="10">
        <v>5708</v>
      </c>
      <c r="B5769" s="1820"/>
      <c r="D5769" s="2" t="str">
        <f t="shared" si="89"/>
        <v>OK</v>
      </c>
    </row>
    <row r="5770" spans="1:5" x14ac:dyDescent="0.2">
      <c r="A5770" s="5">
        <v>5709</v>
      </c>
      <c r="B5770" s="1820">
        <f>'Revenues 9-14'!G169</f>
        <v>0</v>
      </c>
      <c r="C5770" s="2" t="s">
        <v>569</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569</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569</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569</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1896</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569</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569</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569</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1896</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569</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569</v>
      </c>
      <c r="D5869" s="2" t="str">
        <f t="shared" si="90"/>
        <v>Error?</v>
      </c>
    </row>
    <row r="5870" spans="1:4" x14ac:dyDescent="0.2">
      <c r="A5870" s="5">
        <v>5809</v>
      </c>
      <c r="B5870" s="1820">
        <f>'Revenues 9-14'!G268</f>
        <v>134055</v>
      </c>
      <c r="C5870" s="2" t="s">
        <v>569</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569</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569</v>
      </c>
      <c r="D5878" s="2" t="str">
        <f t="shared" si="90"/>
        <v>Error?</v>
      </c>
    </row>
    <row r="5879" spans="1:4" x14ac:dyDescent="0.2">
      <c r="A5879" s="5">
        <v>5818</v>
      </c>
      <c r="B5879" s="1820">
        <f>'Revenues 9-14'!H65</f>
        <v>15</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15</v>
      </c>
      <c r="C5881" s="2" t="s">
        <v>569</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0</v>
      </c>
      <c r="C5886" s="2" t="s">
        <v>569</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569</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569</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569</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569</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569</v>
      </c>
      <c r="D5914" s="2" t="str">
        <f t="shared" si="91"/>
        <v>Error?</v>
      </c>
    </row>
    <row r="5915" spans="1:4" x14ac:dyDescent="0.2">
      <c r="A5915" s="5">
        <v>5854</v>
      </c>
      <c r="B5915" s="1820">
        <f>'Revenues 9-14'!H268</f>
        <v>15</v>
      </c>
      <c r="C5915" s="2" t="s">
        <v>569</v>
      </c>
      <c r="D5915" s="2" t="str">
        <f t="shared" si="91"/>
        <v>Error?</v>
      </c>
    </row>
    <row r="5916" spans="1:4" x14ac:dyDescent="0.2">
      <c r="A5916" s="5">
        <v>5855</v>
      </c>
      <c r="B5916" s="1820">
        <f>'Revenues 9-14'!I5</f>
        <v>33578</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33578</v>
      </c>
      <c r="C5918" s="2" t="s">
        <v>569</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569</v>
      </c>
      <c r="D5923" s="2" t="str">
        <f t="shared" si="91"/>
        <v>Error?</v>
      </c>
    </row>
    <row r="5924" spans="1:4" x14ac:dyDescent="0.2">
      <c r="A5924" s="5">
        <v>5863</v>
      </c>
      <c r="B5924" s="1820">
        <f>'Revenues 9-14'!I65</f>
        <v>1212</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1212</v>
      </c>
      <c r="C5926" s="2" t="s">
        <v>569</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569</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34790</v>
      </c>
      <c r="C5946" s="2" t="s">
        <v>569</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569</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569</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569</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569</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569</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569</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569</v>
      </c>
      <c r="D5984" s="2" t="str">
        <f t="shared" si="92"/>
        <v>OK</v>
      </c>
    </row>
    <row r="5985" spans="1:4" x14ac:dyDescent="0.2">
      <c r="A5985" s="5">
        <v>5924</v>
      </c>
      <c r="B5985" s="1820">
        <f>'Revenues 9-14'!K5</f>
        <v>-2271</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-2271</v>
      </c>
      <c r="C5987" s="2" t="s">
        <v>569</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569</v>
      </c>
      <c r="D5992" s="2" t="str">
        <f t="shared" si="92"/>
        <v>Error?</v>
      </c>
    </row>
    <row r="5993" spans="1:4" x14ac:dyDescent="0.2">
      <c r="A5993" s="5">
        <v>5932</v>
      </c>
      <c r="B5993" s="1820">
        <f>'Revenues 9-14'!K65</f>
        <v>-39</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-39</v>
      </c>
      <c r="C5995" s="2" t="s">
        <v>569</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569</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569</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569</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569</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569</v>
      </c>
      <c r="D6022" s="2" t="str">
        <f t="shared" si="93"/>
        <v>Error?</v>
      </c>
    </row>
    <row r="6023" spans="1:5" x14ac:dyDescent="0.2">
      <c r="A6023" s="5">
        <v>5962</v>
      </c>
      <c r="B6023" s="1820">
        <f>'Revenues 9-14'!K268</f>
        <v>-2310</v>
      </c>
      <c r="C6023" s="2" t="s">
        <v>569</v>
      </c>
      <c r="D6023" s="2" t="str">
        <f t="shared" si="93"/>
        <v>Error?</v>
      </c>
    </row>
    <row r="6024" spans="1:5" x14ac:dyDescent="0.2">
      <c r="A6024" s="5">
        <v>5963</v>
      </c>
      <c r="B6024" s="1820">
        <f>'Revenues 9-14'!G109</f>
        <v>134055</v>
      </c>
      <c r="C6024" s="2" t="s">
        <v>569</v>
      </c>
      <c r="D6024" s="2" t="str">
        <f t="shared" si="93"/>
        <v>Error?</v>
      </c>
    </row>
    <row r="6025" spans="1:5" x14ac:dyDescent="0.2">
      <c r="A6025" s="5">
        <v>5964</v>
      </c>
      <c r="B6025" s="1820">
        <f>'Revenues 9-14'!H109</f>
        <v>15</v>
      </c>
      <c r="C6025" s="2" t="s">
        <v>569</v>
      </c>
      <c r="D6025" s="2" t="str">
        <f t="shared" si="93"/>
        <v>Error?</v>
      </c>
    </row>
    <row r="6026" spans="1:5" x14ac:dyDescent="0.2">
      <c r="A6026" s="5">
        <v>5965</v>
      </c>
      <c r="B6026" s="1820">
        <f>'Revenues 9-14'!I109</f>
        <v>34790</v>
      </c>
      <c r="C6026" s="2" t="s">
        <v>569</v>
      </c>
      <c r="D6026" s="2" t="str">
        <f t="shared" si="93"/>
        <v>Error?</v>
      </c>
    </row>
    <row r="6027" spans="1:5" x14ac:dyDescent="0.2">
      <c r="A6027" s="10">
        <v>5966</v>
      </c>
      <c r="B6027" s="1820"/>
      <c r="C6027" s="2" t="s">
        <v>569</v>
      </c>
      <c r="D6027" s="2" t="str">
        <f t="shared" si="93"/>
        <v>OK</v>
      </c>
    </row>
    <row r="6028" spans="1:5" x14ac:dyDescent="0.2">
      <c r="A6028" s="5">
        <v>5967</v>
      </c>
      <c r="B6028" s="1820">
        <f>'Revenues 9-14'!K109</f>
        <v>-2310</v>
      </c>
      <c r="C6028" s="2" t="s">
        <v>569</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0</v>
      </c>
      <c r="D6031" s="2" t="str">
        <f t="shared" si="93"/>
        <v>Error?</v>
      </c>
    </row>
    <row r="6032" spans="1:5" x14ac:dyDescent="0.2">
      <c r="A6032" s="5">
        <v>5971</v>
      </c>
      <c r="B6032" s="1820">
        <f>'Acct Summary 7-8'!G15</f>
        <v>0</v>
      </c>
      <c r="C6032" s="2" t="s">
        <v>569</v>
      </c>
      <c r="D6032" s="2" t="str">
        <f t="shared" si="93"/>
        <v>Error?</v>
      </c>
      <c r="E6032" s="2" t="s">
        <v>102</v>
      </c>
    </row>
    <row r="6033" spans="1:5" x14ac:dyDescent="0.2">
      <c r="A6033" s="10">
        <v>5972</v>
      </c>
      <c r="B6033" s="1820"/>
      <c r="C6033" s="2" t="s">
        <v>569</v>
      </c>
      <c r="D6033" s="2" t="str">
        <f t="shared" si="93"/>
        <v>OK</v>
      </c>
      <c r="E6033" s="2" t="s">
        <v>102</v>
      </c>
    </row>
    <row r="6034" spans="1:5" x14ac:dyDescent="0.2">
      <c r="A6034" s="35">
        <v>5973</v>
      </c>
      <c r="B6034" s="1821"/>
      <c r="C6034" s="2" t="s">
        <v>569</v>
      </c>
      <c r="D6034" s="2" t="str">
        <f t="shared" si="93"/>
        <v>OK</v>
      </c>
      <c r="E6034" s="2" t="s">
        <v>748</v>
      </c>
    </row>
    <row r="6035" spans="1:5" x14ac:dyDescent="0.2">
      <c r="A6035" s="13">
        <v>5974</v>
      </c>
      <c r="B6035" s="1821">
        <f>'ICR Computation 30'!E11</f>
        <v>40857</v>
      </c>
      <c r="C6035" s="2" t="s">
        <v>569</v>
      </c>
      <c r="D6035" s="2" t="str">
        <f t="shared" si="93"/>
        <v>Error?</v>
      </c>
      <c r="E6035" s="2" t="s">
        <v>914</v>
      </c>
    </row>
    <row r="6036" spans="1:5" x14ac:dyDescent="0.2">
      <c r="A6036" s="35">
        <v>5975</v>
      </c>
      <c r="B6036" s="1821"/>
      <c r="D6036" s="2" t="str">
        <f t="shared" si="93"/>
        <v>OK</v>
      </c>
      <c r="E6036" s="2" t="s">
        <v>914</v>
      </c>
    </row>
    <row r="6037" spans="1:5" x14ac:dyDescent="0.2">
      <c r="A6037" s="35">
        <v>5976</v>
      </c>
      <c r="B6037" s="1821"/>
      <c r="D6037" s="2" t="str">
        <f t="shared" si="93"/>
        <v>OK</v>
      </c>
      <c r="E6037" s="2" t="s">
        <v>914</v>
      </c>
    </row>
    <row r="6038" spans="1:5" x14ac:dyDescent="0.2">
      <c r="A6038" s="35">
        <v>5977</v>
      </c>
      <c r="B6038" s="1821"/>
      <c r="D6038" s="2" t="str">
        <f t="shared" si="93"/>
        <v>OK</v>
      </c>
      <c r="E6038" s="2" t="s">
        <v>914</v>
      </c>
    </row>
    <row r="6039" spans="1:5" x14ac:dyDescent="0.2">
      <c r="A6039" s="35">
        <v>5978</v>
      </c>
      <c r="B6039" s="1821"/>
      <c r="D6039" s="2" t="str">
        <f t="shared" si="93"/>
        <v>OK</v>
      </c>
      <c r="E6039" s="2" t="s">
        <v>914</v>
      </c>
    </row>
    <row r="6040" spans="1:5" x14ac:dyDescent="0.2">
      <c r="A6040" s="35">
        <v>5979</v>
      </c>
      <c r="B6040" s="1821"/>
      <c r="D6040" s="2" t="str">
        <f t="shared" si="93"/>
        <v>OK</v>
      </c>
      <c r="E6040" s="2" t="s">
        <v>914</v>
      </c>
    </row>
    <row r="6041" spans="1:5" x14ac:dyDescent="0.2">
      <c r="A6041" s="35">
        <v>5980</v>
      </c>
      <c r="B6041" s="1821"/>
      <c r="D6041" s="2" t="str">
        <f t="shared" si="93"/>
        <v>OK</v>
      </c>
      <c r="E6041" s="2" t="s">
        <v>914</v>
      </c>
    </row>
    <row r="6042" spans="1:5" x14ac:dyDescent="0.2">
      <c r="A6042" s="35">
        <v>5981</v>
      </c>
      <c r="B6042" s="1821"/>
      <c r="D6042" s="2" t="str">
        <f t="shared" si="93"/>
        <v>OK</v>
      </c>
      <c r="E6042" s="2" t="s">
        <v>914</v>
      </c>
    </row>
    <row r="6043" spans="1:5" x14ac:dyDescent="0.2">
      <c r="A6043" s="35">
        <v>5982</v>
      </c>
      <c r="B6043" s="1821"/>
      <c r="D6043" s="2" t="str">
        <f t="shared" si="93"/>
        <v>OK</v>
      </c>
      <c r="E6043" s="2" t="s">
        <v>914</v>
      </c>
    </row>
    <row r="6044" spans="1:5" x14ac:dyDescent="0.2">
      <c r="A6044" s="35">
        <v>5983</v>
      </c>
      <c r="B6044" s="1821"/>
      <c r="D6044" s="2" t="str">
        <f t="shared" si="93"/>
        <v>OK</v>
      </c>
      <c r="E6044" s="2" t="s">
        <v>914</v>
      </c>
    </row>
    <row r="6045" spans="1:5" x14ac:dyDescent="0.2">
      <c r="A6045" s="35">
        <v>5984</v>
      </c>
      <c r="B6045" s="1821"/>
      <c r="D6045" s="2" t="str">
        <f t="shared" si="93"/>
        <v>OK</v>
      </c>
      <c r="E6045" s="2" t="s">
        <v>914</v>
      </c>
    </row>
    <row r="6046" spans="1:5" x14ac:dyDescent="0.2">
      <c r="A6046" s="35">
        <v>5985</v>
      </c>
      <c r="B6046" s="1821"/>
      <c r="D6046" s="2" t="str">
        <f t="shared" si="93"/>
        <v>OK</v>
      </c>
      <c r="E6046" s="2" t="s">
        <v>914</v>
      </c>
    </row>
    <row r="6047" spans="1:5" x14ac:dyDescent="0.2">
      <c r="A6047" s="35">
        <v>5986</v>
      </c>
      <c r="B6047" s="1821"/>
      <c r="D6047" s="2" t="str">
        <f t="shared" si="93"/>
        <v>OK</v>
      </c>
      <c r="E6047" s="2" t="s">
        <v>914</v>
      </c>
    </row>
    <row r="6048" spans="1:5" x14ac:dyDescent="0.2">
      <c r="A6048" s="35">
        <v>5987</v>
      </c>
      <c r="B6048" s="1821"/>
      <c r="D6048" s="2" t="str">
        <f t="shared" si="93"/>
        <v>OK</v>
      </c>
      <c r="E6048" s="2" t="s">
        <v>914</v>
      </c>
    </row>
    <row r="6049" spans="1:5" x14ac:dyDescent="0.2">
      <c r="A6049" s="35">
        <v>5988</v>
      </c>
      <c r="B6049" s="1821"/>
      <c r="D6049" s="2" t="str">
        <f t="shared" si="93"/>
        <v>OK</v>
      </c>
      <c r="E6049" s="2" t="s">
        <v>914</v>
      </c>
    </row>
    <row r="6050" spans="1:5" x14ac:dyDescent="0.2">
      <c r="A6050" s="35">
        <v>5989</v>
      </c>
      <c r="B6050" s="1821"/>
      <c r="D6050" s="2" t="str">
        <f t="shared" si="93"/>
        <v>OK</v>
      </c>
      <c r="E6050" s="2" t="s">
        <v>914</v>
      </c>
    </row>
    <row r="6051" spans="1:5" x14ac:dyDescent="0.2">
      <c r="A6051" s="35">
        <v>5990</v>
      </c>
      <c r="B6051" s="1821"/>
      <c r="D6051" s="2" t="str">
        <f t="shared" si="93"/>
        <v>OK</v>
      </c>
      <c r="E6051" s="2" t="s">
        <v>914</v>
      </c>
    </row>
    <row r="6052" spans="1:5" x14ac:dyDescent="0.2">
      <c r="A6052" s="35">
        <v>5991</v>
      </c>
      <c r="B6052" s="1821"/>
      <c r="D6052" s="2" t="str">
        <f t="shared" si="93"/>
        <v>OK</v>
      </c>
      <c r="E6052" s="2" t="s">
        <v>914</v>
      </c>
    </row>
    <row r="6053" spans="1:5" x14ac:dyDescent="0.2">
      <c r="A6053" s="35">
        <v>5992</v>
      </c>
      <c r="B6053" s="1821"/>
      <c r="D6053" s="2" t="str">
        <f t="shared" si="93"/>
        <v>OK</v>
      </c>
      <c r="E6053" s="2" t="s">
        <v>914</v>
      </c>
    </row>
    <row r="6054" spans="1:5" x14ac:dyDescent="0.2">
      <c r="A6054" s="35">
        <v>5993</v>
      </c>
      <c r="B6054" s="1821"/>
      <c r="C6054" s="2" t="s">
        <v>569</v>
      </c>
      <c r="D6054" s="2" t="str">
        <f t="shared" si="93"/>
        <v>OK</v>
      </c>
      <c r="E6054" s="2" t="s">
        <v>914</v>
      </c>
    </row>
    <row r="6055" spans="1:5" x14ac:dyDescent="0.2">
      <c r="A6055" s="35">
        <v>5994</v>
      </c>
      <c r="B6055" s="1821"/>
      <c r="D6055" s="2" t="str">
        <f t="shared" si="93"/>
        <v>OK</v>
      </c>
      <c r="E6055" s="2" t="s">
        <v>914</v>
      </c>
    </row>
    <row r="6056" spans="1:5" x14ac:dyDescent="0.2">
      <c r="A6056" s="35">
        <v>5995</v>
      </c>
      <c r="B6056" s="1821"/>
      <c r="D6056" s="2" t="str">
        <f t="shared" si="93"/>
        <v>OK</v>
      </c>
      <c r="E6056" s="2" t="s">
        <v>914</v>
      </c>
    </row>
    <row r="6057" spans="1:5" x14ac:dyDescent="0.2">
      <c r="A6057" s="35">
        <v>5996</v>
      </c>
      <c r="B6057" s="1821"/>
      <c r="D6057" s="2" t="str">
        <f t="shared" si="93"/>
        <v>OK</v>
      </c>
      <c r="E6057" s="2" t="s">
        <v>914</v>
      </c>
    </row>
    <row r="6058" spans="1:5" x14ac:dyDescent="0.2">
      <c r="A6058" s="35">
        <v>5997</v>
      </c>
      <c r="B6058" s="1821"/>
      <c r="D6058" s="2" t="str">
        <f t="shared" si="93"/>
        <v>OK</v>
      </c>
      <c r="E6058" s="2" t="s">
        <v>914</v>
      </c>
    </row>
    <row r="6059" spans="1:5" x14ac:dyDescent="0.2">
      <c r="A6059" s="35">
        <v>5998</v>
      </c>
      <c r="B6059" s="1821"/>
      <c r="D6059" s="2" t="str">
        <f t="shared" si="93"/>
        <v>OK</v>
      </c>
      <c r="E6059" s="2" t="s">
        <v>914</v>
      </c>
    </row>
    <row r="6060" spans="1:5" x14ac:dyDescent="0.2">
      <c r="A6060" s="35">
        <v>5999</v>
      </c>
      <c r="B6060" s="1821"/>
      <c r="D6060" s="2" t="str">
        <f t="shared" si="93"/>
        <v>OK</v>
      </c>
      <c r="E6060" s="2" t="s">
        <v>914</v>
      </c>
    </row>
    <row r="6061" spans="1:5" x14ac:dyDescent="0.2">
      <c r="A6061" s="35">
        <v>6000</v>
      </c>
      <c r="B6061" s="1821"/>
      <c r="D6061" s="2" t="str">
        <f t="shared" si="93"/>
        <v>OK</v>
      </c>
      <c r="E6061" s="2" t="s">
        <v>914</v>
      </c>
    </row>
    <row r="6062" spans="1:5" x14ac:dyDescent="0.2">
      <c r="A6062" s="35">
        <v>6001</v>
      </c>
      <c r="B6062" s="1821"/>
      <c r="D6062" s="2" t="str">
        <f t="shared" si="93"/>
        <v>OK</v>
      </c>
      <c r="E6062" s="2" t="s">
        <v>914</v>
      </c>
    </row>
    <row r="6063" spans="1:5" x14ac:dyDescent="0.2">
      <c r="A6063" s="35">
        <v>6002</v>
      </c>
      <c r="B6063" s="1821"/>
      <c r="D6063" s="2" t="str">
        <f t="shared" si="93"/>
        <v>OK</v>
      </c>
      <c r="E6063" s="2" t="s">
        <v>914</v>
      </c>
    </row>
    <row r="6064" spans="1:5" x14ac:dyDescent="0.2">
      <c r="A6064" s="35">
        <v>6003</v>
      </c>
      <c r="B6064" s="1821"/>
      <c r="D6064" s="2" t="str">
        <f t="shared" si="93"/>
        <v>OK</v>
      </c>
      <c r="E6064" s="2" t="s">
        <v>914</v>
      </c>
    </row>
    <row r="6065" spans="1:5" x14ac:dyDescent="0.2">
      <c r="A6065" s="35">
        <v>6004</v>
      </c>
      <c r="B6065" s="1821"/>
      <c r="D6065" s="2" t="str">
        <f t="shared" si="93"/>
        <v>OK</v>
      </c>
      <c r="E6065" s="2" t="s">
        <v>914</v>
      </c>
    </row>
    <row r="6066" spans="1:5" x14ac:dyDescent="0.2">
      <c r="A6066" s="35">
        <v>6005</v>
      </c>
      <c r="B6066" s="1821"/>
      <c r="D6066" s="2" t="str">
        <f t="shared" si="93"/>
        <v>OK</v>
      </c>
      <c r="E6066" s="2" t="s">
        <v>914</v>
      </c>
    </row>
    <row r="6067" spans="1:5" x14ac:dyDescent="0.2">
      <c r="A6067" s="123">
        <v>6006</v>
      </c>
      <c r="B6067" s="1821"/>
      <c r="D6067" s="2" t="str">
        <f t="shared" si="93"/>
        <v>OK</v>
      </c>
      <c r="E6067" s="2" t="s">
        <v>914</v>
      </c>
    </row>
    <row r="6068" spans="1:5" x14ac:dyDescent="0.2">
      <c r="A6068" s="123">
        <v>6007</v>
      </c>
      <c r="B6068" s="1821"/>
      <c r="D6068" s="2" t="str">
        <f t="shared" si="93"/>
        <v>OK</v>
      </c>
      <c r="E6068" s="2" t="s">
        <v>914</v>
      </c>
    </row>
    <row r="6069" spans="1:5" x14ac:dyDescent="0.2">
      <c r="A6069" s="123">
        <v>6008</v>
      </c>
      <c r="B6069" s="1821"/>
      <c r="D6069" s="2" t="str">
        <f t="shared" si="93"/>
        <v>OK</v>
      </c>
      <c r="E6069" s="2" t="s">
        <v>914</v>
      </c>
    </row>
    <row r="6070" spans="1:5" x14ac:dyDescent="0.2">
      <c r="A6070" s="123">
        <v>6009</v>
      </c>
      <c r="B6070" s="1821"/>
      <c r="D6070" s="2" t="str">
        <f t="shared" si="93"/>
        <v>OK</v>
      </c>
      <c r="E6070" s="2" t="s">
        <v>914</v>
      </c>
    </row>
    <row r="6071" spans="1:5" x14ac:dyDescent="0.2">
      <c r="A6071" s="123">
        <v>6010</v>
      </c>
      <c r="B6071" s="1821"/>
      <c r="D6071" s="2" t="str">
        <f t="shared" si="93"/>
        <v>OK</v>
      </c>
      <c r="E6071" s="2" t="s">
        <v>914</v>
      </c>
    </row>
    <row r="6072" spans="1:5" x14ac:dyDescent="0.2">
      <c r="A6072" s="123">
        <v>6011</v>
      </c>
      <c r="B6072" s="1821"/>
      <c r="D6072" s="2" t="str">
        <f t="shared" si="93"/>
        <v>OK</v>
      </c>
      <c r="E6072" s="2" t="s">
        <v>914</v>
      </c>
    </row>
    <row r="6073" spans="1:5" x14ac:dyDescent="0.2">
      <c r="A6073" s="123">
        <v>6012</v>
      </c>
      <c r="B6073" s="1821"/>
      <c r="C6073" s="2" t="s">
        <v>569</v>
      </c>
      <c r="D6073" s="2" t="str">
        <f t="shared" si="93"/>
        <v>OK</v>
      </c>
      <c r="E6073" s="2" t="s">
        <v>914</v>
      </c>
    </row>
    <row r="6074" spans="1:5" x14ac:dyDescent="0.2">
      <c r="A6074" s="8">
        <v>6013</v>
      </c>
      <c r="B6074" s="1821">
        <f>'PCTC-OEPP 27-28'!F79</f>
        <v>833</v>
      </c>
      <c r="D6074" s="2" t="str">
        <f t="shared" si="93"/>
        <v>Error?</v>
      </c>
      <c r="E6074" s="2" t="s">
        <v>924</v>
      </c>
    </row>
    <row r="6075" spans="1:5" x14ac:dyDescent="0.2">
      <c r="A6075" s="123">
        <v>6014</v>
      </c>
      <c r="B6075" s="1821"/>
      <c r="D6075" s="2" t="str">
        <f t="shared" si="93"/>
        <v>OK</v>
      </c>
      <c r="E6075" s="2" t="s">
        <v>924</v>
      </c>
    </row>
    <row r="6076" spans="1:5" x14ac:dyDescent="0.2">
      <c r="A6076">
        <v>6015</v>
      </c>
      <c r="B6076" s="1820">
        <f>'Short-Term Long-Term Debt 24'!C27</f>
        <v>0</v>
      </c>
      <c r="D6076" s="2" t="str">
        <f t="shared" si="93"/>
        <v>Error?</v>
      </c>
      <c r="E6076" s="2" t="s">
        <v>924</v>
      </c>
    </row>
    <row r="6077" spans="1:5" x14ac:dyDescent="0.2">
      <c r="A6077">
        <v>6016</v>
      </c>
      <c r="B6077" s="1820">
        <f>'Short-Term Long-Term Debt 24'!D27</f>
        <v>0</v>
      </c>
      <c r="D6077" s="2" t="str">
        <f t="shared" si="93"/>
        <v>Error?</v>
      </c>
      <c r="E6077" s="2" t="s">
        <v>924</v>
      </c>
    </row>
    <row r="6078" spans="1:5" x14ac:dyDescent="0.2">
      <c r="A6078">
        <v>6017</v>
      </c>
      <c r="B6078" s="1820">
        <f>'Short-Term Long-Term Debt 24'!E27</f>
        <v>0</v>
      </c>
      <c r="D6078" s="2" t="str">
        <f t="shared" si="93"/>
        <v>Error?</v>
      </c>
      <c r="E6078" s="2" t="s">
        <v>924</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5">
        <v>6019</v>
      </c>
      <c r="B6080" s="1820"/>
      <c r="D6080" s="2" t="str">
        <f t="shared" si="94"/>
        <v>OK</v>
      </c>
      <c r="E6080" s="2" t="s">
        <v>479</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0</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0</v>
      </c>
      <c r="D6099" s="2" t="str">
        <f t="shared" si="94"/>
        <v>Error?</v>
      </c>
      <c r="E6099" s="2" t="s">
        <v>189</v>
      </c>
    </row>
    <row r="6100" spans="1:5" x14ac:dyDescent="0.2">
      <c r="A6100">
        <v>6039</v>
      </c>
      <c r="B6100" s="1820">
        <f>'Assets-Liab 5-6'!D9</f>
        <v>0</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0</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617707</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0</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5">
        <v>6131</v>
      </c>
      <c r="B6192" s="1820"/>
      <c r="D6192" s="2" t="str">
        <f t="shared" si="95"/>
        <v>OK</v>
      </c>
      <c r="E6192" s="2" t="s">
        <v>135</v>
      </c>
    </row>
    <row r="6193" spans="1:5" x14ac:dyDescent="0.2">
      <c r="A6193" s="125">
        <v>6132</v>
      </c>
      <c r="B6193" s="1820"/>
      <c r="D6193" s="2" t="str">
        <f t="shared" si="95"/>
        <v>OK</v>
      </c>
      <c r="E6193" s="2" t="s">
        <v>135</v>
      </c>
    </row>
    <row r="6194" spans="1:5" x14ac:dyDescent="0.2">
      <c r="A6194" s="125">
        <v>6133</v>
      </c>
      <c r="B6194" s="1820"/>
      <c r="D6194" s="2" t="str">
        <f t="shared" si="95"/>
        <v>OK</v>
      </c>
      <c r="E6194" s="2" t="s">
        <v>135</v>
      </c>
    </row>
    <row r="6195" spans="1:5" x14ac:dyDescent="0.2">
      <c r="A6195" s="125">
        <v>6134</v>
      </c>
      <c r="B6195" s="1820"/>
      <c r="D6195" s="2" t="str">
        <f t="shared" si="95"/>
        <v>OK</v>
      </c>
      <c r="E6195" s="2" t="s">
        <v>135</v>
      </c>
    </row>
    <row r="6196" spans="1:5" x14ac:dyDescent="0.2">
      <c r="A6196" s="125">
        <v>6135</v>
      </c>
      <c r="B6196" s="1820"/>
      <c r="D6196" s="2" t="str">
        <f t="shared" si="95"/>
        <v>OK</v>
      </c>
      <c r="E6196" s="2" t="s">
        <v>135</v>
      </c>
    </row>
    <row r="6197" spans="1:5" x14ac:dyDescent="0.2">
      <c r="A6197" s="125">
        <v>6136</v>
      </c>
      <c r="B6197" s="1820"/>
      <c r="D6197" s="2" t="str">
        <f t="shared" si="95"/>
        <v>OK</v>
      </c>
      <c r="E6197" s="2" t="s">
        <v>135</v>
      </c>
    </row>
    <row r="6198" spans="1:5" x14ac:dyDescent="0.2">
      <c r="A6198" s="125">
        <v>6137</v>
      </c>
      <c r="B6198" s="1820"/>
      <c r="D6198" s="2" t="str">
        <f t="shared" si="95"/>
        <v>OK</v>
      </c>
      <c r="E6198" s="2" t="s">
        <v>135</v>
      </c>
    </row>
    <row r="6199" spans="1:5" x14ac:dyDescent="0.2">
      <c r="A6199" s="125">
        <v>6138</v>
      </c>
      <c r="B6199" s="1820"/>
      <c r="D6199" s="2" t="str">
        <f t="shared" si="95"/>
        <v>OK</v>
      </c>
      <c r="E6199" s="2" t="s">
        <v>135</v>
      </c>
    </row>
    <row r="6200" spans="1:5" x14ac:dyDescent="0.2">
      <c r="A6200" s="125">
        <v>6139</v>
      </c>
      <c r="B6200" s="1820"/>
      <c r="D6200" s="2" t="str">
        <f t="shared" si="95"/>
        <v>OK</v>
      </c>
      <c r="E6200" s="2" t="s">
        <v>135</v>
      </c>
    </row>
    <row r="6201" spans="1:5" x14ac:dyDescent="0.2">
      <c r="A6201" s="125">
        <v>6140</v>
      </c>
      <c r="B6201" s="1820"/>
      <c r="D6201" s="2" t="str">
        <f t="shared" si="95"/>
        <v>OK</v>
      </c>
      <c r="E6201" s="2" t="s">
        <v>135</v>
      </c>
    </row>
    <row r="6202" spans="1:5" x14ac:dyDescent="0.2">
      <c r="A6202" s="125">
        <v>6141</v>
      </c>
      <c r="B6202" s="1820"/>
      <c r="D6202" s="2" t="str">
        <f t="shared" si="95"/>
        <v>OK</v>
      </c>
      <c r="E6202" s="2" t="s">
        <v>135</v>
      </c>
    </row>
    <row r="6203" spans="1:5" x14ac:dyDescent="0.2">
      <c r="A6203" s="125">
        <v>6142</v>
      </c>
      <c r="B6203" s="1820"/>
      <c r="D6203" s="2" t="str">
        <f t="shared" si="95"/>
        <v>OK</v>
      </c>
      <c r="E6203" s="2" t="s">
        <v>135</v>
      </c>
    </row>
    <row r="6204" spans="1:5" x14ac:dyDescent="0.2">
      <c r="A6204" s="125">
        <v>6143</v>
      </c>
      <c r="B6204" s="1820"/>
      <c r="D6204" s="2" t="str">
        <f t="shared" si="95"/>
        <v>OK</v>
      </c>
      <c r="E6204" s="2" t="s">
        <v>135</v>
      </c>
    </row>
    <row r="6205" spans="1:5" x14ac:dyDescent="0.2">
      <c r="A6205" s="125">
        <v>6144</v>
      </c>
      <c r="B6205" s="1820"/>
      <c r="D6205" s="2" t="str">
        <f t="shared" si="95"/>
        <v>OK</v>
      </c>
      <c r="E6205" s="2" t="s">
        <v>135</v>
      </c>
    </row>
    <row r="6206" spans="1:5" x14ac:dyDescent="0.2">
      <c r="A6206" s="125">
        <v>6145</v>
      </c>
      <c r="B6206" s="1820"/>
      <c r="D6206" s="2" t="str">
        <f t="shared" si="95"/>
        <v>OK</v>
      </c>
      <c r="E6206" s="2" t="s">
        <v>135</v>
      </c>
    </row>
    <row r="6207" spans="1:5" x14ac:dyDescent="0.2">
      <c r="A6207" s="125">
        <v>6146</v>
      </c>
      <c r="B6207" s="1820"/>
      <c r="D6207" s="2" t="str">
        <f t="shared" ref="D6207:D6270" si="96">IF(ISBLANK(B6207),"OK",IF(A6207-B6207=0,"OK","Error?"))</f>
        <v>OK</v>
      </c>
      <c r="E6207" s="2" t="s">
        <v>135</v>
      </c>
    </row>
    <row r="6208" spans="1:5" x14ac:dyDescent="0.2">
      <c r="A6208" s="125">
        <v>6147</v>
      </c>
      <c r="B6208" s="1820"/>
      <c r="D6208" s="2" t="str">
        <f t="shared" si="96"/>
        <v>OK</v>
      </c>
      <c r="E6208" s="2" t="s">
        <v>135</v>
      </c>
    </row>
    <row r="6209" spans="1:5" x14ac:dyDescent="0.2">
      <c r="A6209" s="125">
        <v>6148</v>
      </c>
      <c r="B6209" s="1820"/>
      <c r="D6209" s="2" t="str">
        <f t="shared" si="96"/>
        <v>OK</v>
      </c>
      <c r="E6209" s="2" t="s">
        <v>135</v>
      </c>
    </row>
    <row r="6210" spans="1:5" x14ac:dyDescent="0.2">
      <c r="A6210" s="125">
        <v>6149</v>
      </c>
      <c r="B6210" s="1820"/>
      <c r="D6210" s="2" t="str">
        <f t="shared" si="96"/>
        <v>OK</v>
      </c>
      <c r="E6210" s="2" t="s">
        <v>135</v>
      </c>
    </row>
    <row r="6211" spans="1:5" x14ac:dyDescent="0.2">
      <c r="A6211" s="125">
        <v>6150</v>
      </c>
      <c r="B6211" s="1820"/>
      <c r="D6211" s="2" t="str">
        <f t="shared" si="96"/>
        <v>OK</v>
      </c>
      <c r="E6211" s="2" t="s">
        <v>135</v>
      </c>
    </row>
    <row r="6212" spans="1:5" x14ac:dyDescent="0.2">
      <c r="A6212" s="125">
        <v>6151</v>
      </c>
      <c r="B6212" s="1820"/>
      <c r="D6212" s="2" t="str">
        <f t="shared" si="96"/>
        <v>OK</v>
      </c>
      <c r="E6212" s="2" t="s">
        <v>135</v>
      </c>
    </row>
    <row r="6213" spans="1:5" x14ac:dyDescent="0.2">
      <c r="A6213" s="125">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617707</v>
      </c>
      <c r="D6215" s="2" t="str">
        <f t="shared" si="96"/>
        <v>Error?</v>
      </c>
      <c r="E6215" s="2" t="s">
        <v>189</v>
      </c>
    </row>
    <row r="6216" spans="1:5" x14ac:dyDescent="0.2">
      <c r="A6216">
        <v>6155</v>
      </c>
      <c r="B6216" s="1820">
        <f>'Assets-Liab 5-6'!J41</f>
        <v>617707</v>
      </c>
      <c r="D6216" s="2" t="str">
        <f t="shared" si="96"/>
        <v>Error?</v>
      </c>
      <c r="E6216" s="2" t="s">
        <v>189</v>
      </c>
    </row>
    <row r="6217" spans="1:5" x14ac:dyDescent="0.2">
      <c r="A6217">
        <v>6156</v>
      </c>
      <c r="B6217" s="1820">
        <f>'Assets-Liab 5-6'!J4</f>
        <v>0</v>
      </c>
      <c r="D6217" s="2" t="str">
        <f t="shared" si="96"/>
        <v>Error?</v>
      </c>
      <c r="E6217" s="2" t="s">
        <v>189</v>
      </c>
    </row>
    <row r="6218" spans="1:5" x14ac:dyDescent="0.2">
      <c r="A6218">
        <v>6157</v>
      </c>
      <c r="B6218" s="1820">
        <f>'Assets-Liab 5-6'!J5</f>
        <v>617707</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55895</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55895</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55895</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350056</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350056</v>
      </c>
      <c r="D6229" s="2" t="str">
        <f t="shared" si="96"/>
        <v>Error?</v>
      </c>
      <c r="E6229" s="2" t="s">
        <v>189</v>
      </c>
    </row>
    <row r="6230" spans="1:5" x14ac:dyDescent="0.2">
      <c r="A6230">
        <v>6169</v>
      </c>
      <c r="B6230" s="1820">
        <f>'Acct Summary 7-8'!J20</f>
        <v>-294161</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-294161</v>
      </c>
      <c r="D6263" s="2" t="str">
        <f t="shared" si="96"/>
        <v>Error?</v>
      </c>
      <c r="E6263" s="2" t="s">
        <v>189</v>
      </c>
    </row>
    <row r="6264" spans="1:5" x14ac:dyDescent="0.2">
      <c r="A6264">
        <v>6203</v>
      </c>
      <c r="B6264" s="1820">
        <f>'Acct Summary 7-8'!J79</f>
        <v>911868</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617707</v>
      </c>
      <c r="D6266" s="2" t="str">
        <f t="shared" si="96"/>
        <v>Error?</v>
      </c>
      <c r="E6266" s="2" t="s">
        <v>189</v>
      </c>
    </row>
    <row r="6267" spans="1:5" x14ac:dyDescent="0.2">
      <c r="A6267">
        <v>6206</v>
      </c>
      <c r="B6267" s="1820">
        <f>'Acct Summary 7-8'!C82</f>
        <v>1700809</v>
      </c>
      <c r="D6267" s="2" t="str">
        <f t="shared" si="96"/>
        <v>Error?</v>
      </c>
      <c r="E6267" s="2" t="s">
        <v>189</v>
      </c>
    </row>
    <row r="6268" spans="1:5" x14ac:dyDescent="0.2">
      <c r="A6268">
        <v>6207</v>
      </c>
      <c r="B6268" s="1820">
        <f>'Acct Summary 7-8'!D82</f>
        <v>-199553</v>
      </c>
      <c r="D6268" s="2" t="str">
        <f t="shared" si="96"/>
        <v>Error?</v>
      </c>
      <c r="E6268" s="2" t="s">
        <v>189</v>
      </c>
    </row>
    <row r="6269" spans="1:5" x14ac:dyDescent="0.2">
      <c r="A6269">
        <v>6208</v>
      </c>
      <c r="B6269" s="1820">
        <f>'Acct Summary 7-8'!E82</f>
        <v>-126644</v>
      </c>
      <c r="D6269" s="2" t="str">
        <f t="shared" si="96"/>
        <v>Error?</v>
      </c>
      <c r="E6269" s="2" t="s">
        <v>189</v>
      </c>
    </row>
    <row r="6270" spans="1:5" x14ac:dyDescent="0.2">
      <c r="A6270">
        <v>6209</v>
      </c>
      <c r="B6270" s="1820">
        <f>'Acct Summary 7-8'!F82</f>
        <v>645077</v>
      </c>
      <c r="D6270" s="2" t="str">
        <f t="shared" si="96"/>
        <v>Error?</v>
      </c>
      <c r="E6270" s="2" t="s">
        <v>189</v>
      </c>
    </row>
    <row r="6271" spans="1:5" x14ac:dyDescent="0.2">
      <c r="A6271">
        <v>6210</v>
      </c>
      <c r="B6271" s="1820">
        <f>'Acct Summary 7-8'!G82</f>
        <v>-155473</v>
      </c>
      <c r="D6271" s="2" t="str">
        <f t="shared" ref="D6271:D6334" si="97">IF(ISBLANK(B6271),"OK",IF(A6271-B6271=0,"OK","Error?"))</f>
        <v>Error?</v>
      </c>
      <c r="E6271" s="2" t="s">
        <v>189</v>
      </c>
    </row>
    <row r="6272" spans="1:5" x14ac:dyDescent="0.2">
      <c r="A6272">
        <v>6211</v>
      </c>
      <c r="B6272" s="1820">
        <f>'Acct Summary 7-8'!H82</f>
        <v>15</v>
      </c>
      <c r="D6272" s="2" t="str">
        <f t="shared" si="97"/>
        <v>Error?</v>
      </c>
      <c r="E6272" s="2" t="s">
        <v>189</v>
      </c>
    </row>
    <row r="6273" spans="1:5" x14ac:dyDescent="0.2">
      <c r="A6273">
        <v>6212</v>
      </c>
      <c r="B6273" s="1820">
        <f>'Acct Summary 7-8'!I82</f>
        <v>-210</v>
      </c>
      <c r="D6273" s="2" t="str">
        <f t="shared" si="97"/>
        <v>Error?</v>
      </c>
      <c r="E6273" s="2" t="s">
        <v>189</v>
      </c>
    </row>
    <row r="6274" spans="1:5" x14ac:dyDescent="0.2">
      <c r="A6274">
        <v>6213</v>
      </c>
      <c r="B6274" s="1820">
        <f>'Acct Summary 7-8'!J82</f>
        <v>-294161</v>
      </c>
      <c r="D6274" s="2" t="str">
        <f t="shared" si="97"/>
        <v>Error?</v>
      </c>
      <c r="E6274" s="2" t="s">
        <v>189</v>
      </c>
    </row>
    <row r="6275" spans="1:5" x14ac:dyDescent="0.2">
      <c r="A6275">
        <v>6214</v>
      </c>
      <c r="B6275" s="1820">
        <f>'Acct Summary 7-8'!K82</f>
        <v>32690</v>
      </c>
      <c r="D6275" s="2" t="str">
        <f t="shared" si="97"/>
        <v>Error?</v>
      </c>
      <c r="E6275" s="2" t="s">
        <v>189</v>
      </c>
    </row>
    <row r="6276" spans="1:5" x14ac:dyDescent="0.2">
      <c r="A6276">
        <v>6215</v>
      </c>
      <c r="B6276" s="1820">
        <f>'Acct Summary 7-8'!C83</f>
        <v>0.29558149024558439</v>
      </c>
      <c r="D6276" s="2" t="str">
        <f t="shared" si="97"/>
        <v>Error?</v>
      </c>
      <c r="E6276" s="2" t="s">
        <v>189</v>
      </c>
    </row>
    <row r="6277" spans="1:5" x14ac:dyDescent="0.2">
      <c r="A6277">
        <v>6216</v>
      </c>
      <c r="B6277" s="1820">
        <f>'Acct Summary 7-8'!D83</f>
        <v>-10.863574500517176</v>
      </c>
      <c r="D6277" s="2" t="str">
        <f t="shared" si="97"/>
        <v>Error?</v>
      </c>
      <c r="E6277" s="2" t="s">
        <v>189</v>
      </c>
    </row>
    <row r="6278" spans="1:5" x14ac:dyDescent="0.2">
      <c r="A6278">
        <v>6217</v>
      </c>
      <c r="B6278" s="1820">
        <f>'Acct Summary 7-8'!E83</f>
        <v>0.27899087095978287</v>
      </c>
      <c r="D6278" s="2" t="str">
        <f t="shared" si="97"/>
        <v>Error?</v>
      </c>
      <c r="E6278" s="2" t="s">
        <v>189</v>
      </c>
    </row>
    <row r="6279" spans="1:5" x14ac:dyDescent="0.2">
      <c r="A6279">
        <v>6218</v>
      </c>
      <c r="B6279" s="1820">
        <f>'Acct Summary 7-8'!F83</f>
        <v>0.34968697265232201</v>
      </c>
      <c r="D6279" s="2" t="str">
        <f t="shared" si="97"/>
        <v>Error?</v>
      </c>
      <c r="E6279" s="2" t="s">
        <v>189</v>
      </c>
    </row>
    <row r="6280" spans="1:5" x14ac:dyDescent="0.2">
      <c r="A6280">
        <v>6219</v>
      </c>
      <c r="B6280" s="1820">
        <f>'Acct Summary 7-8'!G83</f>
        <v>-5.8850716551468306E-2</v>
      </c>
      <c r="D6280" s="2" t="str">
        <f t="shared" si="97"/>
        <v>Error?</v>
      </c>
      <c r="E6280" s="2" t="s">
        <v>189</v>
      </c>
    </row>
    <row r="6281" spans="1:5" x14ac:dyDescent="0.2">
      <c r="A6281">
        <v>6220</v>
      </c>
      <c r="B6281" s="1820">
        <f>'Acct Summary 7-8'!H83</f>
        <v>1.6574585635359115E-2</v>
      </c>
      <c r="D6281" s="2" t="str">
        <f t="shared" si="97"/>
        <v>Error?</v>
      </c>
      <c r="E6281" s="2" t="s">
        <v>189</v>
      </c>
    </row>
    <row r="6282" spans="1:5" x14ac:dyDescent="0.2">
      <c r="A6282">
        <v>6221</v>
      </c>
      <c r="B6282" s="1820">
        <f>'Acct Summary 7-8'!I83</f>
        <v>-3.6784669551051868E-3</v>
      </c>
      <c r="D6282" s="2" t="str">
        <f t="shared" si="97"/>
        <v>Error?</v>
      </c>
      <c r="E6282" s="2" t="s">
        <v>189</v>
      </c>
    </row>
    <row r="6283" spans="1:5" x14ac:dyDescent="0.2">
      <c r="A6283">
        <v>6222</v>
      </c>
      <c r="B6283" s="1820">
        <f>'Acct Summary 7-8'!J83</f>
        <v>-0.4762144511880228</v>
      </c>
      <c r="D6283" s="2" t="str">
        <f t="shared" si="97"/>
        <v>Error?</v>
      </c>
      <c r="E6283" s="2" t="s">
        <v>189</v>
      </c>
    </row>
    <row r="6284" spans="1:5" x14ac:dyDescent="0.2">
      <c r="A6284">
        <v>6223</v>
      </c>
      <c r="B6284" s="1820">
        <f>'Acct Summary 7-8'!K83</f>
        <v>3.7000565930956424</v>
      </c>
      <c r="D6284" s="2" t="str">
        <f t="shared" si="97"/>
        <v>Error?</v>
      </c>
      <c r="E6284" s="2" t="s">
        <v>189</v>
      </c>
    </row>
    <row r="6285" spans="1:5" x14ac:dyDescent="0.2">
      <c r="A6285">
        <v>6224</v>
      </c>
      <c r="B6285" s="1820">
        <f>'Acct Summary 7-8'!E37</f>
        <v>0</v>
      </c>
      <c r="D6285" s="2" t="str">
        <f t="shared" si="97"/>
        <v>Error?</v>
      </c>
      <c r="E6285" s="2" t="s">
        <v>189</v>
      </c>
    </row>
    <row r="6286" spans="1:5" x14ac:dyDescent="0.2">
      <c r="A6286">
        <v>6225</v>
      </c>
      <c r="B6286" s="1820">
        <f>'Acct Summary 7-8'!E38</f>
        <v>0</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42050</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42050</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13845</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13845</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0</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0</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0</v>
      </c>
      <c r="D6339" s="2" t="str">
        <f t="shared" si="98"/>
        <v>Error?</v>
      </c>
      <c r="E6339" s="2" t="s">
        <v>189</v>
      </c>
    </row>
    <row r="6340" spans="1:5" x14ac:dyDescent="0.2">
      <c r="A6340">
        <v>6279</v>
      </c>
      <c r="B6340" s="1820">
        <f>'Revenues 9-14'!C102</f>
        <v>0</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55895</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0</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5">
        <v>6321</v>
      </c>
      <c r="B6382" s="1820"/>
      <c r="D6382" s="2" t="str">
        <f t="shared" si="98"/>
        <v>OK</v>
      </c>
      <c r="E6382" s="2" t="s">
        <v>189</v>
      </c>
      <c r="F6382" s="1" t="s">
        <v>1895</v>
      </c>
    </row>
    <row r="6383" spans="1:6" x14ac:dyDescent="0.2">
      <c r="A6383" s="125">
        <v>6322</v>
      </c>
      <c r="B6383" s="1820"/>
      <c r="D6383" s="2" t="str">
        <f t="shared" si="98"/>
        <v>OK</v>
      </c>
      <c r="E6383" s="2" t="s">
        <v>189</v>
      </c>
      <c r="F6383" s="1" t="s">
        <v>1895</v>
      </c>
    </row>
    <row r="6384" spans="1:6" x14ac:dyDescent="0.2">
      <c r="A6384" s="125">
        <v>6323</v>
      </c>
      <c r="B6384" s="1820"/>
      <c r="D6384" s="2" t="str">
        <f t="shared" si="98"/>
        <v>OK</v>
      </c>
      <c r="E6384" s="2" t="s">
        <v>189</v>
      </c>
      <c r="F6384" s="1" t="s">
        <v>1895</v>
      </c>
    </row>
    <row r="6385" spans="1:6" x14ac:dyDescent="0.2">
      <c r="A6385" s="125">
        <v>6324</v>
      </c>
      <c r="B6385" s="1820"/>
      <c r="D6385" s="2" t="str">
        <f t="shared" si="98"/>
        <v>OK</v>
      </c>
      <c r="E6385" s="2" t="s">
        <v>189</v>
      </c>
      <c r="F6385" s="1" t="s">
        <v>1895</v>
      </c>
    </row>
    <row r="6386" spans="1:6" x14ac:dyDescent="0.2">
      <c r="A6386" s="125">
        <v>6325</v>
      </c>
      <c r="B6386" s="1820"/>
      <c r="D6386" s="2" t="str">
        <f t="shared" si="98"/>
        <v>OK</v>
      </c>
      <c r="E6386" s="2" t="s">
        <v>189</v>
      </c>
      <c r="F6386" s="1" t="s">
        <v>1895</v>
      </c>
    </row>
    <row r="6387" spans="1:6" x14ac:dyDescent="0.2">
      <c r="A6387" s="125">
        <v>6326</v>
      </c>
      <c r="B6387" s="1820"/>
      <c r="D6387" s="2" t="str">
        <f t="shared" si="98"/>
        <v>OK</v>
      </c>
      <c r="E6387" s="2" t="s">
        <v>189</v>
      </c>
      <c r="F6387" s="1" t="s">
        <v>1895</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5">
        <v>6349</v>
      </c>
      <c r="B6410" s="1820"/>
      <c r="D6410" s="2" t="str">
        <f t="shared" si="99"/>
        <v>OK</v>
      </c>
      <c r="E6410" s="2" t="s">
        <v>189</v>
      </c>
      <c r="F6410" s="1" t="s">
        <v>1895</v>
      </c>
    </row>
    <row r="6411" spans="1:6" x14ac:dyDescent="0.2">
      <c r="A6411" s="125">
        <v>6350</v>
      </c>
      <c r="B6411" s="1820"/>
      <c r="D6411" s="2" t="str">
        <f t="shared" si="99"/>
        <v>OK</v>
      </c>
      <c r="E6411" s="2" t="s">
        <v>189</v>
      </c>
      <c r="F6411" s="1" t="s">
        <v>1895</v>
      </c>
    </row>
    <row r="6412" spans="1:6" x14ac:dyDescent="0.2">
      <c r="A6412" s="125">
        <v>6351</v>
      </c>
      <c r="B6412" s="1820"/>
      <c r="D6412" s="2" t="str">
        <f t="shared" si="99"/>
        <v>OK</v>
      </c>
      <c r="E6412" s="2" t="s">
        <v>189</v>
      </c>
      <c r="F6412" s="1" t="s">
        <v>1895</v>
      </c>
    </row>
    <row r="6413" spans="1:6" x14ac:dyDescent="0.2">
      <c r="A6413" s="125">
        <v>6352</v>
      </c>
      <c r="B6413" s="1820"/>
      <c r="D6413" s="2" t="str">
        <f t="shared" si="99"/>
        <v>OK</v>
      </c>
      <c r="E6413" s="2" t="s">
        <v>189</v>
      </c>
      <c r="F6413" s="1" t="s">
        <v>1895</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5">
        <v>6355</v>
      </c>
      <c r="B6416" s="1820"/>
      <c r="C6416" s="4"/>
      <c r="D6416" s="2" t="str">
        <f t="shared" si="99"/>
        <v>OK</v>
      </c>
      <c r="E6416" s="4" t="s">
        <v>1991</v>
      </c>
    </row>
    <row r="6417" spans="1:5" x14ac:dyDescent="0.2">
      <c r="A6417" s="125">
        <v>6356</v>
      </c>
      <c r="B6417" s="1820"/>
      <c r="D6417" s="2" t="str">
        <f t="shared" si="99"/>
        <v>OK</v>
      </c>
      <c r="E6417" s="4" t="s">
        <v>1991</v>
      </c>
    </row>
    <row r="6418" spans="1:5" x14ac:dyDescent="0.2">
      <c r="A6418" s="125">
        <v>6357</v>
      </c>
      <c r="B6418" s="1820"/>
      <c r="D6418" s="2" t="str">
        <f t="shared" si="99"/>
        <v>OK</v>
      </c>
      <c r="E6418" s="4" t="s">
        <v>1991</v>
      </c>
    </row>
    <row r="6419" spans="1:5" x14ac:dyDescent="0.2">
      <c r="A6419" s="125">
        <v>6358</v>
      </c>
      <c r="B6419" s="1820"/>
      <c r="D6419" s="2" t="str">
        <f t="shared" si="99"/>
        <v>OK</v>
      </c>
      <c r="E6419" s="4" t="s">
        <v>1991</v>
      </c>
    </row>
    <row r="6420" spans="1:5" x14ac:dyDescent="0.2">
      <c r="A6420" s="125">
        <v>6359</v>
      </c>
      <c r="B6420" s="1820"/>
      <c r="D6420" s="2" t="str">
        <f t="shared" si="99"/>
        <v>OK</v>
      </c>
      <c r="E6420" s="4" t="s">
        <v>1991</v>
      </c>
    </row>
    <row r="6421" spans="1:5" x14ac:dyDescent="0.2">
      <c r="A6421" s="125">
        <v>6360</v>
      </c>
      <c r="B6421" s="1820"/>
      <c r="D6421" s="2" t="str">
        <f t="shared" si="99"/>
        <v>OK</v>
      </c>
      <c r="E6421" s="4" t="s">
        <v>1991</v>
      </c>
    </row>
    <row r="6422" spans="1:5" x14ac:dyDescent="0.2">
      <c r="A6422" s="125">
        <v>6361</v>
      </c>
      <c r="B6422" s="1820"/>
      <c r="D6422" s="2" t="str">
        <f t="shared" si="99"/>
        <v>OK</v>
      </c>
      <c r="E6422" s="4" t="s">
        <v>1991</v>
      </c>
    </row>
    <row r="6423" spans="1:5" x14ac:dyDescent="0.2">
      <c r="A6423" s="125">
        <v>6362</v>
      </c>
      <c r="B6423" s="1820"/>
      <c r="D6423" s="2" t="str">
        <f t="shared" si="99"/>
        <v>OK</v>
      </c>
      <c r="E6423" s="4" t="s">
        <v>1991</v>
      </c>
    </row>
    <row r="6424" spans="1:5" x14ac:dyDescent="0.2">
      <c r="A6424" s="125">
        <v>6363</v>
      </c>
      <c r="B6424" s="1820"/>
      <c r="D6424" s="2" t="str">
        <f t="shared" si="99"/>
        <v>OK</v>
      </c>
      <c r="E6424" s="4" t="s">
        <v>1991</v>
      </c>
    </row>
    <row r="6425" spans="1:5" x14ac:dyDescent="0.2">
      <c r="A6425" s="125">
        <v>6364</v>
      </c>
      <c r="B6425" s="1820"/>
      <c r="D6425" s="2" t="str">
        <f t="shared" si="99"/>
        <v>OK</v>
      </c>
      <c r="E6425" s="4" t="s">
        <v>1991</v>
      </c>
    </row>
    <row r="6426" spans="1:5" x14ac:dyDescent="0.2">
      <c r="A6426" s="125">
        <v>6365</v>
      </c>
      <c r="B6426" s="1820"/>
      <c r="D6426" s="2" t="str">
        <f t="shared" si="99"/>
        <v>OK</v>
      </c>
      <c r="E6426" s="4" t="s">
        <v>1991</v>
      </c>
    </row>
    <row r="6427" spans="1:5" x14ac:dyDescent="0.2">
      <c r="A6427" s="125">
        <v>6366</v>
      </c>
      <c r="B6427" s="1820"/>
      <c r="D6427" s="2" t="str">
        <f t="shared" si="99"/>
        <v>OK</v>
      </c>
      <c r="E6427" s="4" t="s">
        <v>1991</v>
      </c>
    </row>
    <row r="6428" spans="1:5" x14ac:dyDescent="0.2">
      <c r="A6428" s="125">
        <v>6367</v>
      </c>
      <c r="B6428" s="1820"/>
      <c r="D6428" s="2" t="str">
        <f t="shared" si="99"/>
        <v>OK</v>
      </c>
      <c r="E6428" s="4" t="s">
        <v>1991</v>
      </c>
    </row>
    <row r="6429" spans="1:5" x14ac:dyDescent="0.2">
      <c r="A6429" s="125">
        <v>6368</v>
      </c>
      <c r="B6429" s="1820"/>
      <c r="D6429" s="2" t="str">
        <f t="shared" si="99"/>
        <v>OK</v>
      </c>
      <c r="E6429" s="4" t="s">
        <v>1991</v>
      </c>
    </row>
    <row r="6430" spans="1:5" x14ac:dyDescent="0.2">
      <c r="A6430" s="125">
        <v>6369</v>
      </c>
      <c r="B6430" s="1820"/>
      <c r="D6430" s="2" t="str">
        <f t="shared" si="99"/>
        <v>OK</v>
      </c>
      <c r="E6430" s="4" t="s">
        <v>1991</v>
      </c>
    </row>
    <row r="6431" spans="1:5" x14ac:dyDescent="0.2">
      <c r="A6431" s="125">
        <v>6370</v>
      </c>
      <c r="B6431" s="1820"/>
      <c r="D6431" s="2" t="str">
        <f t="shared" si="99"/>
        <v>OK</v>
      </c>
      <c r="E6431" s="4" t="s">
        <v>1991</v>
      </c>
    </row>
    <row r="6432" spans="1:5" x14ac:dyDescent="0.2">
      <c r="A6432" s="125">
        <v>6371</v>
      </c>
      <c r="B6432" s="1820"/>
      <c r="D6432" s="2" t="str">
        <f t="shared" si="99"/>
        <v>OK</v>
      </c>
      <c r="E6432" s="4" t="s">
        <v>1991</v>
      </c>
    </row>
    <row r="6433" spans="1:5" x14ac:dyDescent="0.2">
      <c r="A6433" s="125">
        <v>6372</v>
      </c>
      <c r="B6433" s="1820"/>
      <c r="D6433" s="2" t="str">
        <f t="shared" si="99"/>
        <v>OK</v>
      </c>
      <c r="E6433" s="4" t="s">
        <v>1991</v>
      </c>
    </row>
    <row r="6434" spans="1:5" x14ac:dyDescent="0.2">
      <c r="A6434" s="125">
        <v>6373</v>
      </c>
      <c r="B6434" s="1820"/>
      <c r="D6434" s="2" t="str">
        <f t="shared" si="99"/>
        <v>OK</v>
      </c>
      <c r="E6434" s="4" t="s">
        <v>1991</v>
      </c>
    </row>
    <row r="6435" spans="1:5" x14ac:dyDescent="0.2">
      <c r="A6435" s="125">
        <v>6374</v>
      </c>
      <c r="B6435" s="1820"/>
      <c r="D6435" s="2" t="str">
        <f t="shared" si="99"/>
        <v>OK</v>
      </c>
      <c r="E6435" s="4" t="s">
        <v>1991</v>
      </c>
    </row>
    <row r="6436" spans="1:5" x14ac:dyDescent="0.2">
      <c r="A6436" s="125">
        <v>6375</v>
      </c>
      <c r="B6436" s="1820"/>
      <c r="D6436" s="2" t="str">
        <f t="shared" si="99"/>
        <v>OK</v>
      </c>
      <c r="E6436" s="4" t="s">
        <v>1991</v>
      </c>
    </row>
    <row r="6437" spans="1:5" x14ac:dyDescent="0.2">
      <c r="A6437" s="125">
        <v>6376</v>
      </c>
      <c r="B6437" s="1820"/>
      <c r="D6437" s="2" t="str">
        <f t="shared" si="99"/>
        <v>OK</v>
      </c>
      <c r="E6437" s="4" t="s">
        <v>1991</v>
      </c>
    </row>
    <row r="6438" spans="1:5" x14ac:dyDescent="0.2">
      <c r="A6438" s="125">
        <v>6377</v>
      </c>
      <c r="B6438" s="1820"/>
      <c r="D6438" s="2" t="str">
        <f t="shared" si="99"/>
        <v>OK</v>
      </c>
      <c r="E6438" s="4" t="s">
        <v>1991</v>
      </c>
    </row>
    <row r="6439" spans="1:5" x14ac:dyDescent="0.2">
      <c r="A6439" s="125">
        <v>6378</v>
      </c>
      <c r="B6439" s="1820"/>
      <c r="D6439" s="2" t="str">
        <f t="shared" si="99"/>
        <v>OK</v>
      </c>
      <c r="E6439" s="4" t="s">
        <v>1991</v>
      </c>
    </row>
    <row r="6440" spans="1:5" x14ac:dyDescent="0.2">
      <c r="A6440" s="125">
        <v>6379</v>
      </c>
      <c r="B6440" s="1820"/>
      <c r="D6440" s="2" t="str">
        <f t="shared" si="99"/>
        <v>OK</v>
      </c>
      <c r="E6440" s="4" t="s">
        <v>1991</v>
      </c>
    </row>
    <row r="6441" spans="1:5" x14ac:dyDescent="0.2">
      <c r="A6441" s="125">
        <v>6380</v>
      </c>
      <c r="B6441" s="1820"/>
      <c r="D6441" s="2" t="str">
        <f t="shared" si="99"/>
        <v>OK</v>
      </c>
      <c r="E6441" s="4" t="s">
        <v>1991</v>
      </c>
    </row>
    <row r="6442" spans="1:5" x14ac:dyDescent="0.2">
      <c r="A6442" s="125">
        <v>6381</v>
      </c>
      <c r="B6442" s="1820"/>
      <c r="D6442" s="2" t="str">
        <f t="shared" si="99"/>
        <v>OK</v>
      </c>
      <c r="E6442" s="4" t="s">
        <v>1991</v>
      </c>
    </row>
    <row r="6443" spans="1:5" x14ac:dyDescent="0.2">
      <c r="A6443" s="125">
        <v>6382</v>
      </c>
      <c r="B6443" s="1820"/>
      <c r="D6443" s="2" t="str">
        <f t="shared" si="99"/>
        <v>OK</v>
      </c>
      <c r="E6443" s="4" t="s">
        <v>1991</v>
      </c>
    </row>
    <row r="6444" spans="1:5" x14ac:dyDescent="0.2">
      <c r="A6444" s="125">
        <v>6383</v>
      </c>
      <c r="B6444" s="1820"/>
      <c r="D6444" s="2" t="str">
        <f t="shared" si="99"/>
        <v>OK</v>
      </c>
      <c r="E6444" s="4" t="s">
        <v>1991</v>
      </c>
    </row>
    <row r="6445" spans="1:5" x14ac:dyDescent="0.2">
      <c r="A6445" s="125">
        <v>6384</v>
      </c>
      <c r="B6445" s="1820"/>
      <c r="D6445" s="2" t="str">
        <f t="shared" si="99"/>
        <v>OK</v>
      </c>
      <c r="E6445" s="4" t="s">
        <v>1991</v>
      </c>
    </row>
    <row r="6446" spans="1:5" x14ac:dyDescent="0.2">
      <c r="A6446" s="125">
        <v>6385</v>
      </c>
      <c r="B6446" s="1820"/>
      <c r="D6446" s="2" t="str">
        <f t="shared" si="99"/>
        <v>OK</v>
      </c>
      <c r="E6446" s="4" t="s">
        <v>1991</v>
      </c>
    </row>
    <row r="6447" spans="1:5" x14ac:dyDescent="0.2">
      <c r="A6447" s="125">
        <v>6386</v>
      </c>
      <c r="B6447" s="1820"/>
      <c r="D6447" s="2" t="str">
        <f t="shared" si="99"/>
        <v>OK</v>
      </c>
      <c r="E6447" s="4" t="s">
        <v>1991</v>
      </c>
    </row>
    <row r="6448" spans="1:5" x14ac:dyDescent="0.2">
      <c r="A6448" s="125">
        <v>6387</v>
      </c>
      <c r="B6448" s="1820"/>
      <c r="D6448" s="2" t="str">
        <f t="shared" si="99"/>
        <v>OK</v>
      </c>
      <c r="E6448" s="4" t="s">
        <v>1991</v>
      </c>
    </row>
    <row r="6449" spans="1:5" x14ac:dyDescent="0.2">
      <c r="A6449" s="125">
        <v>6388</v>
      </c>
      <c r="B6449" s="1820"/>
      <c r="D6449" s="2" t="str">
        <f t="shared" si="99"/>
        <v>OK</v>
      </c>
      <c r="E6449" s="4" t="s">
        <v>1991</v>
      </c>
    </row>
    <row r="6450" spans="1:5" x14ac:dyDescent="0.2">
      <c r="A6450" s="125">
        <v>6389</v>
      </c>
      <c r="B6450" s="1820"/>
      <c r="D6450" s="2" t="str">
        <f t="shared" si="99"/>
        <v>OK</v>
      </c>
      <c r="E6450" s="4" t="s">
        <v>1991</v>
      </c>
    </row>
    <row r="6451" spans="1:5" x14ac:dyDescent="0.2">
      <c r="A6451" s="125">
        <v>6390</v>
      </c>
      <c r="B6451" s="1820"/>
      <c r="D6451" s="2" t="str">
        <f t="shared" si="99"/>
        <v>OK</v>
      </c>
      <c r="E6451" s="4" t="s">
        <v>1991</v>
      </c>
    </row>
    <row r="6452" spans="1:5" x14ac:dyDescent="0.2">
      <c r="A6452" s="125">
        <v>6391</v>
      </c>
      <c r="B6452" s="1820"/>
      <c r="D6452" s="2" t="str">
        <f t="shared" si="99"/>
        <v>OK</v>
      </c>
      <c r="E6452" s="4" t="s">
        <v>1991</v>
      </c>
    </row>
    <row r="6453" spans="1:5" x14ac:dyDescent="0.2">
      <c r="A6453" s="125">
        <v>6392</v>
      </c>
      <c r="B6453" s="1820"/>
      <c r="D6453" s="2" t="str">
        <f t="shared" si="99"/>
        <v>OK</v>
      </c>
      <c r="E6453" s="4" t="s">
        <v>1991</v>
      </c>
    </row>
    <row r="6454" spans="1:5" x14ac:dyDescent="0.2">
      <c r="A6454" s="125">
        <v>6393</v>
      </c>
      <c r="B6454" s="1820"/>
      <c r="D6454" s="2" t="str">
        <f t="shared" si="99"/>
        <v>OK</v>
      </c>
      <c r="E6454" s="4" t="s">
        <v>1991</v>
      </c>
    </row>
    <row r="6455" spans="1:5" x14ac:dyDescent="0.2">
      <c r="A6455" s="125">
        <v>6394</v>
      </c>
      <c r="B6455" s="1820"/>
      <c r="D6455" s="2" t="str">
        <f t="shared" si="99"/>
        <v>OK</v>
      </c>
      <c r="E6455" s="4" t="s">
        <v>1991</v>
      </c>
    </row>
    <row r="6456" spans="1:5" x14ac:dyDescent="0.2">
      <c r="A6456" s="125">
        <v>6395</v>
      </c>
      <c r="B6456" s="1820"/>
      <c r="D6456" s="2" t="str">
        <f t="shared" si="99"/>
        <v>OK</v>
      </c>
      <c r="E6456" s="4" t="s">
        <v>1991</v>
      </c>
    </row>
    <row r="6457" spans="1:5" x14ac:dyDescent="0.2">
      <c r="A6457" s="125">
        <v>6396</v>
      </c>
      <c r="B6457" s="1820"/>
      <c r="D6457" s="2" t="str">
        <f t="shared" si="99"/>
        <v>OK</v>
      </c>
      <c r="E6457" s="4" t="s">
        <v>1991</v>
      </c>
    </row>
    <row r="6458" spans="1:5" x14ac:dyDescent="0.2">
      <c r="A6458" s="125">
        <v>6397</v>
      </c>
      <c r="B6458" s="1820"/>
      <c r="D6458" s="2" t="str">
        <f t="shared" si="99"/>
        <v>OK</v>
      </c>
      <c r="E6458" s="4" t="s">
        <v>1991</v>
      </c>
    </row>
    <row r="6459" spans="1:5" x14ac:dyDescent="0.2">
      <c r="A6459" s="125">
        <v>6398</v>
      </c>
      <c r="B6459" s="1820"/>
      <c r="D6459" s="2" t="str">
        <f t="shared" si="99"/>
        <v>OK</v>
      </c>
      <c r="E6459" s="4" t="s">
        <v>1991</v>
      </c>
    </row>
    <row r="6460" spans="1:5" x14ac:dyDescent="0.2">
      <c r="A6460" s="125">
        <v>6399</v>
      </c>
      <c r="B6460" s="1820"/>
      <c r="D6460" s="2" t="str">
        <f t="shared" si="99"/>
        <v>OK</v>
      </c>
      <c r="E6460" s="4" t="s">
        <v>1991</v>
      </c>
    </row>
    <row r="6461" spans="1:5" x14ac:dyDescent="0.2">
      <c r="A6461" s="125">
        <v>6400</v>
      </c>
      <c r="B6461" s="1820"/>
      <c r="D6461" s="2" t="str">
        <f t="shared" si="99"/>
        <v>OK</v>
      </c>
      <c r="E6461" s="4" t="s">
        <v>1991</v>
      </c>
    </row>
    <row r="6462" spans="1:5" x14ac:dyDescent="0.2">
      <c r="A6462" s="125">
        <v>6401</v>
      </c>
      <c r="B6462" s="1820"/>
      <c r="D6462" s="2" t="str">
        <f t="shared" si="99"/>
        <v>OK</v>
      </c>
      <c r="E6462" s="4" t="s">
        <v>1991</v>
      </c>
    </row>
    <row r="6463" spans="1:5" x14ac:dyDescent="0.2">
      <c r="A6463" s="125">
        <v>6402</v>
      </c>
      <c r="B6463" s="1820"/>
      <c r="D6463" s="2" t="str">
        <f t="shared" ref="D6463:D6526" si="100">IF(ISBLANK(B6463),"OK",IF(A6463-B6463=0,"OK","Error?"))</f>
        <v>OK</v>
      </c>
      <c r="E6463" s="4" t="s">
        <v>1991</v>
      </c>
    </row>
    <row r="6464" spans="1:5" x14ac:dyDescent="0.2">
      <c r="A6464" s="125">
        <v>6403</v>
      </c>
      <c r="B6464" s="1820"/>
      <c r="D6464" s="2" t="str">
        <f t="shared" si="100"/>
        <v>OK</v>
      </c>
      <c r="E6464" s="4" t="s">
        <v>1991</v>
      </c>
    </row>
    <row r="6465" spans="1:5" x14ac:dyDescent="0.2">
      <c r="A6465" s="125">
        <v>6404</v>
      </c>
      <c r="B6465" s="1820"/>
      <c r="D6465" s="2" t="str">
        <f t="shared" si="100"/>
        <v>OK</v>
      </c>
      <c r="E6465" s="4" t="s">
        <v>1991</v>
      </c>
    </row>
    <row r="6466" spans="1:5" x14ac:dyDescent="0.2">
      <c r="A6466" s="125">
        <v>6405</v>
      </c>
      <c r="B6466" s="1820"/>
      <c r="D6466" s="2" t="str">
        <f t="shared" si="100"/>
        <v>OK</v>
      </c>
      <c r="E6466" s="4" t="s">
        <v>1991</v>
      </c>
    </row>
    <row r="6467" spans="1:5" x14ac:dyDescent="0.2">
      <c r="A6467" s="125">
        <v>6406</v>
      </c>
      <c r="B6467" s="1820"/>
      <c r="D6467" s="2" t="str">
        <f t="shared" si="100"/>
        <v>OK</v>
      </c>
      <c r="E6467" s="4" t="s">
        <v>1991</v>
      </c>
    </row>
    <row r="6468" spans="1:5" x14ac:dyDescent="0.2">
      <c r="A6468" s="125">
        <v>6407</v>
      </c>
      <c r="B6468" s="1820"/>
      <c r="D6468" s="2" t="str">
        <f t="shared" si="100"/>
        <v>OK</v>
      </c>
      <c r="E6468" s="4" t="s">
        <v>1991</v>
      </c>
    </row>
    <row r="6469" spans="1:5" x14ac:dyDescent="0.2">
      <c r="A6469" s="125">
        <v>6408</v>
      </c>
      <c r="B6469" s="1820"/>
      <c r="D6469" s="2" t="str">
        <f t="shared" si="100"/>
        <v>OK</v>
      </c>
      <c r="E6469" s="4" t="s">
        <v>1991</v>
      </c>
    </row>
    <row r="6470" spans="1:5" x14ac:dyDescent="0.2">
      <c r="A6470" s="125">
        <v>6409</v>
      </c>
      <c r="B6470" s="1820"/>
      <c r="D6470" s="2" t="str">
        <f t="shared" si="100"/>
        <v>OK</v>
      </c>
      <c r="E6470" s="4" t="s">
        <v>1991</v>
      </c>
    </row>
    <row r="6471" spans="1:5" x14ac:dyDescent="0.2">
      <c r="A6471" s="125">
        <v>6410</v>
      </c>
      <c r="B6471" s="1820"/>
      <c r="D6471" s="2" t="str">
        <f t="shared" si="100"/>
        <v>OK</v>
      </c>
      <c r="E6471" s="4" t="s">
        <v>1991</v>
      </c>
    </row>
    <row r="6472" spans="1:5" x14ac:dyDescent="0.2">
      <c r="A6472" s="125">
        <v>6411</v>
      </c>
      <c r="B6472" s="1820"/>
      <c r="D6472" s="2" t="str">
        <f t="shared" si="100"/>
        <v>OK</v>
      </c>
      <c r="E6472" s="4" t="s">
        <v>1991</v>
      </c>
    </row>
    <row r="6473" spans="1:5" x14ac:dyDescent="0.2">
      <c r="A6473" s="125">
        <v>6412</v>
      </c>
      <c r="B6473" s="1820"/>
      <c r="D6473" s="2" t="str">
        <f t="shared" si="100"/>
        <v>OK</v>
      </c>
      <c r="E6473" s="4" t="s">
        <v>1991</v>
      </c>
    </row>
    <row r="6474" spans="1:5" x14ac:dyDescent="0.2">
      <c r="A6474" s="125">
        <v>6413</v>
      </c>
      <c r="B6474" s="1820"/>
      <c r="D6474" s="2" t="str">
        <f t="shared" si="100"/>
        <v>OK</v>
      </c>
      <c r="E6474" s="4" t="s">
        <v>1991</v>
      </c>
    </row>
    <row r="6475" spans="1:5" x14ac:dyDescent="0.2">
      <c r="A6475" s="125">
        <v>6414</v>
      </c>
      <c r="B6475" s="1820"/>
      <c r="D6475" s="2" t="str">
        <f t="shared" si="100"/>
        <v>OK</v>
      </c>
      <c r="E6475" s="4" t="s">
        <v>1991</v>
      </c>
    </row>
    <row r="6476" spans="1:5" x14ac:dyDescent="0.2">
      <c r="A6476" s="125">
        <v>6415</v>
      </c>
      <c r="B6476" s="1820"/>
      <c r="D6476" s="2" t="str">
        <f t="shared" si="100"/>
        <v>OK</v>
      </c>
      <c r="E6476" s="4" t="s">
        <v>1991</v>
      </c>
    </row>
    <row r="6477" spans="1:5" x14ac:dyDescent="0.2">
      <c r="A6477" s="125">
        <v>6416</v>
      </c>
      <c r="B6477" s="1820"/>
      <c r="D6477" s="2" t="str">
        <f t="shared" si="100"/>
        <v>OK</v>
      </c>
      <c r="E6477" s="4" t="s">
        <v>1991</v>
      </c>
    </row>
    <row r="6478" spans="1:5" x14ac:dyDescent="0.2">
      <c r="A6478" s="125">
        <v>6417</v>
      </c>
      <c r="B6478" s="1820"/>
      <c r="D6478" s="2" t="str">
        <f t="shared" si="100"/>
        <v>OK</v>
      </c>
      <c r="E6478" s="4" t="s">
        <v>1991</v>
      </c>
    </row>
    <row r="6479" spans="1:5" x14ac:dyDescent="0.2">
      <c r="A6479" s="125">
        <v>6418</v>
      </c>
      <c r="B6479" s="1820"/>
      <c r="D6479" s="2" t="str">
        <f t="shared" si="100"/>
        <v>OK</v>
      </c>
      <c r="E6479" s="4" t="s">
        <v>1991</v>
      </c>
    </row>
    <row r="6480" spans="1:5" x14ac:dyDescent="0.2">
      <c r="A6480" s="125">
        <v>6419</v>
      </c>
      <c r="B6480" s="1820"/>
      <c r="D6480" s="2" t="str">
        <f t="shared" si="100"/>
        <v>OK</v>
      </c>
      <c r="E6480" s="4" t="s">
        <v>1991</v>
      </c>
    </row>
    <row r="6481" spans="1:5" x14ac:dyDescent="0.2">
      <c r="A6481" s="125">
        <v>6420</v>
      </c>
      <c r="B6481" s="1820"/>
      <c r="D6481" s="2" t="str">
        <f t="shared" si="100"/>
        <v>OK</v>
      </c>
      <c r="E6481" s="4" t="s">
        <v>1991</v>
      </c>
    </row>
    <row r="6482" spans="1:5" x14ac:dyDescent="0.2">
      <c r="A6482" s="125">
        <v>6421</v>
      </c>
      <c r="B6482" s="1820"/>
      <c r="D6482" s="2" t="str">
        <f t="shared" si="100"/>
        <v>OK</v>
      </c>
      <c r="E6482" s="4" t="s">
        <v>1991</v>
      </c>
    </row>
    <row r="6483" spans="1:5" x14ac:dyDescent="0.2">
      <c r="A6483" s="125">
        <v>6422</v>
      </c>
      <c r="B6483" s="1820"/>
      <c r="D6483" s="2" t="str">
        <f t="shared" si="100"/>
        <v>OK</v>
      </c>
      <c r="E6483" s="4" t="s">
        <v>1991</v>
      </c>
    </row>
    <row r="6484" spans="1:5" x14ac:dyDescent="0.2">
      <c r="A6484" s="125">
        <v>6423</v>
      </c>
      <c r="B6484" s="1820"/>
      <c r="D6484" s="2" t="str">
        <f t="shared" si="100"/>
        <v>OK</v>
      </c>
      <c r="E6484" s="4" t="s">
        <v>1991</v>
      </c>
    </row>
    <row r="6485" spans="1:5" x14ac:dyDescent="0.2">
      <c r="A6485" s="125">
        <v>6424</v>
      </c>
      <c r="B6485" s="1820"/>
      <c r="D6485" s="2" t="str">
        <f t="shared" si="100"/>
        <v>OK</v>
      </c>
      <c r="E6485" s="4" t="s">
        <v>1991</v>
      </c>
    </row>
    <row r="6486" spans="1:5" x14ac:dyDescent="0.2">
      <c r="A6486" s="125">
        <v>6425</v>
      </c>
      <c r="B6486" s="1820"/>
      <c r="D6486" s="2" t="str">
        <f t="shared" si="100"/>
        <v>OK</v>
      </c>
      <c r="E6486" s="4" t="s">
        <v>1991</v>
      </c>
    </row>
    <row r="6487" spans="1:5" x14ac:dyDescent="0.2">
      <c r="A6487" s="125">
        <v>6426</v>
      </c>
      <c r="B6487" s="1820"/>
      <c r="D6487" s="2" t="str">
        <f t="shared" si="100"/>
        <v>OK</v>
      </c>
      <c r="E6487" s="4" t="s">
        <v>1991</v>
      </c>
    </row>
    <row r="6488" spans="1:5" x14ac:dyDescent="0.2">
      <c r="A6488" s="125">
        <v>6427</v>
      </c>
      <c r="B6488" s="1820"/>
      <c r="D6488" s="2" t="str">
        <f t="shared" si="100"/>
        <v>OK</v>
      </c>
      <c r="E6488" s="4" t="s">
        <v>1991</v>
      </c>
    </row>
    <row r="6489" spans="1:5" x14ac:dyDescent="0.2">
      <c r="A6489" s="125">
        <v>6428</v>
      </c>
      <c r="B6489" s="1820"/>
      <c r="D6489" s="2" t="str">
        <f t="shared" si="100"/>
        <v>OK</v>
      </c>
      <c r="E6489" s="4" t="s">
        <v>1991</v>
      </c>
    </row>
    <row r="6490" spans="1:5" x14ac:dyDescent="0.2">
      <c r="A6490" s="125">
        <v>6429</v>
      </c>
      <c r="B6490" s="1820"/>
      <c r="D6490" s="2" t="str">
        <f t="shared" si="100"/>
        <v>OK</v>
      </c>
      <c r="E6490" s="4" t="s">
        <v>1991</v>
      </c>
    </row>
    <row r="6491" spans="1:5" x14ac:dyDescent="0.2">
      <c r="A6491" s="125">
        <v>6430</v>
      </c>
      <c r="B6491" s="1820"/>
      <c r="D6491" s="2" t="str">
        <f t="shared" si="100"/>
        <v>OK</v>
      </c>
      <c r="E6491" s="4" t="s">
        <v>1991</v>
      </c>
    </row>
    <row r="6492" spans="1:5" x14ac:dyDescent="0.2">
      <c r="A6492" s="125">
        <v>6431</v>
      </c>
      <c r="B6492" s="1820"/>
      <c r="D6492" s="2" t="str">
        <f t="shared" si="100"/>
        <v>OK</v>
      </c>
      <c r="E6492" s="4" t="s">
        <v>1991</v>
      </c>
    </row>
    <row r="6493" spans="1:5" x14ac:dyDescent="0.2">
      <c r="A6493" s="125">
        <v>6432</v>
      </c>
      <c r="B6493" s="1820"/>
      <c r="D6493" s="2" t="str">
        <f t="shared" si="100"/>
        <v>OK</v>
      </c>
      <c r="E6493" s="4" t="s">
        <v>1991</v>
      </c>
    </row>
    <row r="6494" spans="1:5" x14ac:dyDescent="0.2">
      <c r="A6494" s="125">
        <v>6433</v>
      </c>
      <c r="B6494" s="1820"/>
      <c r="D6494" s="2" t="str">
        <f t="shared" si="100"/>
        <v>OK</v>
      </c>
      <c r="E6494" s="4" t="s">
        <v>1991</v>
      </c>
    </row>
    <row r="6495" spans="1:5" x14ac:dyDescent="0.2">
      <c r="A6495" s="125">
        <v>6434</v>
      </c>
      <c r="B6495" s="1820"/>
      <c r="D6495" s="2" t="str">
        <f t="shared" si="100"/>
        <v>OK</v>
      </c>
      <c r="E6495" s="4" t="s">
        <v>1991</v>
      </c>
    </row>
    <row r="6496" spans="1:5" x14ac:dyDescent="0.2">
      <c r="A6496" s="125">
        <v>6435</v>
      </c>
      <c r="B6496" s="1820"/>
      <c r="D6496" s="2" t="str">
        <f t="shared" si="100"/>
        <v>OK</v>
      </c>
      <c r="E6496" s="4" t="s">
        <v>1991</v>
      </c>
    </row>
    <row r="6497" spans="1:5" x14ac:dyDescent="0.2">
      <c r="A6497" s="125">
        <v>6436</v>
      </c>
      <c r="B6497" s="1820"/>
      <c r="D6497" s="2" t="str">
        <f t="shared" si="100"/>
        <v>OK</v>
      </c>
      <c r="E6497" s="4" t="s">
        <v>1991</v>
      </c>
    </row>
    <row r="6498" spans="1:5" x14ac:dyDescent="0.2">
      <c r="A6498" s="125">
        <v>6437</v>
      </c>
      <c r="B6498" s="1820"/>
      <c r="D6498" s="2" t="str">
        <f t="shared" si="100"/>
        <v>OK</v>
      </c>
      <c r="E6498" s="4" t="s">
        <v>1991</v>
      </c>
    </row>
    <row r="6499" spans="1:5" x14ac:dyDescent="0.2">
      <c r="A6499" s="125">
        <v>6438</v>
      </c>
      <c r="B6499" s="1820"/>
      <c r="D6499" s="2" t="str">
        <f t="shared" si="100"/>
        <v>OK</v>
      </c>
      <c r="E6499" s="4" t="s">
        <v>1991</v>
      </c>
    </row>
    <row r="6500" spans="1:5" x14ac:dyDescent="0.2">
      <c r="A6500" s="125">
        <v>6439</v>
      </c>
      <c r="B6500" s="1820"/>
      <c r="D6500" s="2" t="str">
        <f t="shared" si="100"/>
        <v>OK</v>
      </c>
      <c r="E6500" s="4" t="s">
        <v>1991</v>
      </c>
    </row>
    <row r="6501" spans="1:5" x14ac:dyDescent="0.2">
      <c r="A6501" s="125">
        <v>6440</v>
      </c>
      <c r="B6501" s="1820"/>
      <c r="D6501" s="2" t="str">
        <f t="shared" si="100"/>
        <v>OK</v>
      </c>
      <c r="E6501" s="4" t="s">
        <v>1991</v>
      </c>
    </row>
    <row r="6502" spans="1:5" x14ac:dyDescent="0.2">
      <c r="A6502" s="125">
        <v>6441</v>
      </c>
      <c r="B6502" s="1820"/>
      <c r="D6502" s="2" t="str">
        <f t="shared" si="100"/>
        <v>OK</v>
      </c>
      <c r="E6502" s="4" t="s">
        <v>1991</v>
      </c>
    </row>
    <row r="6503" spans="1:5" x14ac:dyDescent="0.2">
      <c r="A6503" s="125">
        <v>6442</v>
      </c>
      <c r="B6503" s="1820"/>
      <c r="D6503" s="2" t="str">
        <f t="shared" si="100"/>
        <v>OK</v>
      </c>
      <c r="E6503" s="4" t="s">
        <v>1991</v>
      </c>
    </row>
    <row r="6504" spans="1:5" x14ac:dyDescent="0.2">
      <c r="A6504" s="125">
        <v>6443</v>
      </c>
      <c r="B6504" s="1820"/>
      <c r="D6504" s="2" t="str">
        <f t="shared" si="100"/>
        <v>OK</v>
      </c>
      <c r="E6504" s="4" t="s">
        <v>1991</v>
      </c>
    </row>
    <row r="6505" spans="1:5" x14ac:dyDescent="0.2">
      <c r="A6505" s="125">
        <v>6444</v>
      </c>
      <c r="B6505" s="1820"/>
      <c r="D6505" s="2" t="str">
        <f t="shared" si="100"/>
        <v>OK</v>
      </c>
      <c r="E6505" s="4" t="s">
        <v>1991</v>
      </c>
    </row>
    <row r="6506" spans="1:5" x14ac:dyDescent="0.2">
      <c r="A6506" s="125">
        <v>6445</v>
      </c>
      <c r="B6506" s="1820"/>
      <c r="D6506" s="2" t="str">
        <f t="shared" si="100"/>
        <v>OK</v>
      </c>
      <c r="E6506" s="4" t="s">
        <v>1991</v>
      </c>
    </row>
    <row r="6507" spans="1:5" x14ac:dyDescent="0.2">
      <c r="A6507" s="125">
        <v>6446</v>
      </c>
      <c r="B6507" s="1820"/>
      <c r="D6507" s="2" t="str">
        <f t="shared" si="100"/>
        <v>OK</v>
      </c>
      <c r="E6507" s="4" t="s">
        <v>1991</v>
      </c>
    </row>
    <row r="6508" spans="1:5" x14ac:dyDescent="0.2">
      <c r="A6508" s="125">
        <v>6447</v>
      </c>
      <c r="B6508" s="1820"/>
      <c r="D6508" s="2" t="str">
        <f t="shared" si="100"/>
        <v>OK</v>
      </c>
      <c r="E6508" s="4" t="s">
        <v>1991</v>
      </c>
    </row>
    <row r="6509" spans="1:5" x14ac:dyDescent="0.2">
      <c r="A6509" s="125">
        <v>6448</v>
      </c>
      <c r="B6509" s="1820"/>
      <c r="D6509" s="2" t="str">
        <f t="shared" si="100"/>
        <v>OK</v>
      </c>
      <c r="E6509" s="4" t="s">
        <v>1991</v>
      </c>
    </row>
    <row r="6510" spans="1:5" x14ac:dyDescent="0.2">
      <c r="A6510" s="125">
        <v>6449</v>
      </c>
      <c r="B6510" s="1820"/>
      <c r="D6510" s="2" t="str">
        <f t="shared" si="100"/>
        <v>OK</v>
      </c>
      <c r="E6510" s="4" t="s">
        <v>1991</v>
      </c>
    </row>
    <row r="6511" spans="1:5" x14ac:dyDescent="0.2">
      <c r="A6511" s="125">
        <v>6450</v>
      </c>
      <c r="B6511" s="1820"/>
      <c r="D6511" s="2" t="str">
        <f t="shared" si="100"/>
        <v>OK</v>
      </c>
      <c r="E6511" s="4" t="s">
        <v>1991</v>
      </c>
    </row>
    <row r="6512" spans="1:5" x14ac:dyDescent="0.2">
      <c r="A6512" s="125">
        <v>6451</v>
      </c>
      <c r="B6512" s="1820"/>
      <c r="D6512" s="2" t="str">
        <f t="shared" si="100"/>
        <v>OK</v>
      </c>
      <c r="E6512" s="4" t="s">
        <v>1991</v>
      </c>
    </row>
    <row r="6513" spans="1:5" x14ac:dyDescent="0.2">
      <c r="A6513" s="125">
        <v>6452</v>
      </c>
      <c r="B6513" s="1820"/>
      <c r="D6513" s="2" t="str">
        <f t="shared" si="100"/>
        <v>OK</v>
      </c>
      <c r="E6513" s="4" t="s">
        <v>1991</v>
      </c>
    </row>
    <row r="6514" spans="1:5" x14ac:dyDescent="0.2">
      <c r="A6514" s="125">
        <v>6453</v>
      </c>
      <c r="B6514" s="1820"/>
      <c r="D6514" s="2" t="str">
        <f t="shared" si="100"/>
        <v>OK</v>
      </c>
      <c r="E6514" s="4" t="s">
        <v>1991</v>
      </c>
    </row>
    <row r="6515" spans="1:5" x14ac:dyDescent="0.2">
      <c r="A6515" s="125">
        <v>6454</v>
      </c>
      <c r="B6515" s="1820"/>
      <c r="D6515" s="2" t="str">
        <f t="shared" si="100"/>
        <v>OK</v>
      </c>
      <c r="E6515" s="4" t="s">
        <v>1991</v>
      </c>
    </row>
    <row r="6516" spans="1:5" x14ac:dyDescent="0.2">
      <c r="A6516" s="125">
        <v>6455</v>
      </c>
      <c r="B6516" s="1820"/>
      <c r="D6516" s="2" t="str">
        <f t="shared" si="100"/>
        <v>OK</v>
      </c>
      <c r="E6516" s="4" t="s">
        <v>1991</v>
      </c>
    </row>
    <row r="6517" spans="1:5" x14ac:dyDescent="0.2">
      <c r="A6517" s="125">
        <v>6456</v>
      </c>
      <c r="B6517" s="1820"/>
      <c r="D6517" s="2" t="str">
        <f t="shared" si="100"/>
        <v>OK</v>
      </c>
      <c r="E6517" s="4" t="s">
        <v>1991</v>
      </c>
    </row>
    <row r="6518" spans="1:5" x14ac:dyDescent="0.2">
      <c r="A6518" s="125">
        <v>6457</v>
      </c>
      <c r="B6518" s="1820"/>
      <c r="D6518" s="2" t="str">
        <f t="shared" si="100"/>
        <v>OK</v>
      </c>
      <c r="E6518" s="4" t="s">
        <v>1991</v>
      </c>
    </row>
    <row r="6519" spans="1:5" x14ac:dyDescent="0.2">
      <c r="A6519" s="125">
        <v>6458</v>
      </c>
      <c r="B6519" s="1820"/>
      <c r="D6519" s="2" t="str">
        <f t="shared" si="100"/>
        <v>OK</v>
      </c>
      <c r="E6519" s="4" t="s">
        <v>1991</v>
      </c>
    </row>
    <row r="6520" spans="1:5" x14ac:dyDescent="0.2">
      <c r="A6520" s="125">
        <v>6459</v>
      </c>
      <c r="B6520" s="1820"/>
      <c r="D6520" s="2" t="str">
        <f t="shared" si="100"/>
        <v>OK</v>
      </c>
      <c r="E6520" s="4" t="s">
        <v>1991</v>
      </c>
    </row>
    <row r="6521" spans="1:5" x14ac:dyDescent="0.2">
      <c r="A6521" s="125">
        <v>6460</v>
      </c>
      <c r="B6521" s="1820"/>
      <c r="D6521" s="2" t="str">
        <f t="shared" si="100"/>
        <v>OK</v>
      </c>
      <c r="E6521" s="4" t="s">
        <v>1991</v>
      </c>
    </row>
    <row r="6522" spans="1:5" x14ac:dyDescent="0.2">
      <c r="A6522" s="125">
        <v>6461</v>
      </c>
      <c r="B6522" s="1820"/>
      <c r="D6522" s="2" t="str">
        <f t="shared" si="100"/>
        <v>OK</v>
      </c>
      <c r="E6522" s="4" t="s">
        <v>1991</v>
      </c>
    </row>
    <row r="6523" spans="1:5" x14ac:dyDescent="0.2">
      <c r="A6523" s="125">
        <v>6462</v>
      </c>
      <c r="B6523" s="1820"/>
      <c r="D6523" s="2" t="str">
        <f t="shared" si="100"/>
        <v>OK</v>
      </c>
      <c r="E6523" s="4" t="s">
        <v>1991</v>
      </c>
    </row>
    <row r="6524" spans="1:5" x14ac:dyDescent="0.2">
      <c r="A6524" s="125">
        <v>6463</v>
      </c>
      <c r="B6524" s="1820"/>
      <c r="D6524" s="2" t="str">
        <f t="shared" si="100"/>
        <v>OK</v>
      </c>
      <c r="E6524" s="4" t="s">
        <v>1991</v>
      </c>
    </row>
    <row r="6525" spans="1:5" x14ac:dyDescent="0.2">
      <c r="A6525" s="125">
        <v>6464</v>
      </c>
      <c r="B6525" s="1820"/>
      <c r="D6525" s="2" t="str">
        <f t="shared" si="100"/>
        <v>OK</v>
      </c>
      <c r="E6525" s="4" t="s">
        <v>1991</v>
      </c>
    </row>
    <row r="6526" spans="1:5" x14ac:dyDescent="0.2">
      <c r="A6526" s="125">
        <v>6465</v>
      </c>
      <c r="B6526" s="1820"/>
      <c r="D6526" s="2" t="str">
        <f t="shared" si="100"/>
        <v>OK</v>
      </c>
      <c r="E6526" s="4" t="s">
        <v>1991</v>
      </c>
    </row>
    <row r="6527" spans="1:5" x14ac:dyDescent="0.2">
      <c r="A6527" s="125">
        <v>6466</v>
      </c>
      <c r="B6527" s="1820"/>
      <c r="D6527" s="2" t="str">
        <f t="shared" ref="D6527:D6590" si="101">IF(ISBLANK(B6527),"OK",IF(A6527-B6527=0,"OK","Error?"))</f>
        <v>OK</v>
      </c>
      <c r="E6527" s="4" t="s">
        <v>1991</v>
      </c>
    </row>
    <row r="6528" spans="1:5" x14ac:dyDescent="0.2">
      <c r="A6528" s="125">
        <v>6467</v>
      </c>
      <c r="B6528" s="1820"/>
      <c r="D6528" s="2" t="str">
        <f t="shared" si="101"/>
        <v>OK</v>
      </c>
      <c r="E6528" s="4" t="s">
        <v>1991</v>
      </c>
    </row>
    <row r="6529" spans="1:5" x14ac:dyDescent="0.2">
      <c r="A6529" s="125">
        <v>6468</v>
      </c>
      <c r="B6529" s="1820"/>
      <c r="D6529" s="2" t="str">
        <f t="shared" si="101"/>
        <v>OK</v>
      </c>
      <c r="E6529" s="4" t="s">
        <v>1991</v>
      </c>
    </row>
    <row r="6530" spans="1:5" x14ac:dyDescent="0.2">
      <c r="A6530" s="125">
        <v>6469</v>
      </c>
      <c r="B6530" s="1820"/>
      <c r="D6530" s="2" t="str">
        <f t="shared" si="101"/>
        <v>OK</v>
      </c>
      <c r="E6530" s="4" t="s">
        <v>1991</v>
      </c>
    </row>
    <row r="6531" spans="1:5" x14ac:dyDescent="0.2">
      <c r="A6531" s="125">
        <v>6470</v>
      </c>
      <c r="B6531" s="1820"/>
      <c r="D6531" s="2" t="str">
        <f t="shared" si="101"/>
        <v>OK</v>
      </c>
      <c r="E6531" s="4" t="s">
        <v>1991</v>
      </c>
    </row>
    <row r="6532" spans="1:5" x14ac:dyDescent="0.2">
      <c r="A6532" s="125">
        <v>6471</v>
      </c>
      <c r="B6532" s="1820"/>
      <c r="D6532" s="2" t="str">
        <f t="shared" si="101"/>
        <v>OK</v>
      </c>
      <c r="E6532" s="4" t="s">
        <v>1991</v>
      </c>
    </row>
    <row r="6533" spans="1:5" x14ac:dyDescent="0.2">
      <c r="A6533" s="125">
        <v>6472</v>
      </c>
      <c r="B6533" s="1820"/>
      <c r="D6533" s="2" t="str">
        <f t="shared" si="101"/>
        <v>OK</v>
      </c>
      <c r="E6533" s="4" t="s">
        <v>1991</v>
      </c>
    </row>
    <row r="6534" spans="1:5" x14ac:dyDescent="0.2">
      <c r="A6534" s="125">
        <v>6473</v>
      </c>
      <c r="B6534" s="1820"/>
      <c r="D6534" s="2" t="str">
        <f t="shared" si="101"/>
        <v>OK</v>
      </c>
      <c r="E6534" s="4" t="s">
        <v>1991</v>
      </c>
    </row>
    <row r="6535" spans="1:5" x14ac:dyDescent="0.2">
      <c r="A6535" s="125">
        <v>6474</v>
      </c>
      <c r="B6535" s="1820"/>
      <c r="D6535" s="2" t="str">
        <f t="shared" si="101"/>
        <v>OK</v>
      </c>
      <c r="E6535" s="4" t="s">
        <v>1991</v>
      </c>
    </row>
    <row r="6536" spans="1:5" x14ac:dyDescent="0.2">
      <c r="A6536" s="125">
        <v>6475</v>
      </c>
      <c r="B6536" s="1820"/>
      <c r="D6536" s="2" t="str">
        <f t="shared" si="101"/>
        <v>OK</v>
      </c>
      <c r="E6536" s="4" t="s">
        <v>1991</v>
      </c>
    </row>
    <row r="6537" spans="1:5" x14ac:dyDescent="0.2">
      <c r="A6537" s="125">
        <v>6476</v>
      </c>
      <c r="B6537" s="1820"/>
      <c r="D6537" s="2" t="str">
        <f t="shared" si="101"/>
        <v>OK</v>
      </c>
      <c r="E6537" s="4" t="s">
        <v>1991</v>
      </c>
    </row>
    <row r="6538" spans="1:5" x14ac:dyDescent="0.2">
      <c r="A6538" s="125">
        <v>6477</v>
      </c>
      <c r="B6538" s="1820"/>
      <c r="D6538" s="2" t="str">
        <f t="shared" si="101"/>
        <v>OK</v>
      </c>
      <c r="E6538" s="4" t="s">
        <v>1991</v>
      </c>
    </row>
    <row r="6539" spans="1:5" x14ac:dyDescent="0.2">
      <c r="A6539" s="125">
        <v>6478</v>
      </c>
      <c r="B6539" s="1820"/>
      <c r="D6539" s="2" t="str">
        <f t="shared" si="101"/>
        <v>OK</v>
      </c>
      <c r="E6539" s="4" t="s">
        <v>1991</v>
      </c>
    </row>
    <row r="6540" spans="1:5" x14ac:dyDescent="0.2">
      <c r="A6540" s="125">
        <v>6479</v>
      </c>
      <c r="B6540" s="1820"/>
      <c r="D6540" s="2" t="str">
        <f t="shared" si="101"/>
        <v>OK</v>
      </c>
      <c r="E6540" s="4" t="s">
        <v>1991</v>
      </c>
    </row>
    <row r="6541" spans="1:5" x14ac:dyDescent="0.2">
      <c r="A6541" s="125">
        <v>6480</v>
      </c>
      <c r="B6541" s="1820"/>
      <c r="D6541" s="2" t="str">
        <f t="shared" si="101"/>
        <v>OK</v>
      </c>
      <c r="E6541" s="4" t="s">
        <v>1991</v>
      </c>
    </row>
    <row r="6542" spans="1:5" x14ac:dyDescent="0.2">
      <c r="A6542" s="125">
        <v>6481</v>
      </c>
      <c r="B6542" s="1820"/>
      <c r="D6542" s="2" t="str">
        <f t="shared" si="101"/>
        <v>OK</v>
      </c>
      <c r="E6542" s="4" t="s">
        <v>1991</v>
      </c>
    </row>
    <row r="6543" spans="1:5" x14ac:dyDescent="0.2">
      <c r="A6543" s="125">
        <v>6482</v>
      </c>
      <c r="B6543" s="1820"/>
      <c r="D6543" s="2" t="str">
        <f t="shared" si="101"/>
        <v>OK</v>
      </c>
      <c r="E6543" s="4" t="s">
        <v>1991</v>
      </c>
    </row>
    <row r="6544" spans="1:5" x14ac:dyDescent="0.2">
      <c r="A6544" s="125">
        <v>6483</v>
      </c>
      <c r="B6544" s="1820"/>
      <c r="D6544" s="2" t="str">
        <f t="shared" si="101"/>
        <v>OK</v>
      </c>
      <c r="E6544" s="4" t="s">
        <v>1991</v>
      </c>
    </row>
    <row r="6545" spans="1:5" x14ac:dyDescent="0.2">
      <c r="A6545" s="125">
        <v>6484</v>
      </c>
      <c r="B6545" s="1820"/>
      <c r="D6545" s="2" t="str">
        <f t="shared" si="101"/>
        <v>OK</v>
      </c>
      <c r="E6545" s="4" t="s">
        <v>1991</v>
      </c>
    </row>
    <row r="6546" spans="1:5" x14ac:dyDescent="0.2">
      <c r="A6546" s="125">
        <v>6485</v>
      </c>
      <c r="B6546" s="1820"/>
      <c r="D6546" s="2" t="str">
        <f t="shared" si="101"/>
        <v>OK</v>
      </c>
      <c r="E6546" s="4" t="s">
        <v>1991</v>
      </c>
    </row>
    <row r="6547" spans="1:5" x14ac:dyDescent="0.2">
      <c r="A6547" s="125">
        <v>6486</v>
      </c>
      <c r="B6547" s="1820"/>
      <c r="D6547" s="2" t="str">
        <f t="shared" si="101"/>
        <v>OK</v>
      </c>
      <c r="E6547" s="4" t="s">
        <v>1991</v>
      </c>
    </row>
    <row r="6548" spans="1:5" x14ac:dyDescent="0.2">
      <c r="A6548" s="125">
        <v>6487</v>
      </c>
      <c r="B6548" s="1820"/>
      <c r="D6548" s="2" t="str">
        <f t="shared" si="101"/>
        <v>OK</v>
      </c>
      <c r="E6548" s="4" t="s">
        <v>1991</v>
      </c>
    </row>
    <row r="6549" spans="1:5" x14ac:dyDescent="0.2">
      <c r="A6549" s="125">
        <v>6488</v>
      </c>
      <c r="B6549" s="1820"/>
      <c r="D6549" s="2" t="str">
        <f t="shared" si="101"/>
        <v>OK</v>
      </c>
      <c r="E6549" s="4" t="s">
        <v>1991</v>
      </c>
    </row>
    <row r="6550" spans="1:5" x14ac:dyDescent="0.2">
      <c r="A6550" s="125">
        <v>6489</v>
      </c>
      <c r="B6550" s="1820"/>
      <c r="D6550" s="2" t="str">
        <f t="shared" si="101"/>
        <v>OK</v>
      </c>
      <c r="E6550" s="4" t="s">
        <v>1991</v>
      </c>
    </row>
    <row r="6551" spans="1:5" x14ac:dyDescent="0.2">
      <c r="A6551" s="125">
        <v>6490</v>
      </c>
      <c r="B6551" s="1820"/>
      <c r="D6551" s="2" t="str">
        <f t="shared" si="101"/>
        <v>OK</v>
      </c>
      <c r="E6551" s="4" t="s">
        <v>1991</v>
      </c>
    </row>
    <row r="6552" spans="1:5" x14ac:dyDescent="0.2">
      <c r="A6552" s="125">
        <v>6491</v>
      </c>
      <c r="B6552" s="1820"/>
      <c r="D6552" s="2" t="str">
        <f t="shared" si="101"/>
        <v>OK</v>
      </c>
      <c r="E6552" s="4" t="s">
        <v>1991</v>
      </c>
    </row>
    <row r="6553" spans="1:5" x14ac:dyDescent="0.2">
      <c r="A6553" s="125">
        <v>6492</v>
      </c>
      <c r="B6553" s="1820"/>
      <c r="D6553" s="2" t="str">
        <f t="shared" si="101"/>
        <v>OK</v>
      </c>
      <c r="E6553" s="4" t="s">
        <v>1991</v>
      </c>
    </row>
    <row r="6554" spans="1:5" x14ac:dyDescent="0.2">
      <c r="A6554" s="125">
        <v>6493</v>
      </c>
      <c r="B6554" s="1820"/>
      <c r="D6554" s="2" t="str">
        <f t="shared" si="101"/>
        <v>OK</v>
      </c>
      <c r="E6554" s="4" t="s">
        <v>1991</v>
      </c>
    </row>
    <row r="6555" spans="1:5" x14ac:dyDescent="0.2">
      <c r="A6555" s="125">
        <v>6494</v>
      </c>
      <c r="B6555" s="1820"/>
      <c r="D6555" s="2" t="str">
        <f t="shared" si="101"/>
        <v>OK</v>
      </c>
      <c r="E6555" s="4" t="s">
        <v>1991</v>
      </c>
    </row>
    <row r="6556" spans="1:5" x14ac:dyDescent="0.2">
      <c r="A6556" s="125">
        <v>6495</v>
      </c>
      <c r="B6556" s="1820"/>
      <c r="D6556" s="2" t="str">
        <f t="shared" si="101"/>
        <v>OK</v>
      </c>
      <c r="E6556" s="4" t="s">
        <v>1991</v>
      </c>
    </row>
    <row r="6557" spans="1:5" x14ac:dyDescent="0.2">
      <c r="A6557" s="125">
        <v>6496</v>
      </c>
      <c r="B6557" s="1820"/>
      <c r="D6557" s="2" t="str">
        <f t="shared" si="101"/>
        <v>OK</v>
      </c>
      <c r="E6557" s="4" t="s">
        <v>1991</v>
      </c>
    </row>
    <row r="6558" spans="1:5" x14ac:dyDescent="0.2">
      <c r="A6558" s="125">
        <v>6497</v>
      </c>
      <c r="B6558" s="1820"/>
      <c r="D6558" s="2" t="str">
        <f t="shared" si="101"/>
        <v>OK</v>
      </c>
      <c r="E6558" s="4" t="s">
        <v>1991</v>
      </c>
    </row>
    <row r="6559" spans="1:5" x14ac:dyDescent="0.2">
      <c r="A6559" s="125">
        <v>6498</v>
      </c>
      <c r="B6559" s="1820"/>
      <c r="D6559" s="2" t="str">
        <f t="shared" si="101"/>
        <v>OK</v>
      </c>
      <c r="E6559" s="4" t="s">
        <v>1991</v>
      </c>
    </row>
    <row r="6560" spans="1:5" x14ac:dyDescent="0.2">
      <c r="A6560" s="125">
        <v>6499</v>
      </c>
      <c r="B6560" s="1820"/>
      <c r="D6560" s="2" t="str">
        <f t="shared" si="101"/>
        <v>OK</v>
      </c>
      <c r="E6560" s="4" t="s">
        <v>1991</v>
      </c>
    </row>
    <row r="6561" spans="1:5" x14ac:dyDescent="0.2">
      <c r="A6561" s="125">
        <v>6500</v>
      </c>
      <c r="B6561" s="1820"/>
      <c r="D6561" s="2" t="str">
        <f t="shared" si="101"/>
        <v>OK</v>
      </c>
      <c r="E6561" s="4" t="s">
        <v>1991</v>
      </c>
    </row>
    <row r="6562" spans="1:5" x14ac:dyDescent="0.2">
      <c r="A6562" s="125">
        <v>6501</v>
      </c>
      <c r="B6562" s="1820"/>
      <c r="D6562" s="2" t="str">
        <f t="shared" si="101"/>
        <v>OK</v>
      </c>
      <c r="E6562" s="4" t="s">
        <v>1991</v>
      </c>
    </row>
    <row r="6563" spans="1:5" x14ac:dyDescent="0.2">
      <c r="A6563" s="125">
        <v>6502</v>
      </c>
      <c r="B6563" s="1820"/>
      <c r="D6563" s="2" t="str">
        <f t="shared" si="101"/>
        <v>OK</v>
      </c>
      <c r="E6563" s="4" t="s">
        <v>1991</v>
      </c>
    </row>
    <row r="6564" spans="1:5" x14ac:dyDescent="0.2">
      <c r="A6564" s="125">
        <v>6503</v>
      </c>
      <c r="B6564" s="1820"/>
      <c r="D6564" s="2" t="str">
        <f t="shared" si="101"/>
        <v>OK</v>
      </c>
      <c r="E6564" s="4" t="s">
        <v>1991</v>
      </c>
    </row>
    <row r="6565" spans="1:5" x14ac:dyDescent="0.2">
      <c r="A6565" s="125">
        <v>6504</v>
      </c>
      <c r="B6565" s="1820"/>
      <c r="D6565" s="2" t="str">
        <f t="shared" si="101"/>
        <v>OK</v>
      </c>
      <c r="E6565" s="4" t="s">
        <v>1991</v>
      </c>
    </row>
    <row r="6566" spans="1:5" x14ac:dyDescent="0.2">
      <c r="A6566" s="125">
        <v>6505</v>
      </c>
      <c r="B6566" s="1820"/>
      <c r="D6566" s="2" t="str">
        <f t="shared" si="101"/>
        <v>OK</v>
      </c>
      <c r="E6566" s="4" t="s">
        <v>1991</v>
      </c>
    </row>
    <row r="6567" spans="1:5" x14ac:dyDescent="0.2">
      <c r="A6567" s="125">
        <v>6506</v>
      </c>
      <c r="B6567" s="1820"/>
      <c r="D6567" s="2" t="str">
        <f t="shared" si="101"/>
        <v>OK</v>
      </c>
      <c r="E6567" s="4" t="s">
        <v>1991</v>
      </c>
    </row>
    <row r="6568" spans="1:5" x14ac:dyDescent="0.2">
      <c r="A6568" s="125">
        <v>6507</v>
      </c>
      <c r="B6568" s="1820"/>
      <c r="D6568" s="2" t="str">
        <f t="shared" si="101"/>
        <v>OK</v>
      </c>
      <c r="E6568" s="4" t="s">
        <v>1991</v>
      </c>
    </row>
    <row r="6569" spans="1:5" x14ac:dyDescent="0.2">
      <c r="A6569" s="125">
        <v>6508</v>
      </c>
      <c r="B6569" s="1820"/>
      <c r="D6569" s="2" t="str">
        <f t="shared" si="101"/>
        <v>OK</v>
      </c>
      <c r="E6569" s="4" t="s">
        <v>1991</v>
      </c>
    </row>
    <row r="6570" spans="1:5" x14ac:dyDescent="0.2">
      <c r="A6570" s="125">
        <v>6509</v>
      </c>
      <c r="B6570" s="1820"/>
      <c r="D6570" s="2" t="str">
        <f t="shared" si="101"/>
        <v>OK</v>
      </c>
      <c r="E6570" s="4" t="s">
        <v>1991</v>
      </c>
    </row>
    <row r="6571" spans="1:5" x14ac:dyDescent="0.2">
      <c r="A6571" s="125">
        <v>6510</v>
      </c>
      <c r="B6571" s="1820"/>
      <c r="D6571" s="2" t="str">
        <f t="shared" si="101"/>
        <v>OK</v>
      </c>
      <c r="E6571" s="4" t="s">
        <v>1991</v>
      </c>
    </row>
    <row r="6572" spans="1:5" x14ac:dyDescent="0.2">
      <c r="A6572" s="125">
        <v>6511</v>
      </c>
      <c r="B6572" s="1820"/>
      <c r="D6572" s="2" t="str">
        <f t="shared" si="101"/>
        <v>OK</v>
      </c>
      <c r="E6572" s="4" t="s">
        <v>1991</v>
      </c>
    </row>
    <row r="6573" spans="1:5" x14ac:dyDescent="0.2">
      <c r="A6573" s="125">
        <v>6512</v>
      </c>
      <c r="B6573" s="1820"/>
      <c r="D6573" s="2" t="str">
        <f t="shared" si="101"/>
        <v>OK</v>
      </c>
      <c r="E6573" s="4" t="s">
        <v>1991</v>
      </c>
    </row>
    <row r="6574" spans="1:5" x14ac:dyDescent="0.2">
      <c r="A6574" s="125">
        <v>6513</v>
      </c>
      <c r="B6574" s="1820"/>
      <c r="D6574" s="2" t="str">
        <f t="shared" si="101"/>
        <v>OK</v>
      </c>
      <c r="E6574" s="4" t="s">
        <v>1991</v>
      </c>
    </row>
    <row r="6575" spans="1:5" x14ac:dyDescent="0.2">
      <c r="A6575" s="125">
        <v>6514</v>
      </c>
      <c r="B6575" s="1820"/>
      <c r="D6575" s="2" t="str">
        <f t="shared" si="101"/>
        <v>OK</v>
      </c>
      <c r="E6575" s="4" t="s">
        <v>1991</v>
      </c>
    </row>
    <row r="6576" spans="1:5" x14ac:dyDescent="0.2">
      <c r="A6576" s="125">
        <v>6515</v>
      </c>
      <c r="B6576" s="1820"/>
      <c r="D6576" s="2" t="str">
        <f t="shared" si="101"/>
        <v>OK</v>
      </c>
      <c r="E6576" s="4" t="s">
        <v>1991</v>
      </c>
    </row>
    <row r="6577" spans="1:5" x14ac:dyDescent="0.2">
      <c r="A6577" s="125">
        <v>6516</v>
      </c>
      <c r="B6577" s="1820"/>
      <c r="D6577" s="2" t="str">
        <f t="shared" si="101"/>
        <v>OK</v>
      </c>
      <c r="E6577" s="4" t="s">
        <v>1991</v>
      </c>
    </row>
    <row r="6578" spans="1:5" x14ac:dyDescent="0.2">
      <c r="A6578" s="125">
        <v>6517</v>
      </c>
      <c r="B6578" s="1820"/>
      <c r="D6578" s="2" t="str">
        <f t="shared" si="101"/>
        <v>OK</v>
      </c>
      <c r="E6578" s="4" t="s">
        <v>1991</v>
      </c>
    </row>
    <row r="6579" spans="1:5" x14ac:dyDescent="0.2">
      <c r="A6579" s="125">
        <v>6518</v>
      </c>
      <c r="B6579" s="1820"/>
      <c r="D6579" s="2" t="str">
        <f t="shared" si="101"/>
        <v>OK</v>
      </c>
      <c r="E6579" s="4" t="s">
        <v>1991</v>
      </c>
    </row>
    <row r="6580" spans="1:5" x14ac:dyDescent="0.2">
      <c r="A6580" s="125">
        <v>6519</v>
      </c>
      <c r="B6580" s="1820"/>
      <c r="D6580" s="2" t="str">
        <f t="shared" si="101"/>
        <v>OK</v>
      </c>
      <c r="E6580" s="4" t="s">
        <v>1991</v>
      </c>
    </row>
    <row r="6581" spans="1:5" x14ac:dyDescent="0.2">
      <c r="A6581" s="125">
        <v>6520</v>
      </c>
      <c r="B6581" s="1820"/>
      <c r="D6581" s="2" t="str">
        <f t="shared" si="101"/>
        <v>OK</v>
      </c>
      <c r="E6581" s="4" t="s">
        <v>1991</v>
      </c>
    </row>
    <row r="6582" spans="1:5" x14ac:dyDescent="0.2">
      <c r="A6582" s="125">
        <v>6521</v>
      </c>
      <c r="B6582" s="1820"/>
      <c r="D6582" s="2" t="str">
        <f t="shared" si="101"/>
        <v>OK</v>
      </c>
      <c r="E6582" s="4" t="s">
        <v>1991</v>
      </c>
    </row>
    <row r="6583" spans="1:5" x14ac:dyDescent="0.2">
      <c r="A6583" s="125">
        <v>6522</v>
      </c>
      <c r="B6583" s="1820"/>
      <c r="D6583" s="2" t="str">
        <f t="shared" si="101"/>
        <v>OK</v>
      </c>
      <c r="E6583" s="4" t="s">
        <v>1991</v>
      </c>
    </row>
    <row r="6584" spans="1:5" x14ac:dyDescent="0.2">
      <c r="A6584" s="125">
        <v>6523</v>
      </c>
      <c r="B6584" s="1820"/>
      <c r="D6584" s="2" t="str">
        <f t="shared" si="101"/>
        <v>OK</v>
      </c>
      <c r="E6584" s="4" t="s">
        <v>1991</v>
      </c>
    </row>
    <row r="6585" spans="1:5" x14ac:dyDescent="0.2">
      <c r="A6585" s="125">
        <v>6524</v>
      </c>
      <c r="B6585" s="1820"/>
      <c r="D6585" s="2" t="str">
        <f t="shared" si="101"/>
        <v>OK</v>
      </c>
      <c r="E6585" s="4" t="s">
        <v>1991</v>
      </c>
    </row>
    <row r="6586" spans="1:5" x14ac:dyDescent="0.2">
      <c r="A6586" s="125">
        <v>6525</v>
      </c>
      <c r="B6586" s="1820"/>
      <c r="D6586" s="2" t="str">
        <f t="shared" si="101"/>
        <v>OK</v>
      </c>
      <c r="E6586" s="4" t="s">
        <v>1991</v>
      </c>
    </row>
    <row r="6587" spans="1:5" x14ac:dyDescent="0.2">
      <c r="A6587" s="125">
        <v>6526</v>
      </c>
      <c r="B6587" s="1820"/>
      <c r="D6587" s="2" t="str">
        <f t="shared" si="101"/>
        <v>OK</v>
      </c>
      <c r="E6587" s="4" t="s">
        <v>1991</v>
      </c>
    </row>
    <row r="6588" spans="1:5" x14ac:dyDescent="0.2">
      <c r="A6588" s="125">
        <v>6527</v>
      </c>
      <c r="B6588" s="1820"/>
      <c r="D6588" s="2" t="str">
        <f t="shared" si="101"/>
        <v>OK</v>
      </c>
      <c r="E6588" s="4" t="s">
        <v>1991</v>
      </c>
    </row>
    <row r="6589" spans="1:5" x14ac:dyDescent="0.2">
      <c r="A6589" s="125">
        <v>6528</v>
      </c>
      <c r="B6589" s="1820"/>
      <c r="D6589" s="2" t="str">
        <f t="shared" si="101"/>
        <v>OK</v>
      </c>
      <c r="E6589" s="4" t="s">
        <v>1991</v>
      </c>
    </row>
    <row r="6590" spans="1:5" x14ac:dyDescent="0.2">
      <c r="A6590" s="125">
        <v>6529</v>
      </c>
      <c r="B6590" s="1820"/>
      <c r="D6590" s="2" t="str">
        <f t="shared" si="101"/>
        <v>OK</v>
      </c>
      <c r="E6590" s="4" t="s">
        <v>1991</v>
      </c>
    </row>
    <row r="6591" spans="1:5" x14ac:dyDescent="0.2">
      <c r="A6591" s="125">
        <v>6530</v>
      </c>
      <c r="B6591" s="1820"/>
      <c r="D6591" s="2" t="str">
        <f t="shared" ref="D6591:D6654" si="102">IF(ISBLANK(B6591),"OK",IF(A6591-B6591=0,"OK","Error?"))</f>
        <v>OK</v>
      </c>
      <c r="E6591" s="4" t="s">
        <v>1991</v>
      </c>
    </row>
    <row r="6592" spans="1:5" x14ac:dyDescent="0.2">
      <c r="A6592" s="125">
        <v>6531</v>
      </c>
      <c r="B6592" s="1820"/>
      <c r="D6592" s="2" t="str">
        <f t="shared" si="102"/>
        <v>OK</v>
      </c>
      <c r="E6592" s="4" t="s">
        <v>1991</v>
      </c>
    </row>
    <row r="6593" spans="1:5" x14ac:dyDescent="0.2">
      <c r="A6593" s="125">
        <v>6532</v>
      </c>
      <c r="B6593" s="1820"/>
      <c r="D6593" s="2" t="str">
        <f t="shared" si="102"/>
        <v>OK</v>
      </c>
      <c r="E6593" s="4" t="s">
        <v>1991</v>
      </c>
    </row>
    <row r="6594" spans="1:5" x14ac:dyDescent="0.2">
      <c r="A6594" s="125">
        <v>6533</v>
      </c>
      <c r="B6594" s="1820"/>
      <c r="D6594" s="2" t="str">
        <f t="shared" si="102"/>
        <v>OK</v>
      </c>
      <c r="E6594" s="4" t="s">
        <v>1991</v>
      </c>
    </row>
    <row r="6595" spans="1:5" x14ac:dyDescent="0.2">
      <c r="A6595" s="125">
        <v>6534</v>
      </c>
      <c r="B6595" s="1820"/>
      <c r="D6595" s="2" t="str">
        <f t="shared" si="102"/>
        <v>OK</v>
      </c>
      <c r="E6595" s="4" t="s">
        <v>1991</v>
      </c>
    </row>
    <row r="6596" spans="1:5" x14ac:dyDescent="0.2">
      <c r="A6596" s="125">
        <v>6535</v>
      </c>
      <c r="B6596" s="1820"/>
      <c r="D6596" s="2" t="str">
        <f t="shared" si="102"/>
        <v>OK</v>
      </c>
      <c r="E6596" s="4" t="s">
        <v>1991</v>
      </c>
    </row>
    <row r="6597" spans="1:5" x14ac:dyDescent="0.2">
      <c r="A6597" s="125">
        <v>6536</v>
      </c>
      <c r="B6597" s="1820"/>
      <c r="D6597" s="2" t="str">
        <f t="shared" si="102"/>
        <v>OK</v>
      </c>
      <c r="E6597" s="4" t="s">
        <v>1991</v>
      </c>
    </row>
    <row r="6598" spans="1:5" x14ac:dyDescent="0.2">
      <c r="A6598" s="125">
        <v>6537</v>
      </c>
      <c r="B6598" s="1820"/>
      <c r="D6598" s="2" t="str">
        <f t="shared" si="102"/>
        <v>OK</v>
      </c>
      <c r="E6598" s="4" t="s">
        <v>1991</v>
      </c>
    </row>
    <row r="6599" spans="1:5" x14ac:dyDescent="0.2">
      <c r="A6599" s="125">
        <v>6538</v>
      </c>
      <c r="B6599" s="1820"/>
      <c r="D6599" s="2" t="str">
        <f t="shared" si="102"/>
        <v>OK</v>
      </c>
      <c r="E6599" s="4" t="s">
        <v>1991</v>
      </c>
    </row>
    <row r="6600" spans="1:5" x14ac:dyDescent="0.2">
      <c r="A6600" s="125">
        <v>6539</v>
      </c>
      <c r="B6600" s="1820"/>
      <c r="D6600" s="2" t="str">
        <f t="shared" si="102"/>
        <v>OK</v>
      </c>
      <c r="E6600" s="4" t="s">
        <v>1991</v>
      </c>
    </row>
    <row r="6601" spans="1:5" x14ac:dyDescent="0.2">
      <c r="A6601" s="125">
        <v>6540</v>
      </c>
      <c r="B6601" s="1820"/>
      <c r="D6601" s="2" t="str">
        <f t="shared" si="102"/>
        <v>OK</v>
      </c>
      <c r="E6601" s="4" t="s">
        <v>1991</v>
      </c>
    </row>
    <row r="6602" spans="1:5" x14ac:dyDescent="0.2">
      <c r="A6602" s="125">
        <v>6541</v>
      </c>
      <c r="B6602" s="1820"/>
      <c r="D6602" s="2" t="str">
        <f t="shared" si="102"/>
        <v>OK</v>
      </c>
      <c r="E6602" s="4" t="s">
        <v>1991</v>
      </c>
    </row>
    <row r="6603" spans="1:5" x14ac:dyDescent="0.2">
      <c r="A6603" s="125">
        <v>6542</v>
      </c>
      <c r="B6603" s="1820"/>
      <c r="D6603" s="2" t="str">
        <f t="shared" si="102"/>
        <v>OK</v>
      </c>
      <c r="E6603" s="4" t="s">
        <v>1991</v>
      </c>
    </row>
    <row r="6604" spans="1:5" x14ac:dyDescent="0.2">
      <c r="A6604" s="125">
        <v>6543</v>
      </c>
      <c r="B6604" s="1820"/>
      <c r="D6604" s="2" t="str">
        <f t="shared" si="102"/>
        <v>OK</v>
      </c>
      <c r="E6604" s="4" t="s">
        <v>1991</v>
      </c>
    </row>
    <row r="6605" spans="1:5" x14ac:dyDescent="0.2">
      <c r="A6605" s="125">
        <v>6544</v>
      </c>
      <c r="B6605" s="1820"/>
      <c r="D6605" s="2" t="str">
        <f t="shared" si="102"/>
        <v>OK</v>
      </c>
      <c r="E6605" s="4" t="s">
        <v>1991</v>
      </c>
    </row>
    <row r="6606" spans="1:5" x14ac:dyDescent="0.2">
      <c r="A6606" s="125">
        <v>6545</v>
      </c>
      <c r="B6606" s="1820"/>
      <c r="D6606" s="2" t="str">
        <f t="shared" si="102"/>
        <v>OK</v>
      </c>
      <c r="E6606" s="4" t="s">
        <v>1991</v>
      </c>
    </row>
    <row r="6607" spans="1:5" x14ac:dyDescent="0.2">
      <c r="A6607" s="125">
        <v>6546</v>
      </c>
      <c r="B6607" s="1820"/>
      <c r="D6607" s="2" t="str">
        <f t="shared" si="102"/>
        <v>OK</v>
      </c>
      <c r="E6607" s="4" t="s">
        <v>1991</v>
      </c>
    </row>
    <row r="6608" spans="1:5" x14ac:dyDescent="0.2">
      <c r="A6608" s="125">
        <v>6547</v>
      </c>
      <c r="B6608" s="1820"/>
      <c r="D6608" s="2" t="str">
        <f t="shared" si="102"/>
        <v>OK</v>
      </c>
      <c r="E6608" s="4" t="s">
        <v>1991</v>
      </c>
    </row>
    <row r="6609" spans="1:5" x14ac:dyDescent="0.2">
      <c r="A6609" s="125">
        <v>6548</v>
      </c>
      <c r="B6609" s="1820"/>
      <c r="D6609" s="2" t="str">
        <f t="shared" si="102"/>
        <v>OK</v>
      </c>
      <c r="E6609" s="4" t="s">
        <v>1991</v>
      </c>
    </row>
    <row r="6610" spans="1:5" x14ac:dyDescent="0.2">
      <c r="A6610" s="125">
        <v>6549</v>
      </c>
      <c r="B6610" s="1820"/>
      <c r="D6610" s="2" t="str">
        <f t="shared" si="102"/>
        <v>OK</v>
      </c>
      <c r="E6610" s="4" t="s">
        <v>1991</v>
      </c>
    </row>
    <row r="6611" spans="1:5" x14ac:dyDescent="0.2">
      <c r="A6611" s="125">
        <v>6550</v>
      </c>
      <c r="B6611" s="1820"/>
      <c r="D6611" s="2" t="str">
        <f t="shared" si="102"/>
        <v>OK</v>
      </c>
      <c r="E6611" s="4" t="s">
        <v>1991</v>
      </c>
    </row>
    <row r="6612" spans="1:5" x14ac:dyDescent="0.2">
      <c r="A6612" s="125">
        <v>6551</v>
      </c>
      <c r="B6612" s="1820"/>
      <c r="D6612" s="2" t="str">
        <f t="shared" si="102"/>
        <v>OK</v>
      </c>
      <c r="E6612" s="4" t="s">
        <v>1991</v>
      </c>
    </row>
    <row r="6613" spans="1:5" x14ac:dyDescent="0.2">
      <c r="A6613" s="125">
        <v>6552</v>
      </c>
      <c r="B6613" s="1820"/>
      <c r="D6613" s="2" t="str">
        <f t="shared" si="102"/>
        <v>OK</v>
      </c>
      <c r="E6613" s="4" t="s">
        <v>1991</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0</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5">
        <v>6780</v>
      </c>
      <c r="B6841" s="1820"/>
      <c r="D6841" s="2" t="str">
        <f t="shared" si="105"/>
        <v>OK</v>
      </c>
      <c r="E6841" s="1" t="s">
        <v>1895</v>
      </c>
    </row>
    <row r="6842" spans="1:5" x14ac:dyDescent="0.2">
      <c r="A6842" s="125">
        <v>6781</v>
      </c>
      <c r="B6842" s="1820"/>
      <c r="D6842" s="2" t="str">
        <f t="shared" si="105"/>
        <v>OK</v>
      </c>
      <c r="E6842" s="1" t="s">
        <v>1895</v>
      </c>
    </row>
    <row r="6843" spans="1:5" x14ac:dyDescent="0.2">
      <c r="A6843" s="125">
        <v>6782</v>
      </c>
      <c r="B6843" s="1820"/>
      <c r="D6843" s="2" t="str">
        <f t="shared" si="105"/>
        <v>OK</v>
      </c>
      <c r="E6843" s="1" t="s">
        <v>1895</v>
      </c>
    </row>
    <row r="6844" spans="1:5" x14ac:dyDescent="0.2">
      <c r="A6844">
        <v>6783</v>
      </c>
      <c r="B6844" s="1820">
        <f>'Expenditures 15-22'!I5</f>
        <v>0</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0</v>
      </c>
      <c r="D6848" s="2" t="str">
        <f t="shared" si="106"/>
        <v>Error?</v>
      </c>
    </row>
    <row r="6849" spans="1:4" x14ac:dyDescent="0.2">
      <c r="A6849">
        <v>6788</v>
      </c>
      <c r="B6849" s="1820">
        <f>'Expenditures 15-22'!I8</f>
        <v>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0</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0</v>
      </c>
      <c r="D6880" s="2" t="str">
        <f t="shared" si="106"/>
        <v>Error?</v>
      </c>
    </row>
    <row r="6881" spans="1:4" x14ac:dyDescent="0.2">
      <c r="A6881">
        <v>6820</v>
      </c>
      <c r="B6881" s="1820">
        <f>'Expenditures 15-22'!K22</f>
        <v>0</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0</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0</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5">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0</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0</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0</v>
      </c>
      <c r="D6983" s="2" t="str">
        <f t="shared" si="108"/>
        <v>Error?</v>
      </c>
    </row>
    <row r="6984" spans="1:4" x14ac:dyDescent="0.2">
      <c r="A6984">
        <v>6923</v>
      </c>
      <c r="B6984" s="1820">
        <f>'Expenditures 15-22'!K86</f>
        <v>0</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0</v>
      </c>
      <c r="D6987" s="2" t="str">
        <f t="shared" si="108"/>
        <v>Error?</v>
      </c>
    </row>
    <row r="6988" spans="1:4" x14ac:dyDescent="0.2">
      <c r="A6988">
        <v>6927</v>
      </c>
      <c r="B6988" s="1820">
        <f>'Expenditures 15-22'!K88</f>
        <v>0</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0</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0</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350056</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55895</v>
      </c>
      <c r="D7055" s="2" t="str">
        <f t="shared" si="109"/>
        <v>Error?</v>
      </c>
      <c r="E7055" s="2" t="s">
        <v>114</v>
      </c>
    </row>
    <row r="7056" spans="1:5" x14ac:dyDescent="0.2">
      <c r="A7056" s="125">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0</v>
      </c>
      <c r="D7073" s="2" t="str">
        <f t="shared" si="109"/>
        <v>Error?</v>
      </c>
    </row>
    <row r="7074" spans="1:4" x14ac:dyDescent="0.2">
      <c r="A7074">
        <v>7013</v>
      </c>
      <c r="B7074" s="1820">
        <f>'Expenditures 15-22'!K216</f>
        <v>0</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0</v>
      </c>
      <c r="D7079" s="2" t="str">
        <f t="shared" si="109"/>
        <v>Error?</v>
      </c>
    </row>
    <row r="7080" spans="1:4" x14ac:dyDescent="0.2">
      <c r="A7080">
        <v>7019</v>
      </c>
      <c r="B7080" s="1820">
        <f>'Expenditures 15-22'!K226</f>
        <v>0</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102516</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102516</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39324</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39324</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0</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0</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113034</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113034</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95182</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95182</v>
      </c>
      <c r="D7198" s="2" t="str">
        <f t="shared" si="111"/>
        <v>Error?</v>
      </c>
    </row>
    <row r="7199" spans="1:4" x14ac:dyDescent="0.2">
      <c r="A7199">
        <v>7138</v>
      </c>
      <c r="B7199" s="1820">
        <f>'Expenditures 15-22'!C330</f>
        <v>0</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350056</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350056</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0</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350056</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350056</v>
      </c>
      <c r="D7224" s="2" t="str">
        <f t="shared" si="111"/>
        <v>Error?</v>
      </c>
    </row>
    <row r="7225" spans="1:4" x14ac:dyDescent="0.2">
      <c r="A7225">
        <v>7164</v>
      </c>
      <c r="B7225" s="1820">
        <f>'Expenditures 15-22'!K343</f>
        <v>-294161</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0</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0</v>
      </c>
      <c r="D7263" s="2" t="str">
        <f t="shared" si="112"/>
        <v>Error?</v>
      </c>
    </row>
    <row r="7264" spans="1:4" x14ac:dyDescent="0.2">
      <c r="A7264">
        <f t="shared" si="113"/>
        <v>7203</v>
      </c>
      <c r="B7264" s="1820">
        <f>'Expenditures 15-22'!D17</f>
        <v>0</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5">
        <f t="shared" si="113"/>
        <v>7208</v>
      </c>
      <c r="B7269" s="1821"/>
      <c r="D7269" s="2" t="str">
        <f t="shared" si="112"/>
        <v>OK</v>
      </c>
      <c r="E7269" s="2" t="s">
        <v>79</v>
      </c>
    </row>
    <row r="7270" spans="1:5" x14ac:dyDescent="0.2">
      <c r="A7270" s="125">
        <f t="shared" si="113"/>
        <v>7209</v>
      </c>
      <c r="B7270" s="1821"/>
      <c r="D7270" s="2" t="str">
        <f t="shared" si="112"/>
        <v>OK</v>
      </c>
      <c r="E7270" s="2" t="s">
        <v>79</v>
      </c>
    </row>
    <row r="7271" spans="1:5" x14ac:dyDescent="0.2">
      <c r="A7271" s="125">
        <f t="shared" si="113"/>
        <v>7210</v>
      </c>
      <c r="B7271" s="1821"/>
      <c r="D7271" s="2" t="str">
        <f t="shared" si="112"/>
        <v>OK</v>
      </c>
      <c r="E7271" s="2" t="s">
        <v>79</v>
      </c>
    </row>
    <row r="7272" spans="1:5" x14ac:dyDescent="0.2">
      <c r="A7272" s="125">
        <f t="shared" si="113"/>
        <v>7211</v>
      </c>
      <c r="B7272" s="1821"/>
      <c r="D7272" s="2" t="str">
        <f t="shared" si="112"/>
        <v>OK</v>
      </c>
      <c r="E7272" s="2" t="s">
        <v>79</v>
      </c>
    </row>
    <row r="7273" spans="1:5" x14ac:dyDescent="0.2">
      <c r="A7273" s="125">
        <f t="shared" si="113"/>
        <v>7212</v>
      </c>
      <c r="B7273" s="1821"/>
      <c r="D7273" s="2" t="str">
        <f t="shared" si="112"/>
        <v>OK</v>
      </c>
      <c r="E7273" s="2" t="s">
        <v>79</v>
      </c>
    </row>
    <row r="7274" spans="1:5" x14ac:dyDescent="0.2">
      <c r="A7274" s="125">
        <f t="shared" si="113"/>
        <v>7213</v>
      </c>
      <c r="B7274" s="1821"/>
      <c r="D7274" s="2" t="str">
        <f t="shared" si="112"/>
        <v>OK</v>
      </c>
      <c r="E7274" s="2" t="s">
        <v>79</v>
      </c>
    </row>
    <row r="7275" spans="1:5" x14ac:dyDescent="0.2">
      <c r="A7275" s="125">
        <f t="shared" si="113"/>
        <v>7214</v>
      </c>
      <c r="B7275" s="1821"/>
      <c r="D7275" s="2" t="str">
        <f t="shared" si="112"/>
        <v>OK</v>
      </c>
      <c r="E7275" s="2" t="s">
        <v>79</v>
      </c>
    </row>
    <row r="7276" spans="1:5" x14ac:dyDescent="0.2">
      <c r="A7276" s="125">
        <f t="shared" si="113"/>
        <v>7215</v>
      </c>
      <c r="B7276" s="1821"/>
      <c r="D7276" s="2" t="str">
        <f t="shared" si="112"/>
        <v>OK</v>
      </c>
      <c r="E7276" s="2" t="s">
        <v>79</v>
      </c>
    </row>
    <row r="7277" spans="1:5" x14ac:dyDescent="0.2">
      <c r="A7277" s="125">
        <f t="shared" si="113"/>
        <v>7216</v>
      </c>
      <c r="B7277" s="1821"/>
      <c r="D7277" s="2" t="str">
        <f t="shared" si="112"/>
        <v>OK</v>
      </c>
      <c r="E7277" s="2" t="s">
        <v>79</v>
      </c>
    </row>
    <row r="7278" spans="1:5" x14ac:dyDescent="0.2">
      <c r="A7278" s="125">
        <f t="shared" si="113"/>
        <v>7217</v>
      </c>
      <c r="B7278" s="1821"/>
      <c r="D7278" s="2" t="str">
        <f t="shared" si="112"/>
        <v>OK</v>
      </c>
      <c r="E7278" s="2" t="s">
        <v>79</v>
      </c>
    </row>
    <row r="7279" spans="1:5" x14ac:dyDescent="0.2">
      <c r="A7279" s="125">
        <f t="shared" si="113"/>
        <v>7218</v>
      </c>
      <c r="B7279" s="1821"/>
      <c r="D7279" s="2" t="str">
        <f t="shared" si="112"/>
        <v>OK</v>
      </c>
      <c r="E7279" s="2" t="s">
        <v>79</v>
      </c>
    </row>
    <row r="7280" spans="1:5" x14ac:dyDescent="0.2">
      <c r="A7280" s="125">
        <f t="shared" si="113"/>
        <v>7219</v>
      </c>
      <c r="B7280" s="1821"/>
      <c r="D7280" s="2" t="str">
        <f t="shared" si="112"/>
        <v>OK</v>
      </c>
      <c r="E7280" s="2" t="s">
        <v>79</v>
      </c>
    </row>
    <row r="7281" spans="1:5" x14ac:dyDescent="0.2">
      <c r="A7281" s="125">
        <f t="shared" si="113"/>
        <v>7220</v>
      </c>
      <c r="B7281" s="1821"/>
      <c r="D7281" s="2" t="str">
        <f t="shared" si="112"/>
        <v>OK</v>
      </c>
      <c r="E7281" s="2" t="s">
        <v>79</v>
      </c>
    </row>
    <row r="7282" spans="1:5" x14ac:dyDescent="0.2">
      <c r="A7282" s="125">
        <f t="shared" si="113"/>
        <v>7221</v>
      </c>
      <c r="B7282" s="1821"/>
      <c r="D7282" s="2" t="str">
        <f t="shared" si="112"/>
        <v>OK</v>
      </c>
      <c r="E7282" s="2" t="s">
        <v>79</v>
      </c>
    </row>
    <row r="7283" spans="1:5" x14ac:dyDescent="0.2">
      <c r="A7283" s="125">
        <f t="shared" si="113"/>
        <v>7222</v>
      </c>
      <c r="B7283" s="1821"/>
      <c r="D7283" s="2" t="str">
        <f t="shared" si="112"/>
        <v>OK</v>
      </c>
      <c r="E7283" s="2" t="s">
        <v>79</v>
      </c>
    </row>
    <row r="7284" spans="1:5" x14ac:dyDescent="0.2">
      <c r="A7284" s="125">
        <f t="shared" si="113"/>
        <v>7223</v>
      </c>
      <c r="B7284" s="1821"/>
      <c r="D7284" s="2" t="str">
        <f t="shared" si="112"/>
        <v>OK</v>
      </c>
      <c r="E7284" s="2" t="s">
        <v>79</v>
      </c>
    </row>
    <row r="7285" spans="1:5" x14ac:dyDescent="0.2">
      <c r="A7285" s="125">
        <f t="shared" si="113"/>
        <v>7224</v>
      </c>
      <c r="B7285" s="1821"/>
      <c r="D7285" s="2" t="str">
        <f t="shared" si="112"/>
        <v>OK</v>
      </c>
      <c r="E7285" s="2" t="s">
        <v>79</v>
      </c>
    </row>
    <row r="7286" spans="1:5" x14ac:dyDescent="0.2">
      <c r="A7286" s="125">
        <f t="shared" si="113"/>
        <v>7225</v>
      </c>
      <c r="B7286" s="1821"/>
      <c r="D7286" s="2" t="str">
        <f t="shared" si="112"/>
        <v>OK</v>
      </c>
      <c r="E7286" s="2" t="s">
        <v>79</v>
      </c>
    </row>
    <row r="7287" spans="1:5" x14ac:dyDescent="0.2">
      <c r="A7287" s="125">
        <f t="shared" si="113"/>
        <v>7226</v>
      </c>
      <c r="B7287" s="1821"/>
      <c r="D7287" s="2" t="str">
        <f t="shared" si="112"/>
        <v>OK</v>
      </c>
      <c r="E7287" s="2" t="s">
        <v>79</v>
      </c>
    </row>
    <row r="7288" spans="1:5" x14ac:dyDescent="0.2">
      <c r="A7288" s="125">
        <f t="shared" si="113"/>
        <v>7227</v>
      </c>
      <c r="B7288" s="1821"/>
      <c r="D7288" s="2" t="str">
        <f t="shared" si="112"/>
        <v>OK</v>
      </c>
      <c r="E7288" s="2" t="s">
        <v>79</v>
      </c>
    </row>
    <row r="7289" spans="1:5" x14ac:dyDescent="0.2">
      <c r="A7289" s="125">
        <f t="shared" si="113"/>
        <v>7228</v>
      </c>
      <c r="B7289" s="1821"/>
      <c r="D7289" s="2" t="str">
        <f t="shared" si="112"/>
        <v>OK</v>
      </c>
      <c r="E7289" s="2" t="s">
        <v>79</v>
      </c>
    </row>
    <row r="7290" spans="1:5" x14ac:dyDescent="0.2">
      <c r="A7290" s="125">
        <f t="shared" si="113"/>
        <v>7229</v>
      </c>
      <c r="B7290" s="1821"/>
      <c r="D7290" s="2" t="str">
        <f t="shared" si="112"/>
        <v>OK</v>
      </c>
      <c r="E7290" s="2" t="s">
        <v>79</v>
      </c>
    </row>
    <row r="7291" spans="1:5" x14ac:dyDescent="0.2">
      <c r="A7291" s="125">
        <f t="shared" si="113"/>
        <v>7230</v>
      </c>
      <c r="B7291" s="1821"/>
      <c r="D7291" s="2" t="str">
        <f t="shared" si="112"/>
        <v>OK</v>
      </c>
      <c r="E7291" s="2" t="s">
        <v>79</v>
      </c>
    </row>
    <row r="7292" spans="1:5" x14ac:dyDescent="0.2">
      <c r="A7292" s="125">
        <f t="shared" si="113"/>
        <v>7231</v>
      </c>
      <c r="B7292" s="1821"/>
      <c r="D7292" s="2" t="str">
        <f t="shared" si="112"/>
        <v>OK</v>
      </c>
      <c r="E7292" s="2" t="s">
        <v>79</v>
      </c>
    </row>
    <row r="7293" spans="1:5" x14ac:dyDescent="0.2">
      <c r="A7293" s="125">
        <f t="shared" si="113"/>
        <v>7232</v>
      </c>
      <c r="B7293" s="1821"/>
      <c r="D7293" s="2" t="str">
        <f t="shared" si="112"/>
        <v>OK</v>
      </c>
      <c r="E7293" s="2" t="s">
        <v>79</v>
      </c>
    </row>
    <row r="7294" spans="1:5" x14ac:dyDescent="0.2">
      <c r="A7294" s="125">
        <f t="shared" si="113"/>
        <v>7233</v>
      </c>
      <c r="B7294" s="1821"/>
      <c r="D7294" s="2" t="str">
        <f t="shared" si="112"/>
        <v>OK</v>
      </c>
      <c r="E7294" s="2" t="s">
        <v>79</v>
      </c>
    </row>
    <row r="7295" spans="1:5" x14ac:dyDescent="0.2">
      <c r="A7295" s="125">
        <f t="shared" si="113"/>
        <v>7234</v>
      </c>
      <c r="B7295" s="1821"/>
      <c r="D7295" s="2" t="str">
        <f t="shared" ref="D7295:D7358" si="114">IF(ISBLANK(B7295),"OK",IF(A7295-B7295=0,"OK","Error?"))</f>
        <v>OK</v>
      </c>
      <c r="E7295" s="2" t="s">
        <v>79</v>
      </c>
    </row>
    <row r="7296" spans="1:5" x14ac:dyDescent="0.2">
      <c r="A7296" s="125">
        <f t="shared" si="113"/>
        <v>7235</v>
      </c>
      <c r="B7296" s="1821"/>
      <c r="D7296" s="2" t="str">
        <f t="shared" si="114"/>
        <v>OK</v>
      </c>
      <c r="E7296" s="2" t="s">
        <v>79</v>
      </c>
    </row>
    <row r="7297" spans="1:5" x14ac:dyDescent="0.2">
      <c r="A7297" s="125">
        <f t="shared" si="113"/>
        <v>7236</v>
      </c>
      <c r="B7297" s="1821"/>
      <c r="D7297" s="2" t="str">
        <f t="shared" si="114"/>
        <v>OK</v>
      </c>
      <c r="E7297" s="2" t="s">
        <v>79</v>
      </c>
    </row>
    <row r="7298" spans="1:5" x14ac:dyDescent="0.2">
      <c r="A7298" s="125">
        <f t="shared" si="113"/>
        <v>7237</v>
      </c>
      <c r="B7298" s="1821"/>
      <c r="D7298" s="2" t="str">
        <f t="shared" si="114"/>
        <v>OK</v>
      </c>
      <c r="E7298" s="2" t="s">
        <v>79</v>
      </c>
    </row>
    <row r="7299" spans="1:5" x14ac:dyDescent="0.2">
      <c r="A7299" s="125">
        <f t="shared" si="113"/>
        <v>7238</v>
      </c>
      <c r="B7299" s="1821"/>
      <c r="D7299" s="2" t="str">
        <f t="shared" si="114"/>
        <v>OK</v>
      </c>
      <c r="E7299" s="2" t="s">
        <v>79</v>
      </c>
    </row>
    <row r="7300" spans="1:5" x14ac:dyDescent="0.2">
      <c r="A7300" s="125">
        <f t="shared" si="113"/>
        <v>7239</v>
      </c>
      <c r="B7300" s="1821"/>
      <c r="D7300" s="2" t="str">
        <f t="shared" si="114"/>
        <v>OK</v>
      </c>
      <c r="E7300" s="2" t="s">
        <v>79</v>
      </c>
    </row>
    <row r="7301" spans="1:5" x14ac:dyDescent="0.2">
      <c r="A7301" s="125">
        <f t="shared" si="113"/>
        <v>7240</v>
      </c>
      <c r="B7301" s="1821"/>
      <c r="D7301" s="2" t="str">
        <f t="shared" si="114"/>
        <v>OK</v>
      </c>
      <c r="E7301" s="2" t="s">
        <v>79</v>
      </c>
    </row>
    <row r="7302" spans="1:5" x14ac:dyDescent="0.2">
      <c r="A7302" s="125">
        <f t="shared" si="113"/>
        <v>7241</v>
      </c>
      <c r="B7302" s="1821"/>
      <c r="D7302" s="2" t="str">
        <f t="shared" si="114"/>
        <v>OK</v>
      </c>
      <c r="E7302" s="2" t="s">
        <v>79</v>
      </c>
    </row>
    <row r="7303" spans="1:5" x14ac:dyDescent="0.2">
      <c r="A7303" s="125">
        <f t="shared" si="113"/>
        <v>7242</v>
      </c>
      <c r="B7303" s="1821"/>
      <c r="D7303" s="2" t="str">
        <f t="shared" si="114"/>
        <v>OK</v>
      </c>
      <c r="E7303" s="2" t="s">
        <v>79</v>
      </c>
    </row>
    <row r="7304" spans="1:5" x14ac:dyDescent="0.2">
      <c r="A7304" s="125">
        <f t="shared" si="113"/>
        <v>7243</v>
      </c>
      <c r="B7304" s="1821"/>
      <c r="D7304" s="2" t="str">
        <f t="shared" si="114"/>
        <v>OK</v>
      </c>
      <c r="E7304" s="2" t="s">
        <v>79</v>
      </c>
    </row>
    <row r="7305" spans="1:5" x14ac:dyDescent="0.2">
      <c r="A7305" s="125">
        <f t="shared" si="113"/>
        <v>7244</v>
      </c>
      <c r="B7305" s="1821"/>
      <c r="D7305" s="2" t="str">
        <f t="shared" si="114"/>
        <v>OK</v>
      </c>
      <c r="E7305" s="2" t="s">
        <v>79</v>
      </c>
    </row>
    <row r="7306" spans="1:5" x14ac:dyDescent="0.2">
      <c r="A7306" s="125">
        <f t="shared" si="113"/>
        <v>7245</v>
      </c>
      <c r="B7306" s="1821"/>
      <c r="D7306" s="2" t="str">
        <f t="shared" si="114"/>
        <v>OK</v>
      </c>
      <c r="E7306" s="2" t="s">
        <v>79</v>
      </c>
    </row>
    <row r="7307" spans="1:5" x14ac:dyDescent="0.2">
      <c r="A7307" s="125">
        <f t="shared" si="113"/>
        <v>7246</v>
      </c>
      <c r="B7307" s="1821"/>
      <c r="D7307" s="2" t="str">
        <f t="shared" si="114"/>
        <v>OK</v>
      </c>
      <c r="E7307" s="2" t="s">
        <v>79</v>
      </c>
    </row>
    <row r="7308" spans="1:5" x14ac:dyDescent="0.2">
      <c r="A7308" s="125">
        <f t="shared" si="113"/>
        <v>7247</v>
      </c>
      <c r="B7308" s="1821"/>
      <c r="D7308" s="2" t="str">
        <f t="shared" si="114"/>
        <v>OK</v>
      </c>
      <c r="E7308" s="2" t="s">
        <v>79</v>
      </c>
    </row>
    <row r="7309" spans="1:5" x14ac:dyDescent="0.2">
      <c r="A7309" s="125">
        <f t="shared" si="113"/>
        <v>7248</v>
      </c>
      <c r="B7309" s="1821"/>
      <c r="D7309" s="2" t="str">
        <f t="shared" si="114"/>
        <v>OK</v>
      </c>
      <c r="E7309" s="2" t="s">
        <v>79</v>
      </c>
    </row>
    <row r="7310" spans="1:5" x14ac:dyDescent="0.2">
      <c r="A7310" s="125">
        <f t="shared" ref="A7310:A7373" si="115">A7309+1</f>
        <v>7249</v>
      </c>
      <c r="B7310" s="1821"/>
      <c r="D7310" s="2" t="str">
        <f t="shared" si="114"/>
        <v>OK</v>
      </c>
      <c r="E7310" s="2" t="s">
        <v>79</v>
      </c>
    </row>
    <row r="7311" spans="1:5" x14ac:dyDescent="0.2">
      <c r="A7311" s="125">
        <f t="shared" si="115"/>
        <v>7250</v>
      </c>
      <c r="B7311" s="1821"/>
      <c r="D7311" s="2" t="str">
        <f t="shared" si="114"/>
        <v>OK</v>
      </c>
      <c r="E7311" s="2" t="s">
        <v>79</v>
      </c>
    </row>
    <row r="7312" spans="1:5" x14ac:dyDescent="0.2">
      <c r="A7312" s="125">
        <f t="shared" si="115"/>
        <v>7251</v>
      </c>
      <c r="B7312" s="1821"/>
      <c r="D7312" s="2" t="str">
        <f t="shared" si="114"/>
        <v>OK</v>
      </c>
      <c r="E7312" s="2" t="s">
        <v>79</v>
      </c>
    </row>
    <row r="7313" spans="1:5" x14ac:dyDescent="0.2">
      <c r="A7313" s="125">
        <f t="shared" si="115"/>
        <v>7252</v>
      </c>
      <c r="B7313" s="1821"/>
      <c r="D7313" s="2" t="str">
        <f t="shared" si="114"/>
        <v>OK</v>
      </c>
      <c r="E7313" s="2" t="s">
        <v>79</v>
      </c>
    </row>
    <row r="7314" spans="1:5" x14ac:dyDescent="0.2">
      <c r="A7314" s="125">
        <f t="shared" si="115"/>
        <v>7253</v>
      </c>
      <c r="B7314" s="1821"/>
      <c r="D7314" s="2" t="str">
        <f t="shared" si="114"/>
        <v>OK</v>
      </c>
      <c r="E7314" s="2" t="s">
        <v>79</v>
      </c>
    </row>
    <row r="7315" spans="1:5" x14ac:dyDescent="0.2">
      <c r="A7315" s="125">
        <f t="shared" si="115"/>
        <v>7254</v>
      </c>
      <c r="B7315" s="1821"/>
      <c r="D7315" s="2" t="str">
        <f t="shared" si="114"/>
        <v>OK</v>
      </c>
      <c r="E7315" s="2" t="s">
        <v>79</v>
      </c>
    </row>
    <row r="7316" spans="1:5" x14ac:dyDescent="0.2">
      <c r="A7316" s="125">
        <f t="shared" si="115"/>
        <v>7255</v>
      </c>
      <c r="B7316" s="1821"/>
      <c r="D7316" s="2" t="str">
        <f t="shared" si="114"/>
        <v>OK</v>
      </c>
      <c r="E7316" s="2" t="s">
        <v>79</v>
      </c>
    </row>
    <row r="7317" spans="1:5" x14ac:dyDescent="0.2">
      <c r="A7317" s="125">
        <f t="shared" si="115"/>
        <v>7256</v>
      </c>
      <c r="B7317" s="1821"/>
      <c r="D7317" s="2" t="str">
        <f t="shared" si="114"/>
        <v>OK</v>
      </c>
      <c r="E7317" s="2" t="s">
        <v>79</v>
      </c>
    </row>
    <row r="7318" spans="1:5" x14ac:dyDescent="0.2">
      <c r="A7318" s="125">
        <f t="shared" si="115"/>
        <v>7257</v>
      </c>
      <c r="B7318" s="1821"/>
      <c r="D7318" s="2" t="str">
        <f t="shared" si="114"/>
        <v>OK</v>
      </c>
      <c r="E7318" s="2" t="s">
        <v>79</v>
      </c>
    </row>
    <row r="7319" spans="1:5" x14ac:dyDescent="0.2">
      <c r="A7319" s="125">
        <f t="shared" si="115"/>
        <v>7258</v>
      </c>
      <c r="B7319" s="1821"/>
      <c r="D7319" s="2" t="str">
        <f t="shared" si="114"/>
        <v>OK</v>
      </c>
      <c r="E7319" s="2" t="s">
        <v>79</v>
      </c>
    </row>
    <row r="7320" spans="1:5" x14ac:dyDescent="0.2">
      <c r="A7320" s="125">
        <f t="shared" si="115"/>
        <v>7259</v>
      </c>
      <c r="B7320" s="1821"/>
      <c r="D7320" s="2" t="str">
        <f t="shared" si="114"/>
        <v>OK</v>
      </c>
      <c r="E7320" s="2" t="s">
        <v>79</v>
      </c>
    </row>
    <row r="7321" spans="1:5" x14ac:dyDescent="0.2">
      <c r="A7321" s="125">
        <f t="shared" si="115"/>
        <v>7260</v>
      </c>
      <c r="B7321" s="1821"/>
      <c r="D7321" s="2" t="str">
        <f t="shared" si="114"/>
        <v>OK</v>
      </c>
      <c r="E7321" s="2" t="s">
        <v>79</v>
      </c>
    </row>
    <row r="7322" spans="1:5" x14ac:dyDescent="0.2">
      <c r="A7322" s="125">
        <f t="shared" si="115"/>
        <v>7261</v>
      </c>
      <c r="B7322" s="1821"/>
      <c r="D7322" s="2" t="str">
        <f t="shared" si="114"/>
        <v>OK</v>
      </c>
      <c r="E7322" s="2" t="s">
        <v>79</v>
      </c>
    </row>
    <row r="7323" spans="1:5" x14ac:dyDescent="0.2">
      <c r="A7323" s="125">
        <f t="shared" si="115"/>
        <v>7262</v>
      </c>
      <c r="B7323" s="1821"/>
      <c r="D7323" s="2" t="str">
        <f t="shared" si="114"/>
        <v>OK</v>
      </c>
      <c r="E7323" s="2" t="s">
        <v>79</v>
      </c>
    </row>
    <row r="7324" spans="1:5" x14ac:dyDescent="0.2">
      <c r="A7324" s="125">
        <f t="shared" si="115"/>
        <v>7263</v>
      </c>
      <c r="B7324" s="1821"/>
      <c r="D7324" s="2" t="str">
        <f t="shared" si="114"/>
        <v>OK</v>
      </c>
      <c r="E7324" s="2" t="s">
        <v>79</v>
      </c>
    </row>
    <row r="7325" spans="1:5" x14ac:dyDescent="0.2">
      <c r="A7325" s="125">
        <f t="shared" si="115"/>
        <v>7264</v>
      </c>
      <c r="B7325" s="1821"/>
      <c r="D7325" s="2" t="str">
        <f t="shared" si="114"/>
        <v>OK</v>
      </c>
      <c r="E7325" s="2" t="s">
        <v>79</v>
      </c>
    </row>
    <row r="7326" spans="1:5" x14ac:dyDescent="0.2">
      <c r="A7326" s="125">
        <f t="shared" si="115"/>
        <v>7265</v>
      </c>
      <c r="B7326" s="1821"/>
      <c r="D7326" s="2" t="str">
        <f t="shared" si="114"/>
        <v>OK</v>
      </c>
      <c r="E7326" s="2" t="s">
        <v>79</v>
      </c>
    </row>
    <row r="7327" spans="1:5" x14ac:dyDescent="0.2">
      <c r="A7327" s="125">
        <f t="shared" si="115"/>
        <v>7266</v>
      </c>
      <c r="B7327" s="1821"/>
      <c r="D7327" s="2" t="str">
        <f t="shared" si="114"/>
        <v>OK</v>
      </c>
      <c r="E7327" s="2" t="s">
        <v>79</v>
      </c>
    </row>
    <row r="7328" spans="1:5" x14ac:dyDescent="0.2">
      <c r="A7328" s="125">
        <f t="shared" si="115"/>
        <v>7267</v>
      </c>
      <c r="B7328" s="1821"/>
      <c r="D7328" s="2" t="str">
        <f t="shared" si="114"/>
        <v>OK</v>
      </c>
      <c r="E7328" s="2" t="s">
        <v>79</v>
      </c>
    </row>
    <row r="7329" spans="1:5" x14ac:dyDescent="0.2">
      <c r="A7329" s="125">
        <f t="shared" si="115"/>
        <v>7268</v>
      </c>
      <c r="B7329" s="1821"/>
      <c r="D7329" s="2" t="str">
        <f t="shared" si="114"/>
        <v>OK</v>
      </c>
      <c r="E7329" s="2" t="s">
        <v>79</v>
      </c>
    </row>
    <row r="7330" spans="1:5" x14ac:dyDescent="0.2">
      <c r="A7330" s="125">
        <f t="shared" si="115"/>
        <v>7269</v>
      </c>
      <c r="B7330" s="1821"/>
      <c r="D7330" s="2" t="str">
        <f t="shared" si="114"/>
        <v>OK</v>
      </c>
      <c r="E7330" s="2" t="s">
        <v>79</v>
      </c>
    </row>
    <row r="7331" spans="1:5" x14ac:dyDescent="0.2">
      <c r="A7331" s="125">
        <f t="shared" si="115"/>
        <v>7270</v>
      </c>
      <c r="B7331" s="1821"/>
      <c r="D7331" s="2" t="str">
        <f t="shared" si="114"/>
        <v>OK</v>
      </c>
      <c r="E7331" s="2" t="s">
        <v>79</v>
      </c>
    </row>
    <row r="7332" spans="1:5" x14ac:dyDescent="0.2">
      <c r="A7332" s="125">
        <f t="shared" si="115"/>
        <v>7271</v>
      </c>
      <c r="B7332" s="1821"/>
      <c r="D7332" s="2" t="str">
        <f t="shared" si="114"/>
        <v>OK</v>
      </c>
      <c r="E7332" s="2" t="s">
        <v>79</v>
      </c>
    </row>
    <row r="7333" spans="1:5" x14ac:dyDescent="0.2">
      <c r="A7333" s="125">
        <f t="shared" si="115"/>
        <v>7272</v>
      </c>
      <c r="B7333" s="1821"/>
      <c r="D7333" s="2" t="str">
        <f t="shared" si="114"/>
        <v>OK</v>
      </c>
      <c r="E7333" s="2" t="s">
        <v>79</v>
      </c>
    </row>
    <row r="7334" spans="1:5" x14ac:dyDescent="0.2">
      <c r="A7334" s="125">
        <f t="shared" si="115"/>
        <v>7273</v>
      </c>
      <c r="B7334" s="1821"/>
      <c r="D7334" s="2" t="str">
        <f t="shared" si="114"/>
        <v>OK</v>
      </c>
      <c r="E7334" s="2" t="s">
        <v>79</v>
      </c>
    </row>
    <row r="7335" spans="1:5" x14ac:dyDescent="0.2">
      <c r="A7335" s="125">
        <f t="shared" si="115"/>
        <v>7274</v>
      </c>
      <c r="B7335" s="1821"/>
      <c r="D7335" s="2" t="str">
        <f t="shared" si="114"/>
        <v>OK</v>
      </c>
      <c r="E7335" s="2" t="s">
        <v>79</v>
      </c>
    </row>
    <row r="7336" spans="1:5" x14ac:dyDescent="0.2">
      <c r="A7336" s="125">
        <f t="shared" si="115"/>
        <v>7275</v>
      </c>
      <c r="B7336" s="1821"/>
      <c r="D7336" s="2" t="str">
        <f t="shared" si="114"/>
        <v>OK</v>
      </c>
      <c r="E7336" s="2" t="s">
        <v>79</v>
      </c>
    </row>
    <row r="7337" spans="1:5" x14ac:dyDescent="0.2">
      <c r="A7337" s="125">
        <f t="shared" si="115"/>
        <v>7276</v>
      </c>
      <c r="B7337" s="1821"/>
      <c r="D7337" s="2" t="str">
        <f t="shared" si="114"/>
        <v>OK</v>
      </c>
      <c r="E7337" s="2" t="s">
        <v>79</v>
      </c>
    </row>
    <row r="7338" spans="1:5" x14ac:dyDescent="0.2">
      <c r="A7338" s="125">
        <f t="shared" si="115"/>
        <v>7277</v>
      </c>
      <c r="B7338" s="1821"/>
      <c r="D7338" s="2" t="str">
        <f t="shared" si="114"/>
        <v>OK</v>
      </c>
      <c r="E7338" s="2" t="s">
        <v>79</v>
      </c>
    </row>
    <row r="7339" spans="1:5" x14ac:dyDescent="0.2">
      <c r="A7339" s="125">
        <f t="shared" si="115"/>
        <v>7278</v>
      </c>
      <c r="B7339" s="1821"/>
      <c r="D7339" s="2" t="str">
        <f t="shared" si="114"/>
        <v>OK</v>
      </c>
      <c r="E7339" s="2" t="s">
        <v>79</v>
      </c>
    </row>
    <row r="7340" spans="1:5" x14ac:dyDescent="0.2">
      <c r="A7340" s="125">
        <f t="shared" si="115"/>
        <v>7279</v>
      </c>
      <c r="B7340" s="1821"/>
      <c r="D7340" s="2" t="str">
        <f t="shared" si="114"/>
        <v>OK</v>
      </c>
      <c r="E7340" s="2" t="s">
        <v>79</v>
      </c>
    </row>
    <row r="7341" spans="1:5" x14ac:dyDescent="0.2">
      <c r="A7341" s="125">
        <f t="shared" si="115"/>
        <v>7280</v>
      </c>
      <c r="B7341" s="1821"/>
      <c r="D7341" s="2" t="str">
        <f t="shared" si="114"/>
        <v>OK</v>
      </c>
      <c r="E7341" s="2" t="s">
        <v>79</v>
      </c>
    </row>
    <row r="7342" spans="1:5" x14ac:dyDescent="0.2">
      <c r="A7342" s="125">
        <f t="shared" si="115"/>
        <v>7281</v>
      </c>
      <c r="B7342" s="1821"/>
      <c r="D7342" s="2" t="str">
        <f t="shared" si="114"/>
        <v>OK</v>
      </c>
      <c r="E7342" s="2" t="s">
        <v>79</v>
      </c>
    </row>
    <row r="7343" spans="1:5" x14ac:dyDescent="0.2">
      <c r="A7343" s="125">
        <f t="shared" si="115"/>
        <v>7282</v>
      </c>
      <c r="B7343" s="1821"/>
      <c r="D7343" s="2" t="str">
        <f t="shared" si="114"/>
        <v>OK</v>
      </c>
      <c r="E7343" s="2" t="s">
        <v>79</v>
      </c>
    </row>
    <row r="7344" spans="1:5" x14ac:dyDescent="0.2">
      <c r="A7344" s="125">
        <f t="shared" si="115"/>
        <v>7283</v>
      </c>
      <c r="B7344" s="1821"/>
      <c r="D7344" s="2" t="str">
        <f t="shared" si="114"/>
        <v>OK</v>
      </c>
      <c r="E7344" s="2" t="s">
        <v>79</v>
      </c>
    </row>
    <row r="7345" spans="1:5" x14ac:dyDescent="0.2">
      <c r="A7345" s="125">
        <f t="shared" si="115"/>
        <v>7284</v>
      </c>
      <c r="B7345" s="1821"/>
      <c r="D7345" s="2" t="str">
        <f t="shared" si="114"/>
        <v>OK</v>
      </c>
      <c r="E7345" s="2" t="s">
        <v>79</v>
      </c>
    </row>
    <row r="7346" spans="1:5" x14ac:dyDescent="0.2">
      <c r="A7346" s="125">
        <f t="shared" si="115"/>
        <v>7285</v>
      </c>
      <c r="B7346" s="1821"/>
      <c r="D7346" s="2" t="str">
        <f t="shared" si="114"/>
        <v>OK</v>
      </c>
      <c r="E7346" s="2" t="s">
        <v>79</v>
      </c>
    </row>
    <row r="7347" spans="1:5" x14ac:dyDescent="0.2">
      <c r="A7347" s="125">
        <f t="shared" si="115"/>
        <v>7286</v>
      </c>
      <c r="B7347" s="1821"/>
      <c r="D7347" s="2" t="str">
        <f t="shared" si="114"/>
        <v>OK</v>
      </c>
      <c r="E7347" s="2" t="s">
        <v>79</v>
      </c>
    </row>
    <row r="7348" spans="1:5" x14ac:dyDescent="0.2">
      <c r="A7348" s="125">
        <f t="shared" si="115"/>
        <v>7287</v>
      </c>
      <c r="B7348" s="1821"/>
      <c r="D7348" s="2" t="str">
        <f t="shared" si="114"/>
        <v>OK</v>
      </c>
      <c r="E7348" s="2" t="s">
        <v>79</v>
      </c>
    </row>
    <row r="7349" spans="1:5" x14ac:dyDescent="0.2">
      <c r="A7349" s="125">
        <f t="shared" si="115"/>
        <v>7288</v>
      </c>
      <c r="B7349" s="1821"/>
      <c r="D7349" s="2" t="str">
        <f t="shared" si="114"/>
        <v>OK</v>
      </c>
      <c r="E7349" s="2" t="s">
        <v>79</v>
      </c>
    </row>
    <row r="7350" spans="1:5" x14ac:dyDescent="0.2">
      <c r="A7350" s="125">
        <f t="shared" si="115"/>
        <v>7289</v>
      </c>
      <c r="B7350" s="1821"/>
      <c r="D7350" s="2" t="str">
        <f t="shared" si="114"/>
        <v>OK</v>
      </c>
      <c r="E7350" s="2" t="s">
        <v>79</v>
      </c>
    </row>
    <row r="7351" spans="1:5" x14ac:dyDescent="0.2">
      <c r="A7351" s="125">
        <f t="shared" si="115"/>
        <v>7290</v>
      </c>
      <c r="B7351" s="1821"/>
      <c r="D7351" s="2" t="str">
        <f t="shared" si="114"/>
        <v>OK</v>
      </c>
      <c r="E7351" s="2" t="s">
        <v>79</v>
      </c>
    </row>
    <row r="7352" spans="1:5" x14ac:dyDescent="0.2">
      <c r="A7352" s="125">
        <f t="shared" si="115"/>
        <v>7291</v>
      </c>
      <c r="B7352" s="1821"/>
      <c r="D7352" s="2" t="str">
        <f t="shared" si="114"/>
        <v>OK</v>
      </c>
      <c r="E7352" s="2" t="s">
        <v>79</v>
      </c>
    </row>
    <row r="7353" spans="1:5" x14ac:dyDescent="0.2">
      <c r="A7353" s="125">
        <f t="shared" si="115"/>
        <v>7292</v>
      </c>
      <c r="B7353" s="1821"/>
      <c r="D7353" s="2" t="str">
        <f t="shared" si="114"/>
        <v>OK</v>
      </c>
      <c r="E7353" s="2" t="s">
        <v>79</v>
      </c>
    </row>
    <row r="7354" spans="1:5" x14ac:dyDescent="0.2">
      <c r="A7354" s="125">
        <f t="shared" si="115"/>
        <v>7293</v>
      </c>
      <c r="B7354" s="1821"/>
      <c r="D7354" s="2" t="str">
        <f t="shared" si="114"/>
        <v>OK</v>
      </c>
      <c r="E7354" s="2" t="s">
        <v>79</v>
      </c>
    </row>
    <row r="7355" spans="1:5" x14ac:dyDescent="0.2">
      <c r="A7355" s="125">
        <f t="shared" si="115"/>
        <v>7294</v>
      </c>
      <c r="B7355" s="1821"/>
      <c r="D7355" s="2" t="str">
        <f t="shared" si="114"/>
        <v>OK</v>
      </c>
      <c r="E7355" s="2" t="s">
        <v>79</v>
      </c>
    </row>
    <row r="7356" spans="1:5" x14ac:dyDescent="0.2">
      <c r="A7356" s="125">
        <f t="shared" si="115"/>
        <v>7295</v>
      </c>
      <c r="B7356" s="1821"/>
      <c r="D7356" s="2" t="str">
        <f t="shared" si="114"/>
        <v>OK</v>
      </c>
      <c r="E7356" s="2" t="s">
        <v>79</v>
      </c>
    </row>
    <row r="7357" spans="1:5" x14ac:dyDescent="0.2">
      <c r="A7357" s="125">
        <f t="shared" si="115"/>
        <v>7296</v>
      </c>
      <c r="B7357" s="1821"/>
      <c r="D7357" s="2" t="str">
        <f t="shared" si="114"/>
        <v>OK</v>
      </c>
      <c r="E7357" s="2" t="s">
        <v>79</v>
      </c>
    </row>
    <row r="7358" spans="1:5" x14ac:dyDescent="0.2">
      <c r="A7358" s="125">
        <f t="shared" si="115"/>
        <v>7297</v>
      </c>
      <c r="B7358" s="1821"/>
      <c r="D7358" s="2" t="str">
        <f t="shared" si="114"/>
        <v>OK</v>
      </c>
      <c r="E7358" s="2" t="s">
        <v>79</v>
      </c>
    </row>
    <row r="7359" spans="1:5" x14ac:dyDescent="0.2">
      <c r="A7359" s="125">
        <f t="shared" si="115"/>
        <v>7298</v>
      </c>
      <c r="B7359" s="1821"/>
      <c r="D7359" s="2" t="str">
        <f t="shared" ref="D7359:D7422" si="116">IF(ISBLANK(B7359),"OK",IF(A7359-B7359=0,"OK","Error?"))</f>
        <v>OK</v>
      </c>
      <c r="E7359" s="2" t="s">
        <v>79</v>
      </c>
    </row>
    <row r="7360" spans="1:5" x14ac:dyDescent="0.2">
      <c r="A7360" s="125">
        <f t="shared" si="115"/>
        <v>7299</v>
      </c>
      <c r="B7360" s="1821"/>
      <c r="D7360" s="2" t="str">
        <f t="shared" si="116"/>
        <v>OK</v>
      </c>
      <c r="E7360" s="2" t="s">
        <v>79</v>
      </c>
    </row>
    <row r="7361" spans="1:5" x14ac:dyDescent="0.2">
      <c r="A7361" s="125">
        <f t="shared" si="115"/>
        <v>7300</v>
      </c>
      <c r="B7361" s="1821"/>
      <c r="D7361" s="2" t="str">
        <f t="shared" si="116"/>
        <v>OK</v>
      </c>
      <c r="E7361" s="2" t="s">
        <v>79</v>
      </c>
    </row>
    <row r="7362" spans="1:5" x14ac:dyDescent="0.2">
      <c r="A7362" s="125">
        <f t="shared" si="115"/>
        <v>7301</v>
      </c>
      <c r="B7362" s="1821"/>
      <c r="D7362" s="2" t="str">
        <f t="shared" si="116"/>
        <v>OK</v>
      </c>
      <c r="E7362" s="2" t="s">
        <v>79</v>
      </c>
    </row>
    <row r="7363" spans="1:5" x14ac:dyDescent="0.2">
      <c r="A7363" s="125">
        <f t="shared" si="115"/>
        <v>7302</v>
      </c>
      <c r="B7363" s="1821"/>
      <c r="D7363" s="2" t="str">
        <f t="shared" si="116"/>
        <v>OK</v>
      </c>
      <c r="E7363" s="2" t="s">
        <v>79</v>
      </c>
    </row>
    <row r="7364" spans="1:5" x14ac:dyDescent="0.2">
      <c r="A7364" s="125">
        <f t="shared" si="115"/>
        <v>7303</v>
      </c>
      <c r="B7364" s="1821"/>
      <c r="D7364" s="2" t="str">
        <f t="shared" si="116"/>
        <v>OK</v>
      </c>
      <c r="E7364" s="2" t="s">
        <v>79</v>
      </c>
    </row>
    <row r="7365" spans="1:5" x14ac:dyDescent="0.2">
      <c r="A7365" s="125">
        <f t="shared" si="115"/>
        <v>7304</v>
      </c>
      <c r="B7365" s="1821"/>
      <c r="D7365" s="2" t="str">
        <f t="shared" si="116"/>
        <v>OK</v>
      </c>
      <c r="E7365" s="2" t="s">
        <v>79</v>
      </c>
    </row>
    <row r="7366" spans="1:5" x14ac:dyDescent="0.2">
      <c r="A7366" s="125">
        <f t="shared" si="115"/>
        <v>7305</v>
      </c>
      <c r="B7366" s="1821"/>
      <c r="D7366" s="2" t="str">
        <f t="shared" si="116"/>
        <v>OK</v>
      </c>
      <c r="E7366" s="2" t="s">
        <v>79</v>
      </c>
    </row>
    <row r="7367" spans="1:5" x14ac:dyDescent="0.2">
      <c r="A7367" s="125">
        <f t="shared" si="115"/>
        <v>7306</v>
      </c>
      <c r="B7367" s="1821"/>
      <c r="D7367" s="2" t="str">
        <f t="shared" si="116"/>
        <v>OK</v>
      </c>
      <c r="E7367" s="2" t="s">
        <v>79</v>
      </c>
    </row>
    <row r="7368" spans="1:5" x14ac:dyDescent="0.2">
      <c r="A7368" s="125">
        <f t="shared" si="115"/>
        <v>7307</v>
      </c>
      <c r="B7368" s="1821"/>
      <c r="D7368" s="2" t="str">
        <f t="shared" si="116"/>
        <v>OK</v>
      </c>
      <c r="E7368" s="2" t="s">
        <v>79</v>
      </c>
    </row>
    <row r="7369" spans="1:5" x14ac:dyDescent="0.2">
      <c r="A7369" s="125">
        <f t="shared" si="115"/>
        <v>7308</v>
      </c>
      <c r="B7369" s="1821"/>
      <c r="D7369" s="2" t="str">
        <f t="shared" si="116"/>
        <v>OK</v>
      </c>
      <c r="E7369" s="2" t="s">
        <v>79</v>
      </c>
    </row>
    <row r="7370" spans="1:5" x14ac:dyDescent="0.2">
      <c r="A7370" s="125">
        <f t="shared" si="115"/>
        <v>7309</v>
      </c>
      <c r="B7370" s="1821"/>
      <c r="D7370" s="2" t="str">
        <f t="shared" si="116"/>
        <v>OK</v>
      </c>
      <c r="E7370" s="2" t="s">
        <v>79</v>
      </c>
    </row>
    <row r="7371" spans="1:5" x14ac:dyDescent="0.2">
      <c r="A7371" s="125">
        <f t="shared" si="115"/>
        <v>7310</v>
      </c>
      <c r="B7371" s="1821"/>
      <c r="D7371" s="2" t="str">
        <f t="shared" si="116"/>
        <v>OK</v>
      </c>
      <c r="E7371" s="2" t="s">
        <v>79</v>
      </c>
    </row>
    <row r="7372" spans="1:5" x14ac:dyDescent="0.2">
      <c r="A7372" s="125">
        <f t="shared" si="115"/>
        <v>7311</v>
      </c>
      <c r="B7372" s="1821"/>
      <c r="D7372" s="2" t="str">
        <f t="shared" si="116"/>
        <v>OK</v>
      </c>
      <c r="E7372" s="2" t="s">
        <v>79</v>
      </c>
    </row>
    <row r="7373" spans="1:5" x14ac:dyDescent="0.2">
      <c r="A7373" s="125">
        <f t="shared" si="115"/>
        <v>7312</v>
      </c>
      <c r="B7373" s="1821"/>
      <c r="D7373" s="2" t="str">
        <f t="shared" si="116"/>
        <v>OK</v>
      </c>
      <c r="E7373" s="2" t="s">
        <v>79</v>
      </c>
    </row>
    <row r="7374" spans="1:5" x14ac:dyDescent="0.2">
      <c r="A7374" s="125">
        <f t="shared" ref="A7374:A7437" si="117">A7373+1</f>
        <v>7313</v>
      </c>
      <c r="B7374" s="1821"/>
      <c r="D7374" s="2" t="str">
        <f t="shared" si="116"/>
        <v>OK</v>
      </c>
      <c r="E7374" s="2" t="s">
        <v>79</v>
      </c>
    </row>
    <row r="7375" spans="1:5" x14ac:dyDescent="0.2">
      <c r="A7375" s="125">
        <f t="shared" si="117"/>
        <v>7314</v>
      </c>
      <c r="B7375" s="1821"/>
      <c r="D7375" s="2" t="str">
        <f t="shared" si="116"/>
        <v>OK</v>
      </c>
      <c r="E7375" s="2" t="s">
        <v>79</v>
      </c>
    </row>
    <row r="7376" spans="1:5" x14ac:dyDescent="0.2">
      <c r="A7376" s="125">
        <f t="shared" si="117"/>
        <v>7315</v>
      </c>
      <c r="B7376" s="1821"/>
      <c r="D7376" s="2" t="str">
        <f t="shared" si="116"/>
        <v>OK</v>
      </c>
      <c r="E7376" s="2" t="s">
        <v>79</v>
      </c>
    </row>
    <row r="7377" spans="1:5" x14ac:dyDescent="0.2">
      <c r="A7377" s="125">
        <f t="shared" si="117"/>
        <v>7316</v>
      </c>
      <c r="B7377" s="1821"/>
      <c r="D7377" s="2" t="str">
        <f t="shared" si="116"/>
        <v>OK</v>
      </c>
      <c r="E7377" s="2" t="s">
        <v>79</v>
      </c>
    </row>
    <row r="7378" spans="1:5" x14ac:dyDescent="0.2">
      <c r="A7378" s="125">
        <f t="shared" si="117"/>
        <v>7317</v>
      </c>
      <c r="B7378" s="1821"/>
      <c r="D7378" s="2" t="str">
        <f t="shared" si="116"/>
        <v>OK</v>
      </c>
      <c r="E7378" s="2" t="s">
        <v>79</v>
      </c>
    </row>
    <row r="7379" spans="1:5" x14ac:dyDescent="0.2">
      <c r="A7379" s="125">
        <f t="shared" si="117"/>
        <v>7318</v>
      </c>
      <c r="B7379" s="1821"/>
      <c r="D7379" s="2" t="str">
        <f t="shared" si="116"/>
        <v>OK</v>
      </c>
      <c r="E7379" s="2" t="s">
        <v>79</v>
      </c>
    </row>
    <row r="7380" spans="1:5" x14ac:dyDescent="0.2">
      <c r="A7380" s="125">
        <f t="shared" si="117"/>
        <v>7319</v>
      </c>
      <c r="B7380" s="1821"/>
      <c r="D7380" s="2" t="str">
        <f t="shared" si="116"/>
        <v>OK</v>
      </c>
      <c r="E7380" s="2" t="s">
        <v>79</v>
      </c>
    </row>
    <row r="7381" spans="1:5" x14ac:dyDescent="0.2">
      <c r="A7381" s="125">
        <f t="shared" si="117"/>
        <v>7320</v>
      </c>
      <c r="B7381" s="1821"/>
      <c r="D7381" s="2" t="str">
        <f t="shared" si="116"/>
        <v>OK</v>
      </c>
      <c r="E7381" s="2" t="s">
        <v>79</v>
      </c>
    </row>
    <row r="7382" spans="1:5" x14ac:dyDescent="0.2">
      <c r="A7382" s="125">
        <f t="shared" si="117"/>
        <v>7321</v>
      </c>
      <c r="B7382" s="1821"/>
      <c r="D7382" s="2" t="str">
        <f t="shared" si="116"/>
        <v>OK</v>
      </c>
      <c r="E7382" s="2" t="s">
        <v>79</v>
      </c>
    </row>
    <row r="7383" spans="1:5" x14ac:dyDescent="0.2">
      <c r="A7383" s="125">
        <f t="shared" si="117"/>
        <v>7322</v>
      </c>
      <c r="B7383" s="1821"/>
      <c r="D7383" s="2" t="str">
        <f t="shared" si="116"/>
        <v>OK</v>
      </c>
      <c r="E7383" s="2" t="s">
        <v>79</v>
      </c>
    </row>
    <row r="7384" spans="1:5" x14ac:dyDescent="0.2">
      <c r="A7384" s="125">
        <f t="shared" si="117"/>
        <v>7323</v>
      </c>
      <c r="B7384" s="1821"/>
      <c r="D7384" s="2" t="str">
        <f t="shared" si="116"/>
        <v>OK</v>
      </c>
      <c r="E7384" s="2" t="s">
        <v>79</v>
      </c>
    </row>
    <row r="7385" spans="1:5" x14ac:dyDescent="0.2">
      <c r="A7385" s="125">
        <f t="shared" si="117"/>
        <v>7324</v>
      </c>
      <c r="B7385" s="1821"/>
      <c r="D7385" s="2" t="str">
        <f t="shared" si="116"/>
        <v>OK</v>
      </c>
      <c r="E7385" s="2" t="s">
        <v>79</v>
      </c>
    </row>
    <row r="7386" spans="1:5" x14ac:dyDescent="0.2">
      <c r="A7386" s="125">
        <f t="shared" si="117"/>
        <v>7325</v>
      </c>
      <c r="B7386" s="1821"/>
      <c r="D7386" s="2" t="str">
        <f t="shared" si="116"/>
        <v>OK</v>
      </c>
      <c r="E7386" s="2" t="s">
        <v>79</v>
      </c>
    </row>
    <row r="7387" spans="1:5" x14ac:dyDescent="0.2">
      <c r="A7387" s="125">
        <f t="shared" si="117"/>
        <v>7326</v>
      </c>
      <c r="B7387" s="1821"/>
      <c r="D7387" s="2" t="str">
        <f t="shared" si="116"/>
        <v>OK</v>
      </c>
      <c r="E7387" s="2" t="s">
        <v>79</v>
      </c>
    </row>
    <row r="7388" spans="1:5" x14ac:dyDescent="0.2">
      <c r="A7388" s="125">
        <f t="shared" si="117"/>
        <v>7327</v>
      </c>
      <c r="B7388" s="1821"/>
      <c r="D7388" s="2" t="str">
        <f t="shared" si="116"/>
        <v>OK</v>
      </c>
      <c r="E7388" s="2" t="s">
        <v>79</v>
      </c>
    </row>
    <row r="7389" spans="1:5" x14ac:dyDescent="0.2">
      <c r="A7389" s="125">
        <f t="shared" si="117"/>
        <v>7328</v>
      </c>
      <c r="B7389" s="1821"/>
      <c r="D7389" s="2" t="str">
        <f t="shared" si="116"/>
        <v>OK</v>
      </c>
      <c r="E7389" s="2" t="s">
        <v>79</v>
      </c>
    </row>
    <row r="7390" spans="1:5" x14ac:dyDescent="0.2">
      <c r="A7390" s="125">
        <f t="shared" si="117"/>
        <v>7329</v>
      </c>
      <c r="B7390" s="1821"/>
      <c r="D7390" s="2" t="str">
        <f t="shared" si="116"/>
        <v>OK</v>
      </c>
      <c r="E7390" s="2" t="s">
        <v>79</v>
      </c>
    </row>
    <row r="7391" spans="1:5" x14ac:dyDescent="0.2">
      <c r="A7391" s="125">
        <f t="shared" si="117"/>
        <v>7330</v>
      </c>
      <c r="B7391" s="1821"/>
      <c r="D7391" s="2" t="str">
        <f t="shared" si="116"/>
        <v>OK</v>
      </c>
      <c r="E7391" s="2" t="s">
        <v>79</v>
      </c>
    </row>
    <row r="7392" spans="1:5" x14ac:dyDescent="0.2">
      <c r="A7392" s="125">
        <f t="shared" si="117"/>
        <v>7331</v>
      </c>
      <c r="B7392" s="1821"/>
      <c r="D7392" s="2" t="str">
        <f t="shared" si="116"/>
        <v>OK</v>
      </c>
      <c r="E7392" s="2" t="s">
        <v>79</v>
      </c>
    </row>
    <row r="7393" spans="1:5" x14ac:dyDescent="0.2">
      <c r="A7393" s="125">
        <f t="shared" si="117"/>
        <v>7332</v>
      </c>
      <c r="B7393" s="1821"/>
      <c r="D7393" s="2" t="str">
        <f t="shared" si="116"/>
        <v>OK</v>
      </c>
      <c r="E7393" s="2" t="s">
        <v>79</v>
      </c>
    </row>
    <row r="7394" spans="1:5" x14ac:dyDescent="0.2">
      <c r="A7394" s="125">
        <f t="shared" si="117"/>
        <v>7333</v>
      </c>
      <c r="B7394" s="1821"/>
      <c r="D7394" s="2" t="str">
        <f t="shared" si="116"/>
        <v>OK</v>
      </c>
      <c r="E7394" s="2" t="s">
        <v>79</v>
      </c>
    </row>
    <row r="7395" spans="1:5" x14ac:dyDescent="0.2">
      <c r="A7395" s="125">
        <f t="shared" si="117"/>
        <v>7334</v>
      </c>
      <c r="B7395" s="1821"/>
      <c r="D7395" s="2" t="str">
        <f t="shared" si="116"/>
        <v>OK</v>
      </c>
      <c r="E7395" s="2" t="s">
        <v>79</v>
      </c>
    </row>
    <row r="7396" spans="1:5" x14ac:dyDescent="0.2">
      <c r="A7396" s="125">
        <f t="shared" si="117"/>
        <v>7335</v>
      </c>
      <c r="B7396" s="1821"/>
      <c r="D7396" s="2" t="str">
        <f t="shared" si="116"/>
        <v>OK</v>
      </c>
      <c r="E7396" s="2" t="s">
        <v>79</v>
      </c>
    </row>
    <row r="7397" spans="1:5" x14ac:dyDescent="0.2">
      <c r="A7397" s="125">
        <f t="shared" si="117"/>
        <v>7336</v>
      </c>
      <c r="B7397" s="1821"/>
      <c r="D7397" s="2" t="str">
        <f t="shared" si="116"/>
        <v>OK</v>
      </c>
      <c r="E7397" s="2" t="s">
        <v>79</v>
      </c>
    </row>
    <row r="7398" spans="1:5" x14ac:dyDescent="0.2">
      <c r="A7398" s="125">
        <f t="shared" si="117"/>
        <v>7337</v>
      </c>
      <c r="B7398" s="1821"/>
      <c r="D7398" s="2" t="str">
        <f t="shared" si="116"/>
        <v>OK</v>
      </c>
      <c r="E7398" s="2" t="s">
        <v>79</v>
      </c>
    </row>
    <row r="7399" spans="1:5" x14ac:dyDescent="0.2">
      <c r="A7399" s="125">
        <f t="shared" si="117"/>
        <v>7338</v>
      </c>
      <c r="B7399" s="1821"/>
      <c r="D7399" s="2" t="str">
        <f t="shared" si="116"/>
        <v>OK</v>
      </c>
      <c r="E7399" s="2" t="s">
        <v>79</v>
      </c>
    </row>
    <row r="7400" spans="1:5" x14ac:dyDescent="0.2">
      <c r="A7400" s="125">
        <f t="shared" si="117"/>
        <v>7339</v>
      </c>
      <c r="B7400" s="1821"/>
      <c r="D7400" s="2" t="str">
        <f t="shared" si="116"/>
        <v>OK</v>
      </c>
      <c r="E7400" s="2" t="s">
        <v>79</v>
      </c>
    </row>
    <row r="7401" spans="1:5" x14ac:dyDescent="0.2">
      <c r="A7401" s="125">
        <f t="shared" si="117"/>
        <v>7340</v>
      </c>
      <c r="B7401" s="1821"/>
      <c r="D7401" s="2" t="str">
        <f t="shared" si="116"/>
        <v>OK</v>
      </c>
      <c r="E7401" s="2" t="s">
        <v>79</v>
      </c>
    </row>
    <row r="7402" spans="1:5" x14ac:dyDescent="0.2">
      <c r="A7402" s="125">
        <f t="shared" si="117"/>
        <v>7341</v>
      </c>
      <c r="B7402" s="1821"/>
      <c r="D7402" s="2" t="str">
        <f t="shared" si="116"/>
        <v>OK</v>
      </c>
      <c r="E7402" s="2" t="s">
        <v>79</v>
      </c>
    </row>
    <row r="7403" spans="1:5" x14ac:dyDescent="0.2">
      <c r="A7403" s="125">
        <f t="shared" si="117"/>
        <v>7342</v>
      </c>
      <c r="B7403" s="1821"/>
      <c r="D7403" s="2" t="str">
        <f t="shared" si="116"/>
        <v>OK</v>
      </c>
      <c r="E7403" s="2" t="s">
        <v>79</v>
      </c>
    </row>
    <row r="7404" spans="1:5" x14ac:dyDescent="0.2">
      <c r="A7404" s="125">
        <f t="shared" si="117"/>
        <v>7343</v>
      </c>
      <c r="B7404" s="1821"/>
      <c r="D7404" s="2" t="str">
        <f t="shared" si="116"/>
        <v>OK</v>
      </c>
      <c r="E7404" s="2" t="s">
        <v>79</v>
      </c>
    </row>
    <row r="7405" spans="1:5" x14ac:dyDescent="0.2">
      <c r="A7405" s="125">
        <f t="shared" si="117"/>
        <v>7344</v>
      </c>
      <c r="B7405" s="1821"/>
      <c r="D7405" s="2" t="str">
        <f t="shared" si="116"/>
        <v>OK</v>
      </c>
      <c r="E7405" s="2" t="s">
        <v>79</v>
      </c>
    </row>
    <row r="7406" spans="1:5" x14ac:dyDescent="0.2">
      <c r="A7406" s="125">
        <f t="shared" si="117"/>
        <v>7345</v>
      </c>
      <c r="B7406" s="1821"/>
      <c r="D7406" s="2" t="str">
        <f t="shared" si="116"/>
        <v>OK</v>
      </c>
      <c r="E7406" s="2" t="s">
        <v>79</v>
      </c>
    </row>
    <row r="7407" spans="1:5" x14ac:dyDescent="0.2">
      <c r="A7407" s="125">
        <f t="shared" si="117"/>
        <v>7346</v>
      </c>
      <c r="B7407" s="1821"/>
      <c r="D7407" s="2" t="str">
        <f t="shared" si="116"/>
        <v>OK</v>
      </c>
      <c r="E7407" s="2" t="s">
        <v>79</v>
      </c>
    </row>
    <row r="7408" spans="1:5" x14ac:dyDescent="0.2">
      <c r="A7408" s="125">
        <f t="shared" si="117"/>
        <v>7347</v>
      </c>
      <c r="B7408" s="1821"/>
      <c r="D7408" s="2" t="str">
        <f t="shared" si="116"/>
        <v>OK</v>
      </c>
      <c r="E7408" s="2" t="s">
        <v>79</v>
      </c>
    </row>
    <row r="7409" spans="1:5" x14ac:dyDescent="0.2">
      <c r="A7409" s="125">
        <f t="shared" si="117"/>
        <v>7348</v>
      </c>
      <c r="B7409" s="1821"/>
      <c r="D7409" s="2" t="str">
        <f t="shared" si="116"/>
        <v>OK</v>
      </c>
      <c r="E7409" s="2" t="s">
        <v>79</v>
      </c>
    </row>
    <row r="7410" spans="1:5" x14ac:dyDescent="0.2">
      <c r="A7410" s="125">
        <f t="shared" si="117"/>
        <v>7349</v>
      </c>
      <c r="B7410" s="1821"/>
      <c r="D7410" s="2" t="str">
        <f t="shared" si="116"/>
        <v>OK</v>
      </c>
      <c r="E7410" s="2" t="s">
        <v>79</v>
      </c>
    </row>
    <row r="7411" spans="1:5" x14ac:dyDescent="0.2">
      <c r="A7411" s="125">
        <f t="shared" si="117"/>
        <v>7350</v>
      </c>
      <c r="B7411" s="1821"/>
      <c r="D7411" s="2" t="str">
        <f t="shared" si="116"/>
        <v>OK</v>
      </c>
      <c r="E7411" s="2" t="s">
        <v>79</v>
      </c>
    </row>
    <row r="7412" spans="1:5" x14ac:dyDescent="0.2">
      <c r="A7412" s="125">
        <f t="shared" si="117"/>
        <v>7351</v>
      </c>
      <c r="B7412" s="1821"/>
      <c r="D7412" s="2" t="str">
        <f t="shared" si="116"/>
        <v>OK</v>
      </c>
      <c r="E7412" s="2" t="s">
        <v>79</v>
      </c>
    </row>
    <row r="7413" spans="1:5" x14ac:dyDescent="0.2">
      <c r="A7413" s="125">
        <f t="shared" si="117"/>
        <v>7352</v>
      </c>
      <c r="B7413" s="1821"/>
      <c r="D7413" s="2" t="str">
        <f t="shared" si="116"/>
        <v>OK</v>
      </c>
      <c r="E7413" s="2" t="s">
        <v>79</v>
      </c>
    </row>
    <row r="7414" spans="1:5" x14ac:dyDescent="0.2">
      <c r="A7414" s="125">
        <f t="shared" si="117"/>
        <v>7353</v>
      </c>
      <c r="B7414" s="1821"/>
      <c r="D7414" s="2" t="str">
        <f t="shared" si="116"/>
        <v>OK</v>
      </c>
      <c r="E7414" s="2" t="s">
        <v>79</v>
      </c>
    </row>
    <row r="7415" spans="1:5" x14ac:dyDescent="0.2">
      <c r="A7415" s="125">
        <f t="shared" si="117"/>
        <v>7354</v>
      </c>
      <c r="B7415" s="1821"/>
      <c r="D7415" s="2" t="str">
        <f t="shared" si="116"/>
        <v>OK</v>
      </c>
      <c r="E7415" s="2" t="s">
        <v>79</v>
      </c>
    </row>
    <row r="7416" spans="1:5" x14ac:dyDescent="0.2">
      <c r="A7416" s="125">
        <f t="shared" si="117"/>
        <v>7355</v>
      </c>
      <c r="B7416" s="1821"/>
      <c r="D7416" s="2" t="str">
        <f t="shared" si="116"/>
        <v>OK</v>
      </c>
      <c r="E7416" s="2" t="s">
        <v>79</v>
      </c>
    </row>
    <row r="7417" spans="1:5" x14ac:dyDescent="0.2">
      <c r="A7417" s="125">
        <f t="shared" si="117"/>
        <v>7356</v>
      </c>
      <c r="B7417" s="1821"/>
      <c r="D7417" s="2" t="str">
        <f t="shared" si="116"/>
        <v>OK</v>
      </c>
      <c r="E7417" s="2" t="s">
        <v>79</v>
      </c>
    </row>
    <row r="7418" spans="1:5" x14ac:dyDescent="0.2">
      <c r="A7418" s="125">
        <f t="shared" si="117"/>
        <v>7357</v>
      </c>
      <c r="B7418" s="1821"/>
      <c r="D7418" s="2" t="str">
        <f t="shared" si="116"/>
        <v>OK</v>
      </c>
      <c r="E7418" s="2" t="s">
        <v>79</v>
      </c>
    </row>
    <row r="7419" spans="1:5" x14ac:dyDescent="0.2">
      <c r="A7419" s="125">
        <f t="shared" si="117"/>
        <v>7358</v>
      </c>
      <c r="B7419" s="1821"/>
      <c r="D7419" s="2" t="str">
        <f t="shared" si="116"/>
        <v>OK</v>
      </c>
      <c r="E7419" s="2" t="s">
        <v>79</v>
      </c>
    </row>
    <row r="7420" spans="1:5" x14ac:dyDescent="0.2">
      <c r="A7420" s="125">
        <f t="shared" si="117"/>
        <v>7359</v>
      </c>
      <c r="B7420" s="1821"/>
      <c r="D7420" s="2" t="str">
        <f t="shared" si="116"/>
        <v>OK</v>
      </c>
      <c r="E7420" s="2" t="s">
        <v>79</v>
      </c>
    </row>
    <row r="7421" spans="1:5" x14ac:dyDescent="0.2">
      <c r="A7421" s="125">
        <f t="shared" si="117"/>
        <v>7360</v>
      </c>
      <c r="B7421" s="1821"/>
      <c r="D7421" s="2" t="str">
        <f t="shared" si="116"/>
        <v>OK</v>
      </c>
      <c r="E7421" s="2" t="s">
        <v>79</v>
      </c>
    </row>
    <row r="7422" spans="1:5" x14ac:dyDescent="0.2">
      <c r="A7422" s="125">
        <f t="shared" si="117"/>
        <v>7361</v>
      </c>
      <c r="B7422" s="1821"/>
      <c r="D7422" s="2" t="str">
        <f t="shared" si="116"/>
        <v>OK</v>
      </c>
      <c r="E7422" s="2" t="s">
        <v>79</v>
      </c>
    </row>
    <row r="7423" spans="1:5" x14ac:dyDescent="0.2">
      <c r="A7423" s="125">
        <f t="shared" si="117"/>
        <v>7362</v>
      </c>
      <c r="B7423" s="1821"/>
      <c r="D7423" s="2" t="str">
        <f t="shared" ref="D7423:D7486" si="118">IF(ISBLANK(B7423),"OK",IF(A7423-B7423=0,"OK","Error?"))</f>
        <v>OK</v>
      </c>
      <c r="E7423" s="2" t="s">
        <v>79</v>
      </c>
    </row>
    <row r="7424" spans="1:5" x14ac:dyDescent="0.2">
      <c r="A7424" s="125">
        <f t="shared" si="117"/>
        <v>7363</v>
      </c>
      <c r="B7424" s="1821"/>
      <c r="D7424" s="2" t="str">
        <f t="shared" si="118"/>
        <v>OK</v>
      </c>
      <c r="E7424" s="2" t="s">
        <v>79</v>
      </c>
    </row>
    <row r="7425" spans="1:5" x14ac:dyDescent="0.2">
      <c r="A7425" s="125">
        <f t="shared" si="117"/>
        <v>7364</v>
      </c>
      <c r="B7425" s="1821"/>
      <c r="D7425" s="2" t="str">
        <f t="shared" si="118"/>
        <v>OK</v>
      </c>
      <c r="E7425" s="2" t="s">
        <v>79</v>
      </c>
    </row>
    <row r="7426" spans="1:5" x14ac:dyDescent="0.2">
      <c r="A7426" s="125">
        <f t="shared" si="117"/>
        <v>7365</v>
      </c>
      <c r="B7426" s="1821"/>
      <c r="D7426" s="2" t="str">
        <f t="shared" si="118"/>
        <v>OK</v>
      </c>
      <c r="E7426" s="2" t="s">
        <v>79</v>
      </c>
    </row>
    <row r="7427" spans="1:5" x14ac:dyDescent="0.2">
      <c r="A7427" s="125">
        <f t="shared" si="117"/>
        <v>7366</v>
      </c>
      <c r="B7427" s="1821"/>
      <c r="D7427" s="2" t="str">
        <f t="shared" si="118"/>
        <v>OK</v>
      </c>
      <c r="E7427" s="2" t="s">
        <v>79</v>
      </c>
    </row>
    <row r="7428" spans="1:5" x14ac:dyDescent="0.2">
      <c r="A7428" s="125">
        <f t="shared" si="117"/>
        <v>7367</v>
      </c>
      <c r="B7428" s="1821"/>
      <c r="D7428" s="2" t="str">
        <f t="shared" si="118"/>
        <v>OK</v>
      </c>
      <c r="E7428" s="2" t="s">
        <v>79</v>
      </c>
    </row>
    <row r="7429" spans="1:5" x14ac:dyDescent="0.2">
      <c r="A7429" s="125">
        <f t="shared" si="117"/>
        <v>7368</v>
      </c>
      <c r="B7429" s="1821"/>
      <c r="D7429" s="2" t="str">
        <f t="shared" si="118"/>
        <v>OK</v>
      </c>
      <c r="E7429" s="2" t="s">
        <v>79</v>
      </c>
    </row>
    <row r="7430" spans="1:5" x14ac:dyDescent="0.2">
      <c r="A7430" s="125">
        <f t="shared" si="117"/>
        <v>7369</v>
      </c>
      <c r="B7430" s="1821"/>
      <c r="D7430" s="2" t="str">
        <f t="shared" si="118"/>
        <v>OK</v>
      </c>
      <c r="E7430" s="2" t="s">
        <v>79</v>
      </c>
    </row>
    <row r="7431" spans="1:5" x14ac:dyDescent="0.2">
      <c r="A7431" s="125">
        <f t="shared" si="117"/>
        <v>7370</v>
      </c>
      <c r="B7431" s="1821"/>
      <c r="D7431" s="2" t="str">
        <f t="shared" si="118"/>
        <v>OK</v>
      </c>
      <c r="E7431" s="2" t="s">
        <v>79</v>
      </c>
    </row>
    <row r="7432" spans="1:5" x14ac:dyDescent="0.2">
      <c r="A7432" s="125">
        <f t="shared" si="117"/>
        <v>7371</v>
      </c>
      <c r="B7432" s="1821"/>
      <c r="D7432" s="2" t="str">
        <f t="shared" si="118"/>
        <v>OK</v>
      </c>
      <c r="E7432" s="2" t="s">
        <v>79</v>
      </c>
    </row>
    <row r="7433" spans="1:5" x14ac:dyDescent="0.2">
      <c r="A7433" s="125">
        <f t="shared" si="117"/>
        <v>7372</v>
      </c>
      <c r="B7433" s="1821"/>
      <c r="D7433" s="2" t="str">
        <f t="shared" si="118"/>
        <v>OK</v>
      </c>
      <c r="E7433" s="2" t="s">
        <v>79</v>
      </c>
    </row>
    <row r="7434" spans="1:5" x14ac:dyDescent="0.2">
      <c r="A7434" s="125">
        <f t="shared" si="117"/>
        <v>7373</v>
      </c>
      <c r="B7434" s="1821"/>
      <c r="D7434" s="2" t="str">
        <f t="shared" si="118"/>
        <v>OK</v>
      </c>
      <c r="E7434" s="2" t="s">
        <v>79</v>
      </c>
    </row>
    <row r="7435" spans="1:5" x14ac:dyDescent="0.2">
      <c r="A7435" s="125">
        <f t="shared" si="117"/>
        <v>7374</v>
      </c>
      <c r="B7435" s="1821"/>
      <c r="D7435" s="2" t="str">
        <f t="shared" si="118"/>
        <v>OK</v>
      </c>
      <c r="E7435" s="2" t="s">
        <v>79</v>
      </c>
    </row>
    <row r="7436" spans="1:5" x14ac:dyDescent="0.2">
      <c r="A7436" s="125">
        <f t="shared" si="117"/>
        <v>7375</v>
      </c>
      <c r="B7436" s="1821"/>
      <c r="D7436" s="2" t="str">
        <f t="shared" si="118"/>
        <v>OK</v>
      </c>
      <c r="E7436" s="2" t="s">
        <v>79</v>
      </c>
    </row>
    <row r="7437" spans="1:5" x14ac:dyDescent="0.2">
      <c r="A7437" s="125">
        <f t="shared" si="117"/>
        <v>7376</v>
      </c>
      <c r="B7437" s="1821"/>
      <c r="D7437" s="2" t="str">
        <f t="shared" si="118"/>
        <v>OK</v>
      </c>
      <c r="E7437" s="2" t="s">
        <v>79</v>
      </c>
    </row>
    <row r="7438" spans="1:5" x14ac:dyDescent="0.2">
      <c r="A7438" s="125">
        <f t="shared" ref="A7438:A7501" si="119">A7437+1</f>
        <v>7377</v>
      </c>
      <c r="B7438" s="1821"/>
      <c r="D7438" s="2" t="str">
        <f t="shared" si="118"/>
        <v>OK</v>
      </c>
      <c r="E7438" s="2" t="s">
        <v>79</v>
      </c>
    </row>
    <row r="7439" spans="1:5" x14ac:dyDescent="0.2">
      <c r="A7439" s="125">
        <f t="shared" si="119"/>
        <v>7378</v>
      </c>
      <c r="B7439" s="1821"/>
      <c r="D7439" s="2" t="str">
        <f t="shared" si="118"/>
        <v>OK</v>
      </c>
      <c r="E7439" s="2" t="s">
        <v>79</v>
      </c>
    </row>
    <row r="7440" spans="1:5" x14ac:dyDescent="0.2">
      <c r="A7440" s="125">
        <f t="shared" si="119"/>
        <v>7379</v>
      </c>
      <c r="B7440" s="1821"/>
      <c r="D7440" s="2" t="str">
        <f t="shared" si="118"/>
        <v>OK</v>
      </c>
      <c r="E7440" s="2" t="s">
        <v>79</v>
      </c>
    </row>
    <row r="7441" spans="1:5" x14ac:dyDescent="0.2">
      <c r="A7441" s="125">
        <f t="shared" si="119"/>
        <v>7380</v>
      </c>
      <c r="B7441" s="1821"/>
      <c r="D7441" s="2" t="str">
        <f t="shared" si="118"/>
        <v>OK</v>
      </c>
      <c r="E7441" s="2" t="s">
        <v>79</v>
      </c>
    </row>
    <row r="7442" spans="1:5" x14ac:dyDescent="0.2">
      <c r="A7442" s="125">
        <f t="shared" si="119"/>
        <v>7381</v>
      </c>
      <c r="B7442" s="1821"/>
      <c r="D7442" s="2" t="str">
        <f t="shared" si="118"/>
        <v>OK</v>
      </c>
      <c r="E7442" s="2" t="s">
        <v>79</v>
      </c>
    </row>
    <row r="7443" spans="1:5" x14ac:dyDescent="0.2">
      <c r="A7443" s="125">
        <f t="shared" si="119"/>
        <v>7382</v>
      </c>
      <c r="B7443" s="1821"/>
      <c r="D7443" s="2" t="str">
        <f t="shared" si="118"/>
        <v>OK</v>
      </c>
      <c r="E7443" s="2" t="s">
        <v>79</v>
      </c>
    </row>
    <row r="7444" spans="1:5" x14ac:dyDescent="0.2">
      <c r="A7444" s="125">
        <f t="shared" si="119"/>
        <v>7383</v>
      </c>
      <c r="B7444" s="1821"/>
      <c r="D7444" s="2" t="str">
        <f t="shared" si="118"/>
        <v>OK</v>
      </c>
      <c r="E7444" s="2" t="s">
        <v>79</v>
      </c>
    </row>
    <row r="7445" spans="1:5" x14ac:dyDescent="0.2">
      <c r="A7445" s="125">
        <f t="shared" si="119"/>
        <v>7384</v>
      </c>
      <c r="B7445" s="1821"/>
      <c r="D7445" s="2" t="str">
        <f t="shared" si="118"/>
        <v>OK</v>
      </c>
      <c r="E7445" s="2" t="s">
        <v>79</v>
      </c>
    </row>
    <row r="7446" spans="1:5" x14ac:dyDescent="0.2">
      <c r="A7446" s="125">
        <f t="shared" si="119"/>
        <v>7385</v>
      </c>
      <c r="B7446" s="1821"/>
      <c r="D7446" s="2" t="str">
        <f t="shared" si="118"/>
        <v>OK</v>
      </c>
      <c r="E7446" s="2" t="s">
        <v>79</v>
      </c>
    </row>
    <row r="7447" spans="1:5" x14ac:dyDescent="0.2">
      <c r="A7447" s="125">
        <f t="shared" si="119"/>
        <v>7386</v>
      </c>
      <c r="B7447" s="1821"/>
      <c r="D7447" s="2" t="str">
        <f t="shared" si="118"/>
        <v>OK</v>
      </c>
      <c r="E7447" s="2" t="s">
        <v>79</v>
      </c>
    </row>
    <row r="7448" spans="1:5" x14ac:dyDescent="0.2">
      <c r="A7448" s="125">
        <f t="shared" si="119"/>
        <v>7387</v>
      </c>
      <c r="B7448" s="1821"/>
      <c r="D7448" s="2" t="str">
        <f t="shared" si="118"/>
        <v>OK</v>
      </c>
      <c r="E7448" s="2" t="s">
        <v>79</v>
      </c>
    </row>
    <row r="7449" spans="1:5" x14ac:dyDescent="0.2">
      <c r="A7449" s="125">
        <f t="shared" si="119"/>
        <v>7388</v>
      </c>
      <c r="B7449" s="1821"/>
      <c r="D7449" s="2" t="str">
        <f t="shared" si="118"/>
        <v>OK</v>
      </c>
      <c r="E7449" s="2" t="s">
        <v>79</v>
      </c>
    </row>
    <row r="7450" spans="1:5" x14ac:dyDescent="0.2">
      <c r="A7450" s="125">
        <f t="shared" si="119"/>
        <v>7389</v>
      </c>
      <c r="B7450" s="1821"/>
      <c r="D7450" s="2" t="str">
        <f t="shared" si="118"/>
        <v>OK</v>
      </c>
      <c r="E7450" s="2" t="s">
        <v>79</v>
      </c>
    </row>
    <row r="7451" spans="1:5" x14ac:dyDescent="0.2">
      <c r="A7451" s="125">
        <f t="shared" si="119"/>
        <v>7390</v>
      </c>
      <c r="B7451" s="1821"/>
      <c r="D7451" s="2" t="str">
        <f t="shared" si="118"/>
        <v>OK</v>
      </c>
      <c r="E7451" s="2" t="s">
        <v>79</v>
      </c>
    </row>
    <row r="7452" spans="1:5" x14ac:dyDescent="0.2">
      <c r="A7452" s="125">
        <f t="shared" si="119"/>
        <v>7391</v>
      </c>
      <c r="B7452" s="1821"/>
      <c r="D7452" s="2" t="str">
        <f t="shared" si="118"/>
        <v>OK</v>
      </c>
      <c r="E7452" s="2" t="s">
        <v>79</v>
      </c>
    </row>
    <row r="7453" spans="1:5" x14ac:dyDescent="0.2">
      <c r="A7453" s="125">
        <f t="shared" si="119"/>
        <v>7392</v>
      </c>
      <c r="B7453" s="1821"/>
      <c r="D7453" s="2" t="str">
        <f t="shared" si="118"/>
        <v>OK</v>
      </c>
      <c r="E7453" s="2" t="s">
        <v>79</v>
      </c>
    </row>
    <row r="7454" spans="1:5" x14ac:dyDescent="0.2">
      <c r="A7454" s="125">
        <f t="shared" si="119"/>
        <v>7393</v>
      </c>
      <c r="B7454" s="1821"/>
      <c r="D7454" s="2" t="str">
        <f t="shared" si="118"/>
        <v>OK</v>
      </c>
      <c r="E7454" s="2" t="s">
        <v>79</v>
      </c>
    </row>
    <row r="7455" spans="1:5" x14ac:dyDescent="0.2">
      <c r="A7455" s="125">
        <f t="shared" si="119"/>
        <v>7394</v>
      </c>
      <c r="B7455" s="1821"/>
      <c r="D7455" s="2" t="str">
        <f t="shared" si="118"/>
        <v>OK</v>
      </c>
      <c r="E7455" s="2" t="s">
        <v>79</v>
      </c>
    </row>
    <row r="7456" spans="1:5" x14ac:dyDescent="0.2">
      <c r="A7456" s="125">
        <f t="shared" si="119"/>
        <v>7395</v>
      </c>
      <c r="B7456" s="1821"/>
      <c r="D7456" s="2" t="str">
        <f t="shared" si="118"/>
        <v>OK</v>
      </c>
      <c r="E7456" s="2" t="s">
        <v>79</v>
      </c>
    </row>
    <row r="7457" spans="1:5" x14ac:dyDescent="0.2">
      <c r="A7457" s="125">
        <f t="shared" si="119"/>
        <v>7396</v>
      </c>
      <c r="B7457" s="1821"/>
      <c r="D7457" s="2" t="str">
        <f t="shared" si="118"/>
        <v>OK</v>
      </c>
      <c r="E7457" s="2" t="s">
        <v>79</v>
      </c>
    </row>
    <row r="7458" spans="1:5" x14ac:dyDescent="0.2">
      <c r="A7458" s="125">
        <f t="shared" si="119"/>
        <v>7397</v>
      </c>
      <c r="B7458" s="1821"/>
      <c r="D7458" s="2" t="str">
        <f t="shared" si="118"/>
        <v>OK</v>
      </c>
      <c r="E7458" s="2" t="s">
        <v>79</v>
      </c>
    </row>
    <row r="7459" spans="1:5" x14ac:dyDescent="0.2">
      <c r="A7459" s="125">
        <f t="shared" si="119"/>
        <v>7398</v>
      </c>
      <c r="B7459" s="1821"/>
      <c r="D7459" s="2" t="str">
        <f t="shared" si="118"/>
        <v>OK</v>
      </c>
      <c r="E7459" s="2" t="s">
        <v>79</v>
      </c>
    </row>
    <row r="7460" spans="1:5" x14ac:dyDescent="0.2">
      <c r="A7460" s="125">
        <f t="shared" si="119"/>
        <v>7399</v>
      </c>
      <c r="B7460" s="1821"/>
      <c r="D7460" s="2" t="str">
        <f t="shared" si="118"/>
        <v>OK</v>
      </c>
      <c r="E7460" s="2" t="s">
        <v>79</v>
      </c>
    </row>
    <row r="7461" spans="1:5" x14ac:dyDescent="0.2">
      <c r="A7461" s="125">
        <f t="shared" si="119"/>
        <v>7400</v>
      </c>
      <c r="B7461" s="1821"/>
      <c r="D7461" s="2" t="str">
        <f t="shared" si="118"/>
        <v>OK</v>
      </c>
      <c r="E7461" s="2" t="s">
        <v>79</v>
      </c>
    </row>
    <row r="7462" spans="1:5" x14ac:dyDescent="0.2">
      <c r="A7462" s="125">
        <f t="shared" si="119"/>
        <v>7401</v>
      </c>
      <c r="B7462" s="1821"/>
      <c r="D7462" s="2" t="str">
        <f t="shared" si="118"/>
        <v>OK</v>
      </c>
      <c r="E7462" s="2" t="s">
        <v>79</v>
      </c>
    </row>
    <row r="7463" spans="1:5" x14ac:dyDescent="0.2">
      <c r="A7463" s="125">
        <f t="shared" si="119"/>
        <v>7402</v>
      </c>
      <c r="B7463" s="1821"/>
      <c r="D7463" s="2" t="str">
        <f t="shared" si="118"/>
        <v>OK</v>
      </c>
      <c r="E7463" s="2" t="s">
        <v>79</v>
      </c>
    </row>
    <row r="7464" spans="1:5" x14ac:dyDescent="0.2">
      <c r="A7464" s="125">
        <f t="shared" si="119"/>
        <v>7403</v>
      </c>
      <c r="B7464" s="1821"/>
      <c r="D7464" s="2" t="str">
        <f t="shared" si="118"/>
        <v>OK</v>
      </c>
      <c r="E7464" s="2" t="s">
        <v>79</v>
      </c>
    </row>
    <row r="7465" spans="1:5" x14ac:dyDescent="0.2">
      <c r="A7465" s="125">
        <f t="shared" si="119"/>
        <v>7404</v>
      </c>
      <c r="B7465" s="1821"/>
      <c r="D7465" s="2" t="str">
        <f t="shared" si="118"/>
        <v>OK</v>
      </c>
      <c r="E7465" s="2" t="s">
        <v>79</v>
      </c>
    </row>
    <row r="7466" spans="1:5" x14ac:dyDescent="0.2">
      <c r="A7466" s="125">
        <f t="shared" si="119"/>
        <v>7405</v>
      </c>
      <c r="B7466" s="1821"/>
      <c r="D7466" s="2" t="str">
        <f t="shared" si="118"/>
        <v>OK</v>
      </c>
      <c r="E7466" s="2" t="s">
        <v>79</v>
      </c>
    </row>
    <row r="7467" spans="1:5" x14ac:dyDescent="0.2">
      <c r="A7467" s="125">
        <f t="shared" si="119"/>
        <v>7406</v>
      </c>
      <c r="B7467" s="1821"/>
      <c r="D7467" s="2" t="str">
        <f t="shared" si="118"/>
        <v>OK</v>
      </c>
      <c r="E7467" s="2" t="s">
        <v>79</v>
      </c>
    </row>
    <row r="7468" spans="1:5" x14ac:dyDescent="0.2">
      <c r="A7468" s="125">
        <f t="shared" si="119"/>
        <v>7407</v>
      </c>
      <c r="B7468" s="1821"/>
      <c r="D7468" s="2" t="str">
        <f t="shared" si="118"/>
        <v>OK</v>
      </c>
      <c r="E7468" s="2" t="s">
        <v>79</v>
      </c>
    </row>
    <row r="7469" spans="1:5" x14ac:dyDescent="0.2">
      <c r="A7469" s="125">
        <f t="shared" si="119"/>
        <v>7408</v>
      </c>
      <c r="B7469" s="1821"/>
      <c r="D7469" s="2" t="str">
        <f t="shared" si="118"/>
        <v>OK</v>
      </c>
      <c r="E7469" s="2" t="s">
        <v>79</v>
      </c>
    </row>
    <row r="7470" spans="1:5" x14ac:dyDescent="0.2">
      <c r="A7470" s="125">
        <f t="shared" si="119"/>
        <v>7409</v>
      </c>
      <c r="B7470" s="1821"/>
      <c r="D7470" s="2" t="str">
        <f t="shared" si="118"/>
        <v>OK</v>
      </c>
      <c r="E7470" s="2" t="s">
        <v>79</v>
      </c>
    </row>
    <row r="7471" spans="1:5" x14ac:dyDescent="0.2">
      <c r="A7471" s="125">
        <f t="shared" si="119"/>
        <v>7410</v>
      </c>
      <c r="B7471" s="1821"/>
      <c r="D7471" s="2" t="str">
        <f t="shared" si="118"/>
        <v>OK</v>
      </c>
      <c r="E7471" s="2" t="s">
        <v>79</v>
      </c>
    </row>
    <row r="7472" spans="1:5" x14ac:dyDescent="0.2">
      <c r="A7472" s="125">
        <f t="shared" si="119"/>
        <v>7411</v>
      </c>
      <c r="B7472" s="1821"/>
      <c r="D7472" s="2" t="str">
        <f t="shared" si="118"/>
        <v>OK</v>
      </c>
      <c r="E7472" s="2" t="s">
        <v>79</v>
      </c>
    </row>
    <row r="7473" spans="1:5" x14ac:dyDescent="0.2">
      <c r="A7473" s="125">
        <f t="shared" si="119"/>
        <v>7412</v>
      </c>
      <c r="B7473" s="1821"/>
      <c r="D7473" s="2" t="str">
        <f t="shared" si="118"/>
        <v>OK</v>
      </c>
      <c r="E7473" s="2" t="s">
        <v>79</v>
      </c>
    </row>
    <row r="7474" spans="1:5" x14ac:dyDescent="0.2">
      <c r="A7474" s="125">
        <f t="shared" si="119"/>
        <v>7413</v>
      </c>
      <c r="B7474" s="1821"/>
      <c r="D7474" s="2" t="str">
        <f t="shared" si="118"/>
        <v>OK</v>
      </c>
      <c r="E7474" s="2" t="s">
        <v>79</v>
      </c>
    </row>
    <row r="7475" spans="1:5" x14ac:dyDescent="0.2">
      <c r="A7475" s="125">
        <f t="shared" si="119"/>
        <v>7414</v>
      </c>
      <c r="B7475" s="1821"/>
      <c r="D7475" s="2" t="str">
        <f t="shared" si="118"/>
        <v>OK</v>
      </c>
      <c r="E7475" s="2" t="s">
        <v>79</v>
      </c>
    </row>
    <row r="7476" spans="1:5" x14ac:dyDescent="0.2">
      <c r="A7476" s="125">
        <f t="shared" si="119"/>
        <v>7415</v>
      </c>
      <c r="B7476" s="1821"/>
      <c r="D7476" s="2" t="str">
        <f t="shared" si="118"/>
        <v>OK</v>
      </c>
      <c r="E7476" s="2" t="s">
        <v>79</v>
      </c>
    </row>
    <row r="7477" spans="1:5" x14ac:dyDescent="0.2">
      <c r="A7477" s="125">
        <f t="shared" si="119"/>
        <v>7416</v>
      </c>
      <c r="B7477" s="1821"/>
      <c r="D7477" s="2" t="str">
        <f t="shared" si="118"/>
        <v>OK</v>
      </c>
      <c r="E7477" s="2" t="s">
        <v>79</v>
      </c>
    </row>
    <row r="7478" spans="1:5" x14ac:dyDescent="0.2">
      <c r="A7478" s="125">
        <f t="shared" si="119"/>
        <v>7417</v>
      </c>
      <c r="B7478" s="1821"/>
      <c r="D7478" s="2" t="str">
        <f t="shared" si="118"/>
        <v>OK</v>
      </c>
      <c r="E7478" s="2" t="s">
        <v>79</v>
      </c>
    </row>
    <row r="7479" spans="1:5" x14ac:dyDescent="0.2">
      <c r="A7479" s="125">
        <f t="shared" si="119"/>
        <v>7418</v>
      </c>
      <c r="B7479" s="1821"/>
      <c r="D7479" s="2" t="str">
        <f t="shared" si="118"/>
        <v>OK</v>
      </c>
      <c r="E7479" s="2" t="s">
        <v>79</v>
      </c>
    </row>
    <row r="7480" spans="1:5" x14ac:dyDescent="0.2">
      <c r="A7480" s="125">
        <f t="shared" si="119"/>
        <v>7419</v>
      </c>
      <c r="B7480" s="1821"/>
      <c r="D7480" s="2" t="str">
        <f t="shared" si="118"/>
        <v>OK</v>
      </c>
      <c r="E7480" s="2" t="s">
        <v>79</v>
      </c>
    </row>
    <row r="7481" spans="1:5" x14ac:dyDescent="0.2">
      <c r="A7481" s="125">
        <f t="shared" si="119"/>
        <v>7420</v>
      </c>
      <c r="B7481" s="1821"/>
      <c r="D7481" s="2" t="str">
        <f t="shared" si="118"/>
        <v>OK</v>
      </c>
      <c r="E7481" s="2" t="s">
        <v>79</v>
      </c>
    </row>
    <row r="7482" spans="1:5" x14ac:dyDescent="0.2">
      <c r="A7482" s="125">
        <f t="shared" si="119"/>
        <v>7421</v>
      </c>
      <c r="B7482" s="1821"/>
      <c r="D7482" s="2" t="str">
        <f t="shared" si="118"/>
        <v>OK</v>
      </c>
      <c r="E7482" s="2" t="s">
        <v>79</v>
      </c>
    </row>
    <row r="7483" spans="1:5" x14ac:dyDescent="0.2">
      <c r="A7483" s="125">
        <f t="shared" si="119"/>
        <v>7422</v>
      </c>
      <c r="B7483" s="1821"/>
      <c r="D7483" s="2" t="str">
        <f t="shared" si="118"/>
        <v>OK</v>
      </c>
      <c r="E7483" s="2" t="s">
        <v>79</v>
      </c>
    </row>
    <row r="7484" spans="1:5" x14ac:dyDescent="0.2">
      <c r="A7484" s="125">
        <f t="shared" si="119"/>
        <v>7423</v>
      </c>
      <c r="B7484" s="1821"/>
      <c r="D7484" s="2" t="str">
        <f t="shared" si="118"/>
        <v>OK</v>
      </c>
      <c r="E7484" s="2" t="s">
        <v>79</v>
      </c>
    </row>
    <row r="7485" spans="1:5" x14ac:dyDescent="0.2">
      <c r="A7485" s="125">
        <f t="shared" si="119"/>
        <v>7424</v>
      </c>
      <c r="B7485" s="1821"/>
      <c r="D7485" s="2" t="str">
        <f t="shared" si="118"/>
        <v>OK</v>
      </c>
      <c r="E7485" s="2" t="s">
        <v>79</v>
      </c>
    </row>
    <row r="7486" spans="1:5" x14ac:dyDescent="0.2">
      <c r="A7486" s="125">
        <f t="shared" si="119"/>
        <v>7425</v>
      </c>
      <c r="B7486" s="1821"/>
      <c r="D7486" s="2" t="str">
        <f t="shared" si="118"/>
        <v>OK</v>
      </c>
      <c r="E7486" s="2" t="s">
        <v>79</v>
      </c>
    </row>
    <row r="7487" spans="1:5" x14ac:dyDescent="0.2">
      <c r="A7487" s="125">
        <f t="shared" si="119"/>
        <v>7426</v>
      </c>
      <c r="B7487" s="1821"/>
      <c r="D7487" s="2" t="str">
        <f t="shared" ref="D7487:D7550" si="120">IF(ISBLANK(B7487),"OK",IF(A7487-B7487=0,"OK","Error?"))</f>
        <v>OK</v>
      </c>
      <c r="E7487" s="2" t="s">
        <v>79</v>
      </c>
    </row>
    <row r="7488" spans="1:5" x14ac:dyDescent="0.2">
      <c r="A7488" s="125">
        <f t="shared" si="119"/>
        <v>7427</v>
      </c>
      <c r="B7488" s="1821"/>
      <c r="D7488" s="2" t="str">
        <f t="shared" si="120"/>
        <v>OK</v>
      </c>
      <c r="E7488" s="2" t="s">
        <v>79</v>
      </c>
    </row>
    <row r="7489" spans="1:5" x14ac:dyDescent="0.2">
      <c r="A7489" s="125">
        <f t="shared" si="119"/>
        <v>7428</v>
      </c>
      <c r="B7489" s="1821"/>
      <c r="D7489" s="2" t="str">
        <f t="shared" si="120"/>
        <v>OK</v>
      </c>
      <c r="E7489" s="2" t="s">
        <v>79</v>
      </c>
    </row>
    <row r="7490" spans="1:5" x14ac:dyDescent="0.2">
      <c r="A7490" s="125">
        <f t="shared" si="119"/>
        <v>7429</v>
      </c>
      <c r="B7490" s="1821"/>
      <c r="D7490" s="2" t="str">
        <f t="shared" si="120"/>
        <v>OK</v>
      </c>
      <c r="E7490" s="2" t="s">
        <v>79</v>
      </c>
    </row>
    <row r="7491" spans="1:5" x14ac:dyDescent="0.2">
      <c r="A7491" s="125">
        <f t="shared" si="119"/>
        <v>7430</v>
      </c>
      <c r="B7491" s="1821"/>
      <c r="D7491" s="2" t="str">
        <f t="shared" si="120"/>
        <v>OK</v>
      </c>
      <c r="E7491" s="2" t="s">
        <v>79</v>
      </c>
    </row>
    <row r="7492" spans="1:5" x14ac:dyDescent="0.2">
      <c r="A7492" s="125">
        <f t="shared" si="119"/>
        <v>7431</v>
      </c>
      <c r="B7492" s="1821"/>
      <c r="D7492" s="2" t="str">
        <f t="shared" si="120"/>
        <v>OK</v>
      </c>
      <c r="E7492" s="2" t="s">
        <v>79</v>
      </c>
    </row>
    <row r="7493" spans="1:5" x14ac:dyDescent="0.2">
      <c r="A7493" s="125">
        <f t="shared" si="119"/>
        <v>7432</v>
      </c>
      <c r="B7493" s="1821"/>
      <c r="D7493" s="2" t="str">
        <f t="shared" si="120"/>
        <v>OK</v>
      </c>
      <c r="E7493" s="2" t="s">
        <v>79</v>
      </c>
    </row>
    <row r="7494" spans="1:5" x14ac:dyDescent="0.2">
      <c r="A7494" s="125">
        <f t="shared" si="119"/>
        <v>7433</v>
      </c>
      <c r="B7494" s="1821"/>
      <c r="D7494" s="2" t="str">
        <f t="shared" si="120"/>
        <v>OK</v>
      </c>
      <c r="E7494" s="2" t="s">
        <v>79</v>
      </c>
    </row>
    <row r="7495" spans="1:5" x14ac:dyDescent="0.2">
      <c r="A7495" s="125">
        <f t="shared" si="119"/>
        <v>7434</v>
      </c>
      <c r="B7495" s="1821"/>
      <c r="D7495" s="2" t="str">
        <f t="shared" si="120"/>
        <v>OK</v>
      </c>
      <c r="E7495" s="2" t="s">
        <v>79</v>
      </c>
    </row>
    <row r="7496" spans="1:5" x14ac:dyDescent="0.2">
      <c r="A7496" s="125">
        <f t="shared" si="119"/>
        <v>7435</v>
      </c>
      <c r="B7496" s="1821"/>
      <c r="D7496" s="2" t="str">
        <f t="shared" si="120"/>
        <v>OK</v>
      </c>
      <c r="E7496" s="2" t="s">
        <v>79</v>
      </c>
    </row>
    <row r="7497" spans="1:5" x14ac:dyDescent="0.2">
      <c r="A7497" s="125">
        <f t="shared" si="119"/>
        <v>7436</v>
      </c>
      <c r="B7497" s="1821"/>
      <c r="D7497" s="2" t="str">
        <f t="shared" si="120"/>
        <v>OK</v>
      </c>
      <c r="E7497" s="2" t="s">
        <v>79</v>
      </c>
    </row>
    <row r="7498" spans="1:5" x14ac:dyDescent="0.2">
      <c r="A7498" s="125">
        <f t="shared" si="119"/>
        <v>7437</v>
      </c>
      <c r="B7498" s="1821"/>
      <c r="D7498" s="2" t="str">
        <f t="shared" si="120"/>
        <v>OK</v>
      </c>
      <c r="E7498" s="2" t="s">
        <v>79</v>
      </c>
    </row>
    <row r="7499" spans="1:5" x14ac:dyDescent="0.2">
      <c r="A7499" s="125">
        <f t="shared" si="119"/>
        <v>7438</v>
      </c>
      <c r="B7499" s="1821"/>
      <c r="D7499" s="2" t="str">
        <f t="shared" si="120"/>
        <v>OK</v>
      </c>
      <c r="E7499" s="2" t="s">
        <v>79</v>
      </c>
    </row>
    <row r="7500" spans="1:5" x14ac:dyDescent="0.2">
      <c r="A7500" s="125">
        <f t="shared" si="119"/>
        <v>7439</v>
      </c>
      <c r="B7500" s="1821"/>
      <c r="D7500" s="2" t="str">
        <f t="shared" si="120"/>
        <v>OK</v>
      </c>
      <c r="E7500" s="2" t="s">
        <v>79</v>
      </c>
    </row>
    <row r="7501" spans="1:5" x14ac:dyDescent="0.2">
      <c r="A7501" s="125">
        <f t="shared" si="119"/>
        <v>7440</v>
      </c>
      <c r="B7501" s="1821"/>
      <c r="D7501" s="2" t="str">
        <f t="shared" si="120"/>
        <v>OK</v>
      </c>
      <c r="E7501" s="2" t="s">
        <v>79</v>
      </c>
    </row>
    <row r="7502" spans="1:5" x14ac:dyDescent="0.2">
      <c r="A7502" s="125">
        <f t="shared" ref="A7502:A7565" si="121">A7501+1</f>
        <v>7441</v>
      </c>
      <c r="B7502" s="1821"/>
      <c r="D7502" s="2" t="str">
        <f t="shared" si="120"/>
        <v>OK</v>
      </c>
      <c r="E7502" s="2" t="s">
        <v>79</v>
      </c>
    </row>
    <row r="7503" spans="1:5" x14ac:dyDescent="0.2">
      <c r="A7503" s="125">
        <f t="shared" si="121"/>
        <v>7442</v>
      </c>
      <c r="B7503" s="1821"/>
      <c r="D7503" s="2" t="str">
        <f t="shared" si="120"/>
        <v>OK</v>
      </c>
      <c r="E7503" s="2" t="s">
        <v>79</v>
      </c>
    </row>
    <row r="7504" spans="1:5" x14ac:dyDescent="0.2">
      <c r="A7504" s="125">
        <f t="shared" si="121"/>
        <v>7443</v>
      </c>
      <c r="B7504" s="1821"/>
      <c r="D7504" s="2" t="str">
        <f t="shared" si="120"/>
        <v>OK</v>
      </c>
      <c r="E7504" s="2" t="s">
        <v>79</v>
      </c>
    </row>
    <row r="7505" spans="1:5" x14ac:dyDescent="0.2">
      <c r="A7505" s="125">
        <f t="shared" si="121"/>
        <v>7444</v>
      </c>
      <c r="B7505" s="1821"/>
      <c r="D7505" s="2" t="str">
        <f t="shared" si="120"/>
        <v>OK</v>
      </c>
      <c r="E7505" s="2" t="s">
        <v>79</v>
      </c>
    </row>
    <row r="7506" spans="1:5" x14ac:dyDescent="0.2">
      <c r="A7506" s="125">
        <f t="shared" si="121"/>
        <v>7445</v>
      </c>
      <c r="B7506" s="1821"/>
      <c r="D7506" s="2" t="str">
        <f t="shared" si="120"/>
        <v>OK</v>
      </c>
      <c r="E7506" s="2" t="s">
        <v>79</v>
      </c>
    </row>
    <row r="7507" spans="1:5" x14ac:dyDescent="0.2">
      <c r="A7507" s="125">
        <f t="shared" si="121"/>
        <v>7446</v>
      </c>
      <c r="B7507" s="1821"/>
      <c r="D7507" s="2" t="str">
        <f t="shared" si="120"/>
        <v>OK</v>
      </c>
      <c r="E7507" s="2" t="s">
        <v>79</v>
      </c>
    </row>
    <row r="7508" spans="1:5" x14ac:dyDescent="0.2">
      <c r="A7508" s="125">
        <f t="shared" si="121"/>
        <v>7447</v>
      </c>
      <c r="B7508" s="1821"/>
      <c r="D7508" s="2" t="str">
        <f t="shared" si="120"/>
        <v>OK</v>
      </c>
      <c r="E7508" s="2" t="s">
        <v>79</v>
      </c>
    </row>
    <row r="7509" spans="1:5" x14ac:dyDescent="0.2">
      <c r="A7509" s="125">
        <f t="shared" si="121"/>
        <v>7448</v>
      </c>
      <c r="B7509" s="1821"/>
      <c r="D7509" s="2" t="str">
        <f t="shared" si="120"/>
        <v>OK</v>
      </c>
      <c r="E7509" s="2" t="s">
        <v>79</v>
      </c>
    </row>
    <row r="7510" spans="1:5" x14ac:dyDescent="0.2">
      <c r="A7510" s="125">
        <f t="shared" si="121"/>
        <v>7449</v>
      </c>
      <c r="B7510" s="1821"/>
      <c r="D7510" s="2" t="str">
        <f t="shared" si="120"/>
        <v>OK</v>
      </c>
      <c r="E7510" s="2" t="s">
        <v>79</v>
      </c>
    </row>
    <row r="7511" spans="1:5" x14ac:dyDescent="0.2">
      <c r="A7511" s="125">
        <f t="shared" si="121"/>
        <v>7450</v>
      </c>
      <c r="B7511" s="1821"/>
      <c r="D7511" s="2" t="str">
        <f t="shared" si="120"/>
        <v>OK</v>
      </c>
      <c r="E7511" s="2" t="s">
        <v>79</v>
      </c>
    </row>
    <row r="7512" spans="1:5" x14ac:dyDescent="0.2">
      <c r="A7512" s="125">
        <f t="shared" si="121"/>
        <v>7451</v>
      </c>
      <c r="B7512" s="1821"/>
      <c r="D7512" s="2" t="str">
        <f t="shared" si="120"/>
        <v>OK</v>
      </c>
      <c r="E7512" s="2" t="s">
        <v>79</v>
      </c>
    </row>
    <row r="7513" spans="1:5" x14ac:dyDescent="0.2">
      <c r="A7513" s="125">
        <f t="shared" si="121"/>
        <v>7452</v>
      </c>
      <c r="B7513" s="1821"/>
      <c r="D7513" s="2" t="str">
        <f t="shared" si="120"/>
        <v>OK</v>
      </c>
      <c r="E7513" s="2" t="s">
        <v>79</v>
      </c>
    </row>
    <row r="7514" spans="1:5" x14ac:dyDescent="0.2">
      <c r="A7514" s="125">
        <f t="shared" si="121"/>
        <v>7453</v>
      </c>
      <c r="B7514" s="1821"/>
      <c r="D7514" s="2" t="str">
        <f t="shared" si="120"/>
        <v>OK</v>
      </c>
      <c r="E7514" s="2" t="s">
        <v>79</v>
      </c>
    </row>
    <row r="7515" spans="1:5" x14ac:dyDescent="0.2">
      <c r="A7515" s="125">
        <f t="shared" si="121"/>
        <v>7454</v>
      </c>
      <c r="B7515" s="1821"/>
      <c r="D7515" s="2" t="str">
        <f t="shared" si="120"/>
        <v>OK</v>
      </c>
      <c r="E7515" s="2" t="s">
        <v>79</v>
      </c>
    </row>
    <row r="7516" spans="1:5" x14ac:dyDescent="0.2">
      <c r="A7516" s="125">
        <f t="shared" si="121"/>
        <v>7455</v>
      </c>
      <c r="B7516" s="1821"/>
      <c r="D7516" s="2" t="str">
        <f t="shared" si="120"/>
        <v>OK</v>
      </c>
      <c r="E7516" s="2" t="s">
        <v>79</v>
      </c>
    </row>
    <row r="7517" spans="1:5" x14ac:dyDescent="0.2">
      <c r="A7517" s="125">
        <f t="shared" si="121"/>
        <v>7456</v>
      </c>
      <c r="B7517" s="1821"/>
      <c r="D7517" s="2" t="str">
        <f t="shared" si="120"/>
        <v>OK</v>
      </c>
      <c r="E7517" s="2" t="s">
        <v>79</v>
      </c>
    </row>
    <row r="7518" spans="1:5" x14ac:dyDescent="0.2">
      <c r="A7518" s="125">
        <f t="shared" si="121"/>
        <v>7457</v>
      </c>
      <c r="B7518" s="1821"/>
      <c r="D7518" s="2" t="str">
        <f t="shared" si="120"/>
        <v>OK</v>
      </c>
      <c r="E7518" s="2" t="s">
        <v>79</v>
      </c>
    </row>
    <row r="7519" spans="1:5" x14ac:dyDescent="0.2">
      <c r="A7519" s="125">
        <f t="shared" si="121"/>
        <v>7458</v>
      </c>
      <c r="B7519" s="1821"/>
      <c r="D7519" s="2" t="str">
        <f t="shared" si="120"/>
        <v>OK</v>
      </c>
      <c r="E7519" s="2" t="s">
        <v>79</v>
      </c>
    </row>
    <row r="7520" spans="1:5" x14ac:dyDescent="0.2">
      <c r="A7520" s="125">
        <f t="shared" si="121"/>
        <v>7459</v>
      </c>
      <c r="B7520" s="1821"/>
      <c r="D7520" s="2" t="str">
        <f t="shared" si="120"/>
        <v>OK</v>
      </c>
      <c r="E7520" s="2" t="s">
        <v>79</v>
      </c>
    </row>
    <row r="7521" spans="1:5" x14ac:dyDescent="0.2">
      <c r="A7521" s="125">
        <f t="shared" si="121"/>
        <v>7460</v>
      </c>
      <c r="B7521" s="1821"/>
      <c r="D7521" s="2" t="str">
        <f t="shared" si="120"/>
        <v>OK</v>
      </c>
      <c r="E7521" s="2" t="s">
        <v>79</v>
      </c>
    </row>
    <row r="7522" spans="1:5" x14ac:dyDescent="0.2">
      <c r="A7522" s="125">
        <f t="shared" si="121"/>
        <v>7461</v>
      </c>
      <c r="B7522" s="1821"/>
      <c r="D7522" s="2" t="str">
        <f t="shared" si="120"/>
        <v>OK</v>
      </c>
      <c r="E7522" s="2" t="s">
        <v>79</v>
      </c>
    </row>
    <row r="7523" spans="1:5" x14ac:dyDescent="0.2">
      <c r="A7523" s="125">
        <f t="shared" si="121"/>
        <v>7462</v>
      </c>
      <c r="B7523" s="1821"/>
      <c r="D7523" s="2" t="str">
        <f t="shared" si="120"/>
        <v>OK</v>
      </c>
      <c r="E7523" s="2" t="s">
        <v>79</v>
      </c>
    </row>
    <row r="7524" spans="1:5" x14ac:dyDescent="0.2">
      <c r="A7524" s="125">
        <f t="shared" si="121"/>
        <v>7463</v>
      </c>
      <c r="B7524" s="1821"/>
      <c r="D7524" s="2" t="str">
        <f t="shared" si="120"/>
        <v>OK</v>
      </c>
      <c r="E7524" s="2" t="s">
        <v>79</v>
      </c>
    </row>
    <row r="7525" spans="1:5" x14ac:dyDescent="0.2">
      <c r="A7525" s="125">
        <f t="shared" si="121"/>
        <v>7464</v>
      </c>
      <c r="B7525" s="1821"/>
      <c r="D7525" s="2" t="str">
        <f t="shared" si="120"/>
        <v>OK</v>
      </c>
      <c r="E7525" s="2" t="s">
        <v>79</v>
      </c>
    </row>
    <row r="7526" spans="1:5" x14ac:dyDescent="0.2">
      <c r="A7526" s="125">
        <f t="shared" si="121"/>
        <v>7465</v>
      </c>
      <c r="B7526" s="1821"/>
      <c r="D7526" s="2" t="str">
        <f t="shared" si="120"/>
        <v>OK</v>
      </c>
      <c r="E7526" s="2" t="s">
        <v>79</v>
      </c>
    </row>
    <row r="7527" spans="1:5" x14ac:dyDescent="0.2">
      <c r="A7527" s="125">
        <f t="shared" si="121"/>
        <v>7466</v>
      </c>
      <c r="B7527" s="1821"/>
      <c r="D7527" s="2" t="str">
        <f t="shared" si="120"/>
        <v>OK</v>
      </c>
      <c r="E7527" s="2" t="s">
        <v>79</v>
      </c>
    </row>
    <row r="7528" spans="1:5" x14ac:dyDescent="0.2">
      <c r="A7528" s="125">
        <f t="shared" si="121"/>
        <v>7467</v>
      </c>
      <c r="B7528" s="1821"/>
      <c r="D7528" s="2" t="str">
        <f t="shared" si="120"/>
        <v>OK</v>
      </c>
      <c r="E7528" s="2" t="s">
        <v>79</v>
      </c>
    </row>
    <row r="7529" spans="1:5" x14ac:dyDescent="0.2">
      <c r="A7529" s="125">
        <f t="shared" si="121"/>
        <v>7468</v>
      </c>
      <c r="B7529" s="1821"/>
      <c r="D7529" s="2" t="str">
        <f t="shared" si="120"/>
        <v>OK</v>
      </c>
      <c r="E7529" s="2" t="s">
        <v>79</v>
      </c>
    </row>
    <row r="7530" spans="1:5" x14ac:dyDescent="0.2">
      <c r="A7530" s="125">
        <f t="shared" si="121"/>
        <v>7469</v>
      </c>
      <c r="B7530" s="1821"/>
      <c r="D7530" s="2" t="str">
        <f t="shared" si="120"/>
        <v>OK</v>
      </c>
      <c r="E7530" s="2" t="s">
        <v>79</v>
      </c>
    </row>
    <row r="7531" spans="1:5" x14ac:dyDescent="0.2">
      <c r="A7531" s="125">
        <f t="shared" si="121"/>
        <v>7470</v>
      </c>
      <c r="B7531" s="1821"/>
      <c r="D7531" s="2" t="str">
        <f t="shared" si="120"/>
        <v>OK</v>
      </c>
      <c r="E7531" s="2" t="s">
        <v>79</v>
      </c>
    </row>
    <row r="7532" spans="1:5" x14ac:dyDescent="0.2">
      <c r="A7532" s="125">
        <f t="shared" si="121"/>
        <v>7471</v>
      </c>
      <c r="B7532" s="1821"/>
      <c r="D7532" s="2" t="str">
        <f t="shared" si="120"/>
        <v>OK</v>
      </c>
      <c r="E7532" s="2" t="s">
        <v>79</v>
      </c>
    </row>
    <row r="7533" spans="1:5" x14ac:dyDescent="0.2">
      <c r="A7533" s="125">
        <f t="shared" si="121"/>
        <v>7472</v>
      </c>
      <c r="B7533" s="1821"/>
      <c r="D7533" s="2" t="str">
        <f t="shared" si="120"/>
        <v>OK</v>
      </c>
      <c r="E7533" s="2" t="s">
        <v>79</v>
      </c>
    </row>
    <row r="7534" spans="1:5" x14ac:dyDescent="0.2">
      <c r="A7534" s="125">
        <f t="shared" si="121"/>
        <v>7473</v>
      </c>
      <c r="B7534" s="1821"/>
      <c r="D7534" s="2" t="str">
        <f t="shared" si="120"/>
        <v>OK</v>
      </c>
      <c r="E7534" s="2" t="s">
        <v>79</v>
      </c>
    </row>
    <row r="7535" spans="1:5" x14ac:dyDescent="0.2">
      <c r="A7535" s="125">
        <f t="shared" si="121"/>
        <v>7474</v>
      </c>
      <c r="B7535" s="1821"/>
      <c r="D7535" s="2" t="str">
        <f t="shared" si="120"/>
        <v>OK</v>
      </c>
      <c r="E7535" s="2" t="s">
        <v>79</v>
      </c>
    </row>
    <row r="7536" spans="1:5" x14ac:dyDescent="0.2">
      <c r="A7536" s="125">
        <f t="shared" si="121"/>
        <v>7475</v>
      </c>
      <c r="B7536" s="1821"/>
      <c r="D7536" s="2" t="str">
        <f t="shared" si="120"/>
        <v>OK</v>
      </c>
      <c r="E7536" s="2" t="s">
        <v>79</v>
      </c>
    </row>
    <row r="7537" spans="1:5" x14ac:dyDescent="0.2">
      <c r="A7537" s="125">
        <f t="shared" si="121"/>
        <v>7476</v>
      </c>
      <c r="B7537" s="1821"/>
      <c r="D7537" s="2" t="str">
        <f t="shared" si="120"/>
        <v>OK</v>
      </c>
      <c r="E7537" s="2" t="s">
        <v>79</v>
      </c>
    </row>
    <row r="7538" spans="1:5" x14ac:dyDescent="0.2">
      <c r="A7538" s="125">
        <f t="shared" si="121"/>
        <v>7477</v>
      </c>
      <c r="B7538" s="1821"/>
      <c r="D7538" s="2" t="str">
        <f t="shared" si="120"/>
        <v>OK</v>
      </c>
      <c r="E7538" s="2" t="s">
        <v>79</v>
      </c>
    </row>
    <row r="7539" spans="1:5" x14ac:dyDescent="0.2">
      <c r="A7539" s="125">
        <f t="shared" si="121"/>
        <v>7478</v>
      </c>
      <c r="B7539" s="1821"/>
      <c r="D7539" s="2" t="str">
        <f t="shared" si="120"/>
        <v>OK</v>
      </c>
      <c r="E7539" s="2" t="s">
        <v>79</v>
      </c>
    </row>
    <row r="7540" spans="1:5" x14ac:dyDescent="0.2">
      <c r="A7540" s="125">
        <f t="shared" si="121"/>
        <v>7479</v>
      </c>
      <c r="B7540" s="1821"/>
      <c r="D7540" s="2" t="str">
        <f t="shared" si="120"/>
        <v>OK</v>
      </c>
      <c r="E7540" s="2" t="s">
        <v>79</v>
      </c>
    </row>
    <row r="7541" spans="1:5" x14ac:dyDescent="0.2">
      <c r="A7541" s="125">
        <f t="shared" si="121"/>
        <v>7480</v>
      </c>
      <c r="B7541" s="1821"/>
      <c r="D7541" s="2" t="str">
        <f t="shared" si="120"/>
        <v>OK</v>
      </c>
      <c r="E7541" s="2" t="s">
        <v>79</v>
      </c>
    </row>
    <row r="7542" spans="1:5" x14ac:dyDescent="0.2">
      <c r="A7542" s="125">
        <f t="shared" si="121"/>
        <v>7481</v>
      </c>
      <c r="B7542" s="1821"/>
      <c r="D7542" s="2" t="str">
        <f t="shared" si="120"/>
        <v>OK</v>
      </c>
      <c r="E7542" s="2" t="s">
        <v>79</v>
      </c>
    </row>
    <row r="7543" spans="1:5" x14ac:dyDescent="0.2">
      <c r="A7543" s="125">
        <f t="shared" si="121"/>
        <v>7482</v>
      </c>
      <c r="B7543" s="1821"/>
      <c r="D7543" s="2" t="str">
        <f t="shared" si="120"/>
        <v>OK</v>
      </c>
      <c r="E7543" s="2" t="s">
        <v>79</v>
      </c>
    </row>
    <row r="7544" spans="1:5" x14ac:dyDescent="0.2">
      <c r="A7544" s="125">
        <f t="shared" si="121"/>
        <v>7483</v>
      </c>
      <c r="B7544" s="1821"/>
      <c r="D7544" s="2" t="str">
        <f t="shared" si="120"/>
        <v>OK</v>
      </c>
      <c r="E7544" s="2" t="s">
        <v>79</v>
      </c>
    </row>
    <row r="7545" spans="1:5" x14ac:dyDescent="0.2">
      <c r="A7545" s="125">
        <f t="shared" si="121"/>
        <v>7484</v>
      </c>
      <c r="B7545" s="1821"/>
      <c r="D7545" s="2" t="str">
        <f t="shared" si="120"/>
        <v>OK</v>
      </c>
      <c r="E7545" s="2" t="s">
        <v>79</v>
      </c>
    </row>
    <row r="7546" spans="1:5" x14ac:dyDescent="0.2">
      <c r="A7546" s="125">
        <f t="shared" si="121"/>
        <v>7485</v>
      </c>
      <c r="B7546" s="1821"/>
      <c r="D7546" s="2" t="str">
        <f t="shared" si="120"/>
        <v>OK</v>
      </c>
      <c r="E7546" s="2" t="s">
        <v>79</v>
      </c>
    </row>
    <row r="7547" spans="1:5" x14ac:dyDescent="0.2">
      <c r="A7547" s="125">
        <f t="shared" si="121"/>
        <v>7486</v>
      </c>
      <c r="B7547" s="1821"/>
      <c r="D7547" s="2" t="str">
        <f t="shared" si="120"/>
        <v>OK</v>
      </c>
      <c r="E7547" s="2" t="s">
        <v>79</v>
      </c>
    </row>
    <row r="7548" spans="1:5" x14ac:dyDescent="0.2">
      <c r="A7548" s="125">
        <f t="shared" si="121"/>
        <v>7487</v>
      </c>
      <c r="B7548" s="1821"/>
      <c r="D7548" s="2" t="str">
        <f t="shared" si="120"/>
        <v>OK</v>
      </c>
      <c r="E7548" s="2" t="s">
        <v>79</v>
      </c>
    </row>
    <row r="7549" spans="1:5" x14ac:dyDescent="0.2">
      <c r="A7549" s="125">
        <f t="shared" si="121"/>
        <v>7488</v>
      </c>
      <c r="B7549" s="1821"/>
      <c r="D7549" s="2" t="str">
        <f t="shared" si="120"/>
        <v>OK</v>
      </c>
      <c r="E7549" s="2" t="s">
        <v>79</v>
      </c>
    </row>
    <row r="7550" spans="1:5" x14ac:dyDescent="0.2">
      <c r="A7550" s="125">
        <f t="shared" si="121"/>
        <v>7489</v>
      </c>
      <c r="B7550" s="1821"/>
      <c r="D7550" s="2" t="str">
        <f t="shared" si="120"/>
        <v>OK</v>
      </c>
      <c r="E7550" s="2" t="s">
        <v>79</v>
      </c>
    </row>
    <row r="7551" spans="1:5" x14ac:dyDescent="0.2">
      <c r="A7551" s="125">
        <f t="shared" si="121"/>
        <v>7490</v>
      </c>
      <c r="B7551" s="1821"/>
      <c r="D7551" s="2" t="str">
        <f t="shared" ref="D7551:D7614" si="122">IF(ISBLANK(B7551),"OK",IF(A7551-B7551=0,"OK","Error?"))</f>
        <v>OK</v>
      </c>
      <c r="E7551" s="2" t="s">
        <v>79</v>
      </c>
    </row>
    <row r="7552" spans="1:5" x14ac:dyDescent="0.2">
      <c r="A7552" s="125">
        <f t="shared" si="121"/>
        <v>7491</v>
      </c>
      <c r="B7552" s="1821"/>
      <c r="D7552" s="2" t="str">
        <f t="shared" si="122"/>
        <v>OK</v>
      </c>
      <c r="E7552" s="2" t="s">
        <v>79</v>
      </c>
    </row>
    <row r="7553" spans="1:5" x14ac:dyDescent="0.2">
      <c r="A7553" s="125">
        <f t="shared" si="121"/>
        <v>7492</v>
      </c>
      <c r="B7553" s="1821"/>
      <c r="D7553" s="2" t="str">
        <f t="shared" si="122"/>
        <v>OK</v>
      </c>
      <c r="E7553" s="2" t="s">
        <v>79</v>
      </c>
    </row>
    <row r="7554" spans="1:5" x14ac:dyDescent="0.2">
      <c r="A7554" s="125">
        <f t="shared" si="121"/>
        <v>7493</v>
      </c>
      <c r="B7554" s="1821"/>
      <c r="D7554" s="2" t="str">
        <f t="shared" si="122"/>
        <v>OK</v>
      </c>
      <c r="E7554" s="2" t="s">
        <v>79</v>
      </c>
    </row>
    <row r="7555" spans="1:5" x14ac:dyDescent="0.2">
      <c r="A7555" s="125">
        <f t="shared" si="121"/>
        <v>7494</v>
      </c>
      <c r="B7555" s="1821"/>
      <c r="D7555" s="2" t="str">
        <f t="shared" si="122"/>
        <v>OK</v>
      </c>
      <c r="E7555" s="2" t="s">
        <v>79</v>
      </c>
    </row>
    <row r="7556" spans="1:5" x14ac:dyDescent="0.2">
      <c r="A7556" s="125">
        <f t="shared" si="121"/>
        <v>7495</v>
      </c>
      <c r="B7556" s="1821"/>
      <c r="D7556" s="2" t="str">
        <f t="shared" si="122"/>
        <v>OK</v>
      </c>
      <c r="E7556" s="2" t="s">
        <v>79</v>
      </c>
    </row>
    <row r="7557" spans="1:5" x14ac:dyDescent="0.2">
      <c r="A7557" s="125">
        <f t="shared" si="121"/>
        <v>7496</v>
      </c>
      <c r="B7557" s="1821"/>
      <c r="D7557" s="2" t="str">
        <f t="shared" si="122"/>
        <v>OK</v>
      </c>
      <c r="E7557" s="2" t="s">
        <v>79</v>
      </c>
    </row>
    <row r="7558" spans="1:5" x14ac:dyDescent="0.2">
      <c r="A7558" s="125">
        <f t="shared" si="121"/>
        <v>7497</v>
      </c>
      <c r="B7558" s="1821"/>
      <c r="D7558" s="2" t="str">
        <f t="shared" si="122"/>
        <v>OK</v>
      </c>
      <c r="E7558" s="2" t="s">
        <v>79</v>
      </c>
    </row>
    <row r="7559" spans="1:5" x14ac:dyDescent="0.2">
      <c r="A7559" s="125">
        <f t="shared" si="121"/>
        <v>7498</v>
      </c>
      <c r="B7559" s="1821"/>
      <c r="D7559" s="2" t="str">
        <f t="shared" si="122"/>
        <v>OK</v>
      </c>
      <c r="E7559" s="2" t="s">
        <v>79</v>
      </c>
    </row>
    <row r="7560" spans="1:5" x14ac:dyDescent="0.2">
      <c r="A7560" s="125">
        <f t="shared" si="121"/>
        <v>7499</v>
      </c>
      <c r="B7560" s="1821"/>
      <c r="D7560" s="2" t="str">
        <f t="shared" si="122"/>
        <v>OK</v>
      </c>
      <c r="E7560" s="2" t="s">
        <v>79</v>
      </c>
    </row>
    <row r="7561" spans="1:5" x14ac:dyDescent="0.2">
      <c r="A7561" s="125">
        <f t="shared" si="121"/>
        <v>7500</v>
      </c>
      <c r="B7561" s="1821"/>
      <c r="D7561" s="2" t="str">
        <f t="shared" si="122"/>
        <v>OK</v>
      </c>
      <c r="E7561" s="2" t="s">
        <v>79</v>
      </c>
    </row>
    <row r="7562" spans="1:5" x14ac:dyDescent="0.2">
      <c r="A7562" s="125">
        <f t="shared" si="121"/>
        <v>7501</v>
      </c>
      <c r="B7562" s="1821"/>
      <c r="D7562" s="2" t="str">
        <f t="shared" si="122"/>
        <v>OK</v>
      </c>
      <c r="E7562" s="2" t="s">
        <v>79</v>
      </c>
    </row>
    <row r="7563" spans="1:5" x14ac:dyDescent="0.2">
      <c r="A7563" s="125">
        <f t="shared" si="121"/>
        <v>7502</v>
      </c>
      <c r="B7563" s="1821"/>
      <c r="D7563" s="2" t="str">
        <f t="shared" si="122"/>
        <v>OK</v>
      </c>
      <c r="E7563" s="2" t="s">
        <v>79</v>
      </c>
    </row>
    <row r="7564" spans="1:5" x14ac:dyDescent="0.2">
      <c r="A7564" s="125">
        <f t="shared" si="121"/>
        <v>7503</v>
      </c>
      <c r="B7564" s="1821"/>
      <c r="D7564" s="2" t="str">
        <f t="shared" si="122"/>
        <v>OK</v>
      </c>
      <c r="E7564" s="2" t="s">
        <v>79</v>
      </c>
    </row>
    <row r="7565" spans="1:5" x14ac:dyDescent="0.2">
      <c r="A7565" s="125">
        <f t="shared" si="121"/>
        <v>7504</v>
      </c>
      <c r="B7565" s="1821"/>
      <c r="D7565" s="2" t="str">
        <f t="shared" si="122"/>
        <v>OK</v>
      </c>
      <c r="E7565" s="2" t="s">
        <v>79</v>
      </c>
    </row>
    <row r="7566" spans="1:5" x14ac:dyDescent="0.2">
      <c r="A7566" s="125">
        <f t="shared" ref="A7566:A7629" si="123">A7565+1</f>
        <v>7505</v>
      </c>
      <c r="B7566" s="1821"/>
      <c r="D7566" s="2" t="str">
        <f t="shared" si="122"/>
        <v>OK</v>
      </c>
      <c r="E7566" s="2" t="s">
        <v>79</v>
      </c>
    </row>
    <row r="7567" spans="1:5" x14ac:dyDescent="0.2">
      <c r="A7567" s="125">
        <f t="shared" si="123"/>
        <v>7506</v>
      </c>
      <c r="B7567" s="1821"/>
      <c r="D7567" s="2" t="str">
        <f t="shared" si="122"/>
        <v>OK</v>
      </c>
      <c r="E7567" s="2" t="s">
        <v>79</v>
      </c>
    </row>
    <row r="7568" spans="1:5" x14ac:dyDescent="0.2">
      <c r="A7568" s="125">
        <f t="shared" si="123"/>
        <v>7507</v>
      </c>
      <c r="B7568" s="1821"/>
      <c r="D7568" s="2" t="str">
        <f t="shared" si="122"/>
        <v>OK</v>
      </c>
      <c r="E7568" s="2" t="s">
        <v>79</v>
      </c>
    </row>
    <row r="7569" spans="1:5" x14ac:dyDescent="0.2">
      <c r="A7569" s="125">
        <f t="shared" si="123"/>
        <v>7508</v>
      </c>
      <c r="B7569" s="1821"/>
      <c r="D7569" s="2" t="str">
        <f t="shared" si="122"/>
        <v>OK</v>
      </c>
      <c r="E7569" s="2" t="s">
        <v>79</v>
      </c>
    </row>
    <row r="7570" spans="1:5" x14ac:dyDescent="0.2">
      <c r="A7570" s="125">
        <f t="shared" si="123"/>
        <v>7509</v>
      </c>
      <c r="B7570" s="1821"/>
      <c r="D7570" s="2" t="str">
        <f t="shared" si="122"/>
        <v>OK</v>
      </c>
      <c r="E7570" s="2" t="s">
        <v>79</v>
      </c>
    </row>
    <row r="7571" spans="1:5" x14ac:dyDescent="0.2">
      <c r="A7571" s="125">
        <f t="shared" si="123"/>
        <v>7510</v>
      </c>
      <c r="B7571" s="1821"/>
      <c r="D7571" s="2" t="str">
        <f t="shared" si="122"/>
        <v>OK</v>
      </c>
      <c r="E7571" s="2" t="s">
        <v>79</v>
      </c>
    </row>
    <row r="7572" spans="1:5" x14ac:dyDescent="0.2">
      <c r="A7572" s="125">
        <f t="shared" si="123"/>
        <v>7511</v>
      </c>
      <c r="B7572" s="1821"/>
      <c r="D7572" s="2" t="str">
        <f t="shared" si="122"/>
        <v>OK</v>
      </c>
      <c r="E7572" s="2" t="s">
        <v>79</v>
      </c>
    </row>
    <row r="7573" spans="1:5" x14ac:dyDescent="0.2">
      <c r="A7573" s="125">
        <f t="shared" si="123"/>
        <v>7512</v>
      </c>
      <c r="B7573" s="1821"/>
      <c r="D7573" s="2" t="str">
        <f t="shared" si="122"/>
        <v>OK</v>
      </c>
      <c r="E7573" s="2" t="s">
        <v>79</v>
      </c>
    </row>
    <row r="7574" spans="1:5" x14ac:dyDescent="0.2">
      <c r="A7574" s="125">
        <f t="shared" si="123"/>
        <v>7513</v>
      </c>
      <c r="B7574" s="1821"/>
      <c r="D7574" s="2" t="str">
        <f t="shared" si="122"/>
        <v>OK</v>
      </c>
      <c r="E7574" s="2" t="s">
        <v>79</v>
      </c>
    </row>
    <row r="7575" spans="1:5" x14ac:dyDescent="0.2">
      <c r="A7575" s="125">
        <f t="shared" si="123"/>
        <v>7514</v>
      </c>
      <c r="B7575" s="1821"/>
      <c r="D7575" s="2" t="str">
        <f t="shared" si="122"/>
        <v>OK</v>
      </c>
      <c r="E7575" s="2" t="s">
        <v>79</v>
      </c>
    </row>
    <row r="7576" spans="1:5" x14ac:dyDescent="0.2">
      <c r="A7576" s="125">
        <f t="shared" si="123"/>
        <v>7515</v>
      </c>
      <c r="B7576" s="1821"/>
      <c r="D7576" s="2" t="str">
        <f t="shared" si="122"/>
        <v>OK</v>
      </c>
      <c r="E7576" s="2" t="s">
        <v>79</v>
      </c>
    </row>
    <row r="7577" spans="1:5" x14ac:dyDescent="0.2">
      <c r="A7577" s="125">
        <f t="shared" si="123"/>
        <v>7516</v>
      </c>
      <c r="B7577" s="1821"/>
      <c r="D7577" s="2" t="str">
        <f t="shared" si="122"/>
        <v>OK</v>
      </c>
      <c r="E7577" s="2" t="s">
        <v>79</v>
      </c>
    </row>
    <row r="7578" spans="1:5" x14ac:dyDescent="0.2">
      <c r="A7578" s="125">
        <f t="shared" si="123"/>
        <v>7517</v>
      </c>
      <c r="B7578" s="1821"/>
      <c r="D7578" s="2" t="str">
        <f t="shared" si="122"/>
        <v>OK</v>
      </c>
      <c r="E7578" s="2" t="s">
        <v>79</v>
      </c>
    </row>
    <row r="7579" spans="1:5" x14ac:dyDescent="0.2">
      <c r="A7579" s="125">
        <f t="shared" si="123"/>
        <v>7518</v>
      </c>
      <c r="B7579" s="1821"/>
      <c r="D7579" s="2" t="str">
        <f t="shared" si="122"/>
        <v>OK</v>
      </c>
      <c r="E7579" s="2" t="s">
        <v>79</v>
      </c>
    </row>
    <row r="7580" spans="1:5" x14ac:dyDescent="0.2">
      <c r="A7580" s="125">
        <f t="shared" si="123"/>
        <v>7519</v>
      </c>
      <c r="B7580" s="1821"/>
      <c r="D7580" s="2" t="str">
        <f t="shared" si="122"/>
        <v>OK</v>
      </c>
      <c r="E7580" s="2" t="s">
        <v>79</v>
      </c>
    </row>
    <row r="7581" spans="1:5" x14ac:dyDescent="0.2">
      <c r="A7581" s="125">
        <f t="shared" si="123"/>
        <v>7520</v>
      </c>
      <c r="B7581" s="1821"/>
      <c r="D7581" s="2" t="str">
        <f t="shared" si="122"/>
        <v>OK</v>
      </c>
      <c r="E7581" s="2" t="s">
        <v>79</v>
      </c>
    </row>
    <row r="7582" spans="1:5" x14ac:dyDescent="0.2">
      <c r="A7582" s="125">
        <f t="shared" si="123"/>
        <v>7521</v>
      </c>
      <c r="B7582" s="1821"/>
      <c r="D7582" s="2" t="str">
        <f t="shared" si="122"/>
        <v>OK</v>
      </c>
      <c r="E7582" s="2" t="s">
        <v>79</v>
      </c>
    </row>
    <row r="7583" spans="1:5" x14ac:dyDescent="0.2">
      <c r="A7583" s="125">
        <f t="shared" si="123"/>
        <v>7522</v>
      </c>
      <c r="B7583" s="1821"/>
      <c r="D7583" s="2" t="str">
        <f t="shared" si="122"/>
        <v>OK</v>
      </c>
      <c r="E7583" s="2" t="s">
        <v>79</v>
      </c>
    </row>
    <row r="7584" spans="1:5" x14ac:dyDescent="0.2">
      <c r="A7584" s="125">
        <f t="shared" si="123"/>
        <v>7523</v>
      </c>
      <c r="B7584" s="1821"/>
      <c r="D7584" s="2" t="str">
        <f t="shared" si="122"/>
        <v>OK</v>
      </c>
      <c r="E7584" s="2" t="s">
        <v>79</v>
      </c>
    </row>
    <row r="7585" spans="1:5" x14ac:dyDescent="0.2">
      <c r="A7585" s="125">
        <f t="shared" si="123"/>
        <v>7524</v>
      </c>
      <c r="B7585" s="1821"/>
      <c r="D7585" s="2" t="str">
        <f t="shared" si="122"/>
        <v>OK</v>
      </c>
      <c r="E7585" s="2" t="s">
        <v>79</v>
      </c>
    </row>
    <row r="7586" spans="1:5" x14ac:dyDescent="0.2">
      <c r="A7586" s="125">
        <f t="shared" si="123"/>
        <v>7525</v>
      </c>
      <c r="B7586" s="1821"/>
      <c r="D7586" s="2" t="str">
        <f t="shared" si="122"/>
        <v>OK</v>
      </c>
      <c r="E7586" s="2" t="s">
        <v>79</v>
      </c>
    </row>
    <row r="7587" spans="1:5" x14ac:dyDescent="0.2">
      <c r="A7587" s="125">
        <f t="shared" si="123"/>
        <v>7526</v>
      </c>
      <c r="B7587" s="1821"/>
      <c r="D7587" s="2" t="str">
        <f t="shared" si="122"/>
        <v>OK</v>
      </c>
      <c r="E7587" s="2" t="s">
        <v>79</v>
      </c>
    </row>
    <row r="7588" spans="1:5" x14ac:dyDescent="0.2">
      <c r="A7588" s="125">
        <f t="shared" si="123"/>
        <v>7527</v>
      </c>
      <c r="B7588" s="1821"/>
      <c r="D7588" s="2" t="str">
        <f t="shared" si="122"/>
        <v>OK</v>
      </c>
      <c r="E7588" s="2" t="s">
        <v>79</v>
      </c>
    </row>
    <row r="7589" spans="1:5" x14ac:dyDescent="0.2">
      <c r="A7589" s="125">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0</v>
      </c>
      <c r="D7624" s="2" t="str">
        <f t="shared" si="124"/>
        <v>Error?</v>
      </c>
      <c r="E7624" s="2" t="s">
        <v>19</v>
      </c>
    </row>
    <row r="7625" spans="1:5" x14ac:dyDescent="0.2">
      <c r="A7625">
        <f t="shared" si="123"/>
        <v>7564</v>
      </c>
      <c r="B7625" s="1820">
        <f>'Cap Outlay Deprec 26'!I17</f>
        <v>0</v>
      </c>
      <c r="D7625" s="2" t="str">
        <f t="shared" si="124"/>
        <v>Error?</v>
      </c>
      <c r="E7625" s="2" t="s">
        <v>19</v>
      </c>
    </row>
    <row r="7626" spans="1:5" x14ac:dyDescent="0.2">
      <c r="A7626" s="125">
        <f t="shared" si="123"/>
        <v>7565</v>
      </c>
      <c r="B7626" s="1820"/>
      <c r="D7626" s="2" t="str">
        <f t="shared" si="124"/>
        <v>OK</v>
      </c>
      <c r="E7626" s="4" t="s">
        <v>1323</v>
      </c>
    </row>
    <row r="7627" spans="1:5" x14ac:dyDescent="0.2">
      <c r="A7627" s="125">
        <f t="shared" si="123"/>
        <v>7566</v>
      </c>
      <c r="B7627" s="1820"/>
      <c r="D7627" s="2" t="str">
        <f t="shared" si="124"/>
        <v>OK</v>
      </c>
      <c r="E7627" s="4" t="s">
        <v>1323</v>
      </c>
    </row>
    <row r="7628" spans="1:5" x14ac:dyDescent="0.2">
      <c r="A7628">
        <f t="shared" si="123"/>
        <v>7567</v>
      </c>
      <c r="B7628" s="1820"/>
      <c r="D7628" s="2" t="str">
        <f t="shared" si="124"/>
        <v>OK</v>
      </c>
      <c r="E7628" s="2" t="s">
        <v>19</v>
      </c>
    </row>
    <row r="7629" spans="1:5" x14ac:dyDescent="0.2">
      <c r="A7629" s="125">
        <f t="shared" si="123"/>
        <v>7568</v>
      </c>
      <c r="B7629" s="1820"/>
      <c r="D7629" s="2" t="str">
        <f t="shared" si="124"/>
        <v>OK</v>
      </c>
      <c r="E7629" s="4" t="s">
        <v>1323</v>
      </c>
    </row>
    <row r="7630" spans="1:5" x14ac:dyDescent="0.2">
      <c r="A7630" s="125">
        <f t="shared" ref="A7630:A7650" si="125">A7629+1</f>
        <v>7569</v>
      </c>
      <c r="B7630" s="1820"/>
      <c r="D7630" s="2" t="str">
        <f t="shared" si="124"/>
        <v>OK</v>
      </c>
      <c r="E7630" s="4" t="s">
        <v>1323</v>
      </c>
    </row>
    <row r="7631" spans="1:5" x14ac:dyDescent="0.2">
      <c r="A7631">
        <f t="shared" si="125"/>
        <v>7570</v>
      </c>
      <c r="B7631" s="1820">
        <f>'Cap Outlay Deprec 26'!I18</f>
        <v>1050428</v>
      </c>
      <c r="D7631" s="2" t="str">
        <f t="shared" si="124"/>
        <v>Error?</v>
      </c>
      <c r="E7631" s="2" t="s">
        <v>19</v>
      </c>
    </row>
    <row r="7632" spans="1:5" x14ac:dyDescent="0.2">
      <c r="A7632" s="125">
        <f t="shared" si="125"/>
        <v>7571</v>
      </c>
      <c r="B7632" s="1820"/>
      <c r="D7632" s="2" t="str">
        <f t="shared" si="124"/>
        <v>OK</v>
      </c>
      <c r="E7632" s="2" t="s">
        <v>19</v>
      </c>
    </row>
    <row r="7633" spans="1:6" x14ac:dyDescent="0.2">
      <c r="A7633" s="125">
        <f t="shared" si="125"/>
        <v>7572</v>
      </c>
      <c r="B7633" s="1820"/>
      <c r="D7633" s="2" t="str">
        <f t="shared" si="124"/>
        <v>OK</v>
      </c>
      <c r="E7633" s="4" t="s">
        <v>1323</v>
      </c>
    </row>
    <row r="7634" spans="1:6" x14ac:dyDescent="0.2">
      <c r="A7634" s="125">
        <f t="shared" si="125"/>
        <v>7573</v>
      </c>
      <c r="B7634" s="1820"/>
      <c r="D7634" s="2" t="str">
        <f t="shared" si="124"/>
        <v>OK</v>
      </c>
      <c r="E7634" s="4" t="s">
        <v>1323</v>
      </c>
    </row>
    <row r="7635" spans="1:6" x14ac:dyDescent="0.2">
      <c r="A7635" s="125">
        <f t="shared" si="125"/>
        <v>7574</v>
      </c>
      <c r="B7635" s="1821"/>
      <c r="D7635" s="2" t="str">
        <f t="shared" si="124"/>
        <v>OK</v>
      </c>
      <c r="E7635" s="4" t="s">
        <v>1992</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5">
        <f t="shared" si="125"/>
        <v>7579</v>
      </c>
      <c r="B7640" s="1821"/>
      <c r="D7640" s="2" t="str">
        <f t="shared" si="124"/>
        <v>OK</v>
      </c>
      <c r="E7640" s="4" t="s">
        <v>1992</v>
      </c>
    </row>
    <row r="7641" spans="1:6" x14ac:dyDescent="0.2">
      <c r="A7641" s="125">
        <f t="shared" si="125"/>
        <v>7580</v>
      </c>
      <c r="B7641" s="1821"/>
      <c r="D7641" s="2" t="str">
        <f t="shared" si="124"/>
        <v>OK</v>
      </c>
      <c r="E7641" s="4" t="s">
        <v>1992</v>
      </c>
    </row>
    <row r="7642" spans="1:6" x14ac:dyDescent="0.2">
      <c r="A7642" s="125">
        <f t="shared" si="125"/>
        <v>7581</v>
      </c>
      <c r="B7642" s="1821"/>
      <c r="D7642" s="2" t="str">
        <f t="shared" si="124"/>
        <v>OK</v>
      </c>
      <c r="E7642" s="4" t="s">
        <v>1992</v>
      </c>
    </row>
    <row r="7643" spans="1:6" x14ac:dyDescent="0.2">
      <c r="A7643" s="125">
        <f t="shared" si="125"/>
        <v>7582</v>
      </c>
      <c r="B7643" s="1821"/>
      <c r="D7643" s="2" t="str">
        <f t="shared" si="124"/>
        <v>OK</v>
      </c>
      <c r="E7643" s="4" t="s">
        <v>1992</v>
      </c>
    </row>
    <row r="7644" spans="1:6" x14ac:dyDescent="0.2">
      <c r="A7644" s="125">
        <f t="shared" si="125"/>
        <v>7583</v>
      </c>
      <c r="B7644" s="1821"/>
      <c r="D7644" s="2" t="str">
        <f t="shared" si="124"/>
        <v>OK</v>
      </c>
      <c r="E7644" s="4" t="s">
        <v>1992</v>
      </c>
    </row>
    <row r="7645" spans="1:6" x14ac:dyDescent="0.2">
      <c r="A7645" s="125">
        <f t="shared" si="125"/>
        <v>7584</v>
      </c>
      <c r="B7645" s="1821"/>
      <c r="D7645" s="2" t="str">
        <f t="shared" si="124"/>
        <v>OK</v>
      </c>
      <c r="E7645" s="4" t="s">
        <v>1992</v>
      </c>
    </row>
    <row r="7646" spans="1:6" x14ac:dyDescent="0.2">
      <c r="A7646" s="125">
        <f t="shared" si="125"/>
        <v>7585</v>
      </c>
      <c r="B7646" s="1821"/>
      <c r="D7646" s="2" t="str">
        <f t="shared" si="124"/>
        <v>OK</v>
      </c>
      <c r="E7646" s="4" t="s">
        <v>1992</v>
      </c>
    </row>
    <row r="7647" spans="1:6" x14ac:dyDescent="0.2">
      <c r="A7647" s="125">
        <f t="shared" si="125"/>
        <v>7586</v>
      </c>
      <c r="B7647" s="1821"/>
      <c r="D7647" s="2" t="str">
        <f t="shared" si="124"/>
        <v>OK</v>
      </c>
      <c r="E7647" s="4" t="s">
        <v>1992</v>
      </c>
    </row>
    <row r="7648" spans="1:6" x14ac:dyDescent="0.2">
      <c r="A7648" s="125">
        <f t="shared" si="125"/>
        <v>7587</v>
      </c>
      <c r="B7648" s="1821"/>
      <c r="D7648" s="2" t="str">
        <f t="shared" si="124"/>
        <v>OK</v>
      </c>
      <c r="E7648" s="4" t="s">
        <v>1992</v>
      </c>
    </row>
    <row r="7649" spans="1:5" x14ac:dyDescent="0.2">
      <c r="A7649" s="125">
        <f t="shared" si="125"/>
        <v>7588</v>
      </c>
      <c r="B7649" s="1821"/>
      <c r="D7649" s="2" t="str">
        <f t="shared" si="124"/>
        <v>OK</v>
      </c>
      <c r="E7649" s="4" t="s">
        <v>1992</v>
      </c>
    </row>
    <row r="7650" spans="1:5" x14ac:dyDescent="0.2">
      <c r="A7650" s="125">
        <f t="shared" si="125"/>
        <v>7589</v>
      </c>
      <c r="B7650" s="1821"/>
      <c r="D7650" s="2" t="str">
        <f t="shared" si="124"/>
        <v>OK</v>
      </c>
      <c r="E7650" s="4" t="s">
        <v>1992</v>
      </c>
    </row>
    <row r="7651" spans="1:5" x14ac:dyDescent="0.2">
      <c r="A7651">
        <v>7590</v>
      </c>
      <c r="B7651" s="1820">
        <f>'Acct Summary 7-8'!C55</f>
        <v>0</v>
      </c>
      <c r="D7651" s="2" t="str">
        <f t="shared" si="124"/>
        <v>Error?</v>
      </c>
      <c r="E7651" s="2" t="s">
        <v>822</v>
      </c>
    </row>
    <row r="7652" spans="1:5" x14ac:dyDescent="0.2">
      <c r="A7652">
        <v>7591</v>
      </c>
      <c r="B7652" s="1820">
        <f>'Acct Summary 7-8'!D55</f>
        <v>0</v>
      </c>
      <c r="D7652" s="2" t="str">
        <f t="shared" si="124"/>
        <v>Error?</v>
      </c>
      <c r="E7652" s="2" t="s">
        <v>822</v>
      </c>
    </row>
    <row r="7653" spans="1:5" x14ac:dyDescent="0.2">
      <c r="A7653">
        <v>7592</v>
      </c>
      <c r="B7653" s="1820">
        <f>'Acct Summary 7-8'!H55</f>
        <v>0</v>
      </c>
      <c r="D7653" s="2" t="str">
        <f t="shared" si="124"/>
        <v>Error?</v>
      </c>
      <c r="E7653" s="2" t="s">
        <v>822</v>
      </c>
    </row>
    <row r="7654" spans="1:5" x14ac:dyDescent="0.2">
      <c r="A7654">
        <v>7593</v>
      </c>
      <c r="B7654" s="1820">
        <f>'Acct Summary 7-8'!C56</f>
        <v>0</v>
      </c>
      <c r="D7654" s="2" t="str">
        <f t="shared" si="124"/>
        <v>Error?</v>
      </c>
      <c r="E7654" s="2" t="s">
        <v>822</v>
      </c>
    </row>
    <row r="7655" spans="1:5" x14ac:dyDescent="0.2">
      <c r="A7655">
        <v>7594</v>
      </c>
      <c r="B7655" s="1820">
        <f>'Acct Summary 7-8'!D56</f>
        <v>0</v>
      </c>
      <c r="D7655" s="2" t="str">
        <f t="shared" si="124"/>
        <v>Error?</v>
      </c>
      <c r="E7655" s="2" t="s">
        <v>822</v>
      </c>
    </row>
    <row r="7656" spans="1:5" x14ac:dyDescent="0.2">
      <c r="A7656">
        <v>7595</v>
      </c>
      <c r="B7656" s="1820">
        <f>'Acct Summary 7-8'!H56</f>
        <v>0</v>
      </c>
      <c r="D7656" s="2" t="str">
        <f t="shared" si="124"/>
        <v>Error?</v>
      </c>
      <c r="E7656" s="2" t="s">
        <v>822</v>
      </c>
    </row>
    <row r="7657" spans="1:5" x14ac:dyDescent="0.2">
      <c r="A7657">
        <v>7596</v>
      </c>
      <c r="B7657" s="1820">
        <f>'Acct Summary 7-8'!C57</f>
        <v>0</v>
      </c>
      <c r="D7657" s="2" t="str">
        <f t="shared" si="124"/>
        <v>Error?</v>
      </c>
      <c r="E7657" s="2" t="s">
        <v>822</v>
      </c>
    </row>
    <row r="7658" spans="1:5" x14ac:dyDescent="0.2">
      <c r="A7658">
        <v>7597</v>
      </c>
      <c r="B7658" s="1820">
        <f>'Acct Summary 7-8'!D57</f>
        <v>0</v>
      </c>
      <c r="D7658" s="2" t="str">
        <f t="shared" si="124"/>
        <v>Error?</v>
      </c>
      <c r="E7658" s="2" t="s">
        <v>822</v>
      </c>
    </row>
    <row r="7659" spans="1:5" x14ac:dyDescent="0.2">
      <c r="A7659">
        <v>7598</v>
      </c>
      <c r="B7659" s="1820">
        <f>'Acct Summary 7-8'!H57</f>
        <v>0</v>
      </c>
      <c r="D7659" s="2" t="str">
        <f t="shared" si="124"/>
        <v>Error?</v>
      </c>
      <c r="E7659" s="2" t="s">
        <v>822</v>
      </c>
    </row>
    <row r="7660" spans="1:5" x14ac:dyDescent="0.2">
      <c r="A7660">
        <v>7599</v>
      </c>
      <c r="B7660" s="1820">
        <f>'Acct Summary 7-8'!C59</f>
        <v>0</v>
      </c>
      <c r="D7660" s="2" t="str">
        <f t="shared" si="124"/>
        <v>Error?</v>
      </c>
      <c r="E7660" s="2" t="s">
        <v>822</v>
      </c>
    </row>
    <row r="7661" spans="1:5" x14ac:dyDescent="0.2">
      <c r="A7661">
        <v>7600</v>
      </c>
      <c r="B7661" s="1820">
        <f>'Acct Summary 7-8'!D59</f>
        <v>0</v>
      </c>
      <c r="D7661" s="2" t="str">
        <f t="shared" si="124"/>
        <v>Error?</v>
      </c>
      <c r="E7661" s="2" t="s">
        <v>822</v>
      </c>
    </row>
    <row r="7662" spans="1:5" x14ac:dyDescent="0.2">
      <c r="A7662">
        <v>7601</v>
      </c>
      <c r="B7662" s="1820">
        <f>'Acct Summary 7-8'!H59</f>
        <v>0</v>
      </c>
      <c r="D7662" s="2" t="str">
        <f t="shared" si="124"/>
        <v>Error?</v>
      </c>
      <c r="E7662" s="2" t="s">
        <v>822</v>
      </c>
    </row>
    <row r="7663" spans="1:5" x14ac:dyDescent="0.2">
      <c r="A7663">
        <v>7602</v>
      </c>
      <c r="B7663" s="1820">
        <f>'Acct Summary 7-8'!C60</f>
        <v>0</v>
      </c>
      <c r="D7663" s="2" t="str">
        <f t="shared" si="124"/>
        <v>Error?</v>
      </c>
      <c r="E7663" s="2" t="s">
        <v>822</v>
      </c>
    </row>
    <row r="7664" spans="1:5" x14ac:dyDescent="0.2">
      <c r="A7664">
        <v>7603</v>
      </c>
      <c r="B7664" s="1820">
        <f>'Acct Summary 7-8'!D60</f>
        <v>0</v>
      </c>
      <c r="D7664" s="2" t="str">
        <f t="shared" si="124"/>
        <v>Error?</v>
      </c>
      <c r="E7664" s="2" t="s">
        <v>822</v>
      </c>
    </row>
    <row r="7665" spans="1:5" x14ac:dyDescent="0.2">
      <c r="A7665">
        <v>7604</v>
      </c>
      <c r="B7665" s="1820">
        <f>'Acct Summary 7-8'!H60</f>
        <v>0</v>
      </c>
      <c r="D7665" s="2" t="str">
        <f t="shared" si="124"/>
        <v>Error?</v>
      </c>
      <c r="E7665" s="2" t="s">
        <v>822</v>
      </c>
    </row>
    <row r="7666" spans="1:5" x14ac:dyDescent="0.2">
      <c r="A7666">
        <v>7605</v>
      </c>
      <c r="B7666" s="1820">
        <f>'Acct Summary 7-8'!C61</f>
        <v>0</v>
      </c>
      <c r="D7666" s="2" t="str">
        <f t="shared" si="124"/>
        <v>Error?</v>
      </c>
      <c r="E7666" s="2" t="s">
        <v>822</v>
      </c>
    </row>
    <row r="7667" spans="1:5" x14ac:dyDescent="0.2">
      <c r="A7667">
        <v>7606</v>
      </c>
      <c r="B7667" s="1820">
        <f>'Acct Summary 7-8'!D61</f>
        <v>0</v>
      </c>
      <c r="D7667" s="2" t="str">
        <f t="shared" si="124"/>
        <v>Error?</v>
      </c>
      <c r="E7667" s="2" t="s">
        <v>822</v>
      </c>
    </row>
    <row r="7668" spans="1:5" x14ac:dyDescent="0.2">
      <c r="A7668">
        <v>7607</v>
      </c>
      <c r="B7668" s="1820">
        <f>'Acct Summary 7-8'!H61</f>
        <v>0</v>
      </c>
      <c r="D7668" s="2" t="str">
        <f t="shared" si="124"/>
        <v>Error?</v>
      </c>
      <c r="E7668" s="2" t="s">
        <v>822</v>
      </c>
    </row>
    <row r="7669" spans="1:5" x14ac:dyDescent="0.2">
      <c r="A7669">
        <v>7608</v>
      </c>
      <c r="B7669" s="1820">
        <f>'Acct Summary 7-8'!C63</f>
        <v>0</v>
      </c>
      <c r="D7669" s="2" t="str">
        <f t="shared" si="124"/>
        <v>Error?</v>
      </c>
      <c r="E7669" s="2" t="s">
        <v>822</v>
      </c>
    </row>
    <row r="7670" spans="1:5" x14ac:dyDescent="0.2">
      <c r="A7670">
        <v>7609</v>
      </c>
      <c r="B7670" s="1820">
        <f>'Acct Summary 7-8'!D63</f>
        <v>0</v>
      </c>
      <c r="D7670" s="2" t="str">
        <f t="shared" si="124"/>
        <v>Error?</v>
      </c>
      <c r="E7670" s="2" t="s">
        <v>822</v>
      </c>
    </row>
    <row r="7671" spans="1:5" x14ac:dyDescent="0.2">
      <c r="A7671">
        <v>7610</v>
      </c>
      <c r="B7671" s="1820">
        <f>'Acct Summary 7-8'!C64</f>
        <v>0</v>
      </c>
      <c r="D7671" s="2" t="str">
        <f t="shared" si="124"/>
        <v>Error?</v>
      </c>
      <c r="E7671" s="2" t="s">
        <v>822</v>
      </c>
    </row>
    <row r="7672" spans="1:5" x14ac:dyDescent="0.2">
      <c r="A7672">
        <v>7611</v>
      </c>
      <c r="B7672" s="1820">
        <f>'Acct Summary 7-8'!D64</f>
        <v>0</v>
      </c>
      <c r="D7672" s="2" t="str">
        <f t="shared" si="124"/>
        <v>Error?</v>
      </c>
      <c r="E7672" s="2" t="s">
        <v>822</v>
      </c>
    </row>
    <row r="7673" spans="1:5" x14ac:dyDescent="0.2">
      <c r="A7673">
        <v>7612</v>
      </c>
      <c r="B7673" s="1820">
        <f>'Acct Summary 7-8'!C65</f>
        <v>0</v>
      </c>
      <c r="D7673" s="2" t="str">
        <f t="shared" si="124"/>
        <v>Error?</v>
      </c>
      <c r="E7673" s="2" t="s">
        <v>822</v>
      </c>
    </row>
    <row r="7674" spans="1:5" x14ac:dyDescent="0.2">
      <c r="A7674">
        <v>7613</v>
      </c>
      <c r="B7674" s="1820">
        <f>'Acct Summary 7-8'!D65</f>
        <v>0</v>
      </c>
      <c r="D7674" s="2" t="str">
        <f t="shared" si="124"/>
        <v>Error?</v>
      </c>
      <c r="E7674" s="2" t="s">
        <v>822</v>
      </c>
    </row>
    <row r="7675" spans="1:5" x14ac:dyDescent="0.2">
      <c r="A7675">
        <v>7614</v>
      </c>
      <c r="B7675" s="1820">
        <f>'Acct Summary 7-8'!C67</f>
        <v>0</v>
      </c>
      <c r="D7675" s="2" t="str">
        <f t="shared" si="124"/>
        <v>Error?</v>
      </c>
      <c r="E7675" s="2" t="s">
        <v>822</v>
      </c>
    </row>
    <row r="7676" spans="1:5" x14ac:dyDescent="0.2">
      <c r="A7676">
        <v>7615</v>
      </c>
      <c r="B7676" s="1820">
        <f>'Acct Summary 7-8'!D67</f>
        <v>0</v>
      </c>
      <c r="D7676" s="2" t="str">
        <f t="shared" si="124"/>
        <v>Error?</v>
      </c>
      <c r="E7676" s="2" t="s">
        <v>822</v>
      </c>
    </row>
    <row r="7677" spans="1:5" x14ac:dyDescent="0.2">
      <c r="A7677">
        <v>7616</v>
      </c>
      <c r="B7677" s="1820">
        <f>'Acct Summary 7-8'!C68</f>
        <v>0</v>
      </c>
      <c r="D7677" s="2" t="str">
        <f t="shared" si="124"/>
        <v>Error?</v>
      </c>
      <c r="E7677" s="2" t="s">
        <v>822</v>
      </c>
    </row>
    <row r="7678" spans="1:5" x14ac:dyDescent="0.2">
      <c r="A7678">
        <v>7617</v>
      </c>
      <c r="B7678" s="1820">
        <f>'Acct Summary 7-8'!D68</f>
        <v>0</v>
      </c>
      <c r="D7678" s="2" t="str">
        <f t="shared" si="124"/>
        <v>Error?</v>
      </c>
      <c r="E7678" s="2" t="s">
        <v>822</v>
      </c>
    </row>
    <row r="7679" spans="1:5" x14ac:dyDescent="0.2">
      <c r="A7679">
        <v>7618</v>
      </c>
      <c r="B7679" s="1820">
        <f>'Acct Summary 7-8'!C69</f>
        <v>0</v>
      </c>
      <c r="D7679" s="2" t="str">
        <f t="shared" ref="D7679:D7742" si="126">IF(ISBLANK(B7679),"OK",IF(A7679-B7679=0,"OK","Error?"))</f>
        <v>Error?</v>
      </c>
      <c r="E7679" s="2" t="s">
        <v>822</v>
      </c>
    </row>
    <row r="7680" spans="1:5" x14ac:dyDescent="0.2">
      <c r="A7680">
        <v>7619</v>
      </c>
      <c r="B7680" s="1820">
        <f>'Acct Summary 7-8'!D69</f>
        <v>0</v>
      </c>
      <c r="D7680" s="2" t="str">
        <f t="shared" si="126"/>
        <v>Error?</v>
      </c>
      <c r="E7680" s="2" t="s">
        <v>822</v>
      </c>
    </row>
    <row r="7681" spans="1:5" x14ac:dyDescent="0.2">
      <c r="A7681">
        <v>7620</v>
      </c>
      <c r="B7681" s="1820">
        <f>'Acct Summary 7-8'!C71</f>
        <v>0</v>
      </c>
      <c r="D7681" s="2" t="str">
        <f t="shared" si="126"/>
        <v>Error?</v>
      </c>
      <c r="E7681" s="2" t="s">
        <v>822</v>
      </c>
    </row>
    <row r="7682" spans="1:5" x14ac:dyDescent="0.2">
      <c r="A7682">
        <v>7621</v>
      </c>
      <c r="B7682" s="1820">
        <f>'Acct Summary 7-8'!D71</f>
        <v>0</v>
      </c>
      <c r="D7682" s="2" t="str">
        <f t="shared" si="126"/>
        <v>Error?</v>
      </c>
      <c r="E7682" s="2" t="s">
        <v>822</v>
      </c>
    </row>
    <row r="7683" spans="1:5" x14ac:dyDescent="0.2">
      <c r="A7683">
        <v>7622</v>
      </c>
      <c r="B7683" s="1820">
        <f>'Acct Summary 7-8'!C72</f>
        <v>0</v>
      </c>
      <c r="D7683" s="2" t="str">
        <f t="shared" si="126"/>
        <v>Error?</v>
      </c>
      <c r="E7683" s="2" t="s">
        <v>822</v>
      </c>
    </row>
    <row r="7684" spans="1:5" x14ac:dyDescent="0.2">
      <c r="A7684">
        <v>7623</v>
      </c>
      <c r="B7684" s="1820">
        <f>'Acct Summary 7-8'!D72</f>
        <v>0</v>
      </c>
      <c r="D7684" s="2" t="str">
        <f t="shared" si="126"/>
        <v>Error?</v>
      </c>
      <c r="E7684" s="2" t="s">
        <v>822</v>
      </c>
    </row>
    <row r="7685" spans="1:5" x14ac:dyDescent="0.2">
      <c r="A7685">
        <v>7624</v>
      </c>
      <c r="B7685" s="1820">
        <f>'Acct Summary 7-8'!C73</f>
        <v>0</v>
      </c>
      <c r="D7685" s="2" t="str">
        <f t="shared" si="126"/>
        <v>Error?</v>
      </c>
      <c r="E7685" s="2" t="s">
        <v>822</v>
      </c>
    </row>
    <row r="7686" spans="1:5" x14ac:dyDescent="0.2">
      <c r="A7686">
        <v>7625</v>
      </c>
      <c r="B7686" s="1820">
        <f>'Acct Summary 7-8'!D73</f>
        <v>0</v>
      </c>
      <c r="D7686" s="2" t="str">
        <f t="shared" si="126"/>
        <v>Error?</v>
      </c>
      <c r="E7686" s="2" t="s">
        <v>822</v>
      </c>
    </row>
    <row r="7687" spans="1:5" x14ac:dyDescent="0.2">
      <c r="A7687">
        <v>7626</v>
      </c>
      <c r="B7687" s="1820">
        <f>'Revenues 9-14'!C196</f>
        <v>0</v>
      </c>
      <c r="D7687" s="2" t="str">
        <f t="shared" si="126"/>
        <v>Error?</v>
      </c>
      <c r="E7687" s="2" t="s">
        <v>822</v>
      </c>
    </row>
    <row r="7688" spans="1:5" x14ac:dyDescent="0.2">
      <c r="A7688">
        <v>7627</v>
      </c>
      <c r="B7688" s="1820">
        <f>'Expenditures 15-22'!C328</f>
        <v>0</v>
      </c>
      <c r="D7688" s="2" t="str">
        <f t="shared" si="126"/>
        <v>Error?</v>
      </c>
      <c r="E7688" s="2" t="s">
        <v>822</v>
      </c>
    </row>
    <row r="7689" spans="1:5" x14ac:dyDescent="0.2">
      <c r="A7689">
        <v>7628</v>
      </c>
      <c r="B7689" s="1820">
        <f>'Expenditures 15-22'!D328</f>
        <v>0</v>
      </c>
      <c r="D7689" s="2" t="str">
        <f t="shared" si="126"/>
        <v>Error?</v>
      </c>
      <c r="E7689" s="2" t="s">
        <v>822</v>
      </c>
    </row>
    <row r="7690" spans="1:5" x14ac:dyDescent="0.2">
      <c r="A7690">
        <v>7629</v>
      </c>
      <c r="B7690" s="1820">
        <f>'Expenditures 15-22'!E328</f>
        <v>0</v>
      </c>
      <c r="D7690" s="2" t="str">
        <f t="shared" si="126"/>
        <v>Error?</v>
      </c>
      <c r="E7690" s="2" t="s">
        <v>822</v>
      </c>
    </row>
    <row r="7691" spans="1:5" x14ac:dyDescent="0.2">
      <c r="A7691">
        <v>7630</v>
      </c>
      <c r="B7691" s="1820">
        <f>'Expenditures 15-22'!F328</f>
        <v>0</v>
      </c>
      <c r="D7691" s="2" t="str">
        <f t="shared" si="126"/>
        <v>Error?</v>
      </c>
      <c r="E7691" s="2" t="s">
        <v>822</v>
      </c>
    </row>
    <row r="7692" spans="1:5" x14ac:dyDescent="0.2">
      <c r="A7692">
        <v>7631</v>
      </c>
      <c r="B7692" s="1820">
        <f>'Expenditures 15-22'!G328</f>
        <v>0</v>
      </c>
      <c r="D7692" s="2" t="str">
        <f t="shared" si="126"/>
        <v>Error?</v>
      </c>
      <c r="E7692" s="2" t="s">
        <v>822</v>
      </c>
    </row>
    <row r="7693" spans="1:5" x14ac:dyDescent="0.2">
      <c r="A7693">
        <v>7632</v>
      </c>
      <c r="B7693" s="1820">
        <f>'Expenditures 15-22'!H328</f>
        <v>0</v>
      </c>
      <c r="D7693" s="2" t="str">
        <f t="shared" si="126"/>
        <v>Error?</v>
      </c>
      <c r="E7693" s="2" t="s">
        <v>822</v>
      </c>
    </row>
    <row r="7694" spans="1:5" x14ac:dyDescent="0.2">
      <c r="A7694">
        <v>7633</v>
      </c>
      <c r="B7694" s="1820">
        <f>'Expenditures 15-22'!I328</f>
        <v>0</v>
      </c>
      <c r="D7694" s="2" t="str">
        <f t="shared" si="126"/>
        <v>Error?</v>
      </c>
      <c r="E7694" s="2" t="s">
        <v>822</v>
      </c>
    </row>
    <row r="7695" spans="1:5" x14ac:dyDescent="0.2">
      <c r="A7695">
        <v>7634</v>
      </c>
      <c r="B7695" s="1820">
        <f>'Expenditures 15-22'!J328</f>
        <v>0</v>
      </c>
      <c r="D7695" s="2" t="str">
        <f t="shared" si="126"/>
        <v>Error?</v>
      </c>
      <c r="E7695" s="2" t="s">
        <v>822</v>
      </c>
    </row>
    <row r="7696" spans="1:5" x14ac:dyDescent="0.2">
      <c r="A7696">
        <v>7635</v>
      </c>
      <c r="B7696" s="1820">
        <f>'Expenditures 15-22'!K328</f>
        <v>0</v>
      </c>
      <c r="D7696" s="2" t="str">
        <f t="shared" si="126"/>
        <v>Error?</v>
      </c>
      <c r="E7696" s="2" t="s">
        <v>822</v>
      </c>
    </row>
    <row r="7697" spans="1:5" x14ac:dyDescent="0.2">
      <c r="A7697">
        <v>7636</v>
      </c>
      <c r="B7697" s="1820">
        <f>'Expenditures 15-22'!C329</f>
        <v>0</v>
      </c>
      <c r="D7697" s="2" t="str">
        <f t="shared" si="126"/>
        <v>Error?</v>
      </c>
      <c r="E7697" s="2" t="s">
        <v>822</v>
      </c>
    </row>
    <row r="7698" spans="1:5" x14ac:dyDescent="0.2">
      <c r="A7698">
        <v>7637</v>
      </c>
      <c r="B7698" s="1820">
        <f>'Expenditures 15-22'!D329</f>
        <v>0</v>
      </c>
      <c r="D7698" s="2" t="str">
        <f t="shared" si="126"/>
        <v>Error?</v>
      </c>
      <c r="E7698" s="2" t="s">
        <v>822</v>
      </c>
    </row>
    <row r="7699" spans="1:5" x14ac:dyDescent="0.2">
      <c r="A7699">
        <v>7638</v>
      </c>
      <c r="B7699" s="1820">
        <f>'Expenditures 15-22'!E329</f>
        <v>0</v>
      </c>
      <c r="D7699" s="2" t="str">
        <f t="shared" si="126"/>
        <v>Error?</v>
      </c>
      <c r="E7699" s="2" t="s">
        <v>822</v>
      </c>
    </row>
    <row r="7700" spans="1:5" x14ac:dyDescent="0.2">
      <c r="A7700">
        <v>7639</v>
      </c>
      <c r="B7700" s="1820">
        <f>'Expenditures 15-22'!F329</f>
        <v>0</v>
      </c>
      <c r="D7700" s="2" t="str">
        <f t="shared" si="126"/>
        <v>Error?</v>
      </c>
      <c r="E7700" s="2" t="s">
        <v>822</v>
      </c>
    </row>
    <row r="7701" spans="1:5" x14ac:dyDescent="0.2">
      <c r="A7701">
        <v>7640</v>
      </c>
      <c r="B7701" s="1820">
        <f>'Expenditures 15-22'!G329</f>
        <v>0</v>
      </c>
      <c r="D7701" s="2" t="str">
        <f t="shared" si="126"/>
        <v>Error?</v>
      </c>
      <c r="E7701" s="2" t="s">
        <v>822</v>
      </c>
    </row>
    <row r="7702" spans="1:5" x14ac:dyDescent="0.2">
      <c r="A7702">
        <v>7641</v>
      </c>
      <c r="B7702" s="1820">
        <f>'Expenditures 15-22'!H329</f>
        <v>0</v>
      </c>
      <c r="D7702" s="2" t="str">
        <f t="shared" si="126"/>
        <v>Error?</v>
      </c>
      <c r="E7702" s="2" t="s">
        <v>822</v>
      </c>
    </row>
    <row r="7703" spans="1:5" x14ac:dyDescent="0.2">
      <c r="A7703">
        <v>7642</v>
      </c>
      <c r="B7703" s="1820">
        <f>'Expenditures 15-22'!I329</f>
        <v>0</v>
      </c>
      <c r="D7703" s="2" t="str">
        <f t="shared" si="126"/>
        <v>Error?</v>
      </c>
      <c r="E7703" s="2" t="s">
        <v>822</v>
      </c>
    </row>
    <row r="7704" spans="1:5" x14ac:dyDescent="0.2">
      <c r="A7704">
        <v>7643</v>
      </c>
      <c r="B7704" s="1820">
        <f>'Expenditures 15-22'!J329</f>
        <v>0</v>
      </c>
      <c r="D7704" s="2" t="str">
        <f t="shared" si="126"/>
        <v>Error?</v>
      </c>
      <c r="E7704" s="2" t="s">
        <v>822</v>
      </c>
    </row>
    <row r="7705" spans="1:5" x14ac:dyDescent="0.2">
      <c r="A7705">
        <v>7644</v>
      </c>
      <c r="B7705" s="1820">
        <f>'Expenditures 15-22'!K329</f>
        <v>0</v>
      </c>
      <c r="D7705" s="2" t="str">
        <f t="shared" si="126"/>
        <v>Error?</v>
      </c>
      <c r="E7705" s="2" t="s">
        <v>822</v>
      </c>
    </row>
    <row r="7706" spans="1:5" x14ac:dyDescent="0.2">
      <c r="A7706">
        <v>7645</v>
      </c>
      <c r="B7706" s="1820">
        <f>'Revenues 9-14'!H167</f>
        <v>0</v>
      </c>
      <c r="D7706" s="2" t="str">
        <f t="shared" si="126"/>
        <v>Error?</v>
      </c>
      <c r="E7706" s="2" t="s">
        <v>822</v>
      </c>
    </row>
    <row r="7707" spans="1:5" x14ac:dyDescent="0.2">
      <c r="A7707">
        <v>7646</v>
      </c>
      <c r="B7707" s="1820">
        <f>'Expenditures 15-22'!I64</f>
        <v>0</v>
      </c>
      <c r="D7707" s="2" t="str">
        <f t="shared" si="126"/>
        <v>Error?</v>
      </c>
      <c r="E7707" s="2" t="s">
        <v>822</v>
      </c>
    </row>
    <row r="7708" spans="1:5" x14ac:dyDescent="0.2">
      <c r="A7708">
        <v>7647</v>
      </c>
      <c r="B7708" s="1820">
        <f>'Rest Tax Levies-Tort Im 25'!J3</f>
        <v>0</v>
      </c>
      <c r="D7708" s="2" t="str">
        <f t="shared" si="126"/>
        <v>Error?</v>
      </c>
      <c r="E7708" s="2" t="s">
        <v>822</v>
      </c>
    </row>
    <row r="7709" spans="1:5" x14ac:dyDescent="0.2">
      <c r="A7709">
        <v>7648</v>
      </c>
      <c r="B7709" s="1820">
        <f>'Rest Tax Levies-Tort Im 25'!K3</f>
        <v>0</v>
      </c>
      <c r="D7709" s="2" t="str">
        <f t="shared" si="126"/>
        <v>Error?</v>
      </c>
      <c r="E7709" s="2" t="s">
        <v>822</v>
      </c>
    </row>
    <row r="7710" spans="1:5" x14ac:dyDescent="0.2">
      <c r="A7710">
        <v>7649</v>
      </c>
      <c r="B7710" s="1820">
        <f>'Rest Tax Levies-Tort Im 25'!J6</f>
        <v>0</v>
      </c>
      <c r="D7710" s="2" t="str">
        <f t="shared" si="126"/>
        <v>Error?</v>
      </c>
      <c r="E7710" s="2" t="s">
        <v>822</v>
      </c>
    </row>
    <row r="7711" spans="1:5" x14ac:dyDescent="0.2">
      <c r="A7711">
        <v>7650</v>
      </c>
      <c r="B7711" s="1820">
        <f>'Rest Tax Levies-Tort Im 25'!K6</f>
        <v>0</v>
      </c>
      <c r="D7711" s="2" t="str">
        <f t="shared" si="126"/>
        <v>Error?</v>
      </c>
      <c r="E7711" s="2" t="s">
        <v>822</v>
      </c>
    </row>
    <row r="7712" spans="1:5" x14ac:dyDescent="0.2">
      <c r="A7712">
        <v>7651</v>
      </c>
      <c r="B7712" s="1820">
        <f>'Rest Tax Levies-Tort Im 25'!K7</f>
        <v>0</v>
      </c>
      <c r="D7712" s="2" t="str">
        <f t="shared" si="126"/>
        <v>Error?</v>
      </c>
      <c r="E7712" s="2" t="s">
        <v>822</v>
      </c>
    </row>
    <row r="7713" spans="1:6" x14ac:dyDescent="0.2">
      <c r="A7713">
        <v>7652</v>
      </c>
      <c r="B7713" s="1820">
        <f>'Rest Tax Levies-Tort Im 25'!J8</f>
        <v>0</v>
      </c>
      <c r="D7713" s="2" t="str">
        <f t="shared" si="126"/>
        <v>Error?</v>
      </c>
      <c r="E7713" s="2" t="s">
        <v>822</v>
      </c>
    </row>
    <row r="7714" spans="1:6" x14ac:dyDescent="0.2">
      <c r="A7714">
        <v>7653</v>
      </c>
      <c r="B7714" s="1820">
        <f>'Rest Tax Levies-Tort Im 25'!K9</f>
        <v>0</v>
      </c>
      <c r="D7714" s="2" t="str">
        <f t="shared" si="126"/>
        <v>Error?</v>
      </c>
      <c r="E7714" s="2" t="s">
        <v>822</v>
      </c>
    </row>
    <row r="7715" spans="1:6" x14ac:dyDescent="0.2">
      <c r="A7715">
        <v>7654</v>
      </c>
      <c r="B7715" s="1820">
        <f>'Rest Tax Levies-Tort Im 25'!J10</f>
        <v>0</v>
      </c>
      <c r="D7715" s="2" t="str">
        <f t="shared" si="126"/>
        <v>Error?</v>
      </c>
      <c r="E7715" s="2" t="s">
        <v>822</v>
      </c>
    </row>
    <row r="7716" spans="1:6" x14ac:dyDescent="0.2">
      <c r="A7716">
        <v>7655</v>
      </c>
      <c r="B7716" s="1820">
        <f>'Rest Tax Levies-Tort Im 25'!K10</f>
        <v>0</v>
      </c>
      <c r="D7716" s="2" t="str">
        <f t="shared" si="126"/>
        <v>Error?</v>
      </c>
      <c r="E7716" s="2" t="s">
        <v>822</v>
      </c>
    </row>
    <row r="7717" spans="1:6" x14ac:dyDescent="0.2">
      <c r="A7717">
        <v>7656</v>
      </c>
      <c r="B7717" s="1820">
        <f>'Rest Tax Levies-Tort Im 25'!J11</f>
        <v>0</v>
      </c>
      <c r="D7717" s="2" t="str">
        <f t="shared" si="126"/>
        <v>Error?</v>
      </c>
      <c r="E7717" s="2" t="s">
        <v>822</v>
      </c>
    </row>
    <row r="7718" spans="1:6" x14ac:dyDescent="0.2">
      <c r="A7718">
        <v>7657</v>
      </c>
      <c r="B7718" s="1820">
        <f>'Rest Tax Levies-Tort Im 25'!J12</f>
        <v>0</v>
      </c>
      <c r="D7718" s="2" t="str">
        <f t="shared" si="126"/>
        <v>Error?</v>
      </c>
      <c r="E7718" s="2" t="s">
        <v>822</v>
      </c>
    </row>
    <row r="7719" spans="1:6" x14ac:dyDescent="0.2">
      <c r="A7719">
        <v>7658</v>
      </c>
      <c r="B7719" s="1820">
        <f>'Rest Tax Levies-Tort Im 25'!K12</f>
        <v>0</v>
      </c>
      <c r="D7719" s="2" t="str">
        <f t="shared" si="126"/>
        <v>Error?</v>
      </c>
      <c r="E7719" s="2" t="s">
        <v>822</v>
      </c>
    </row>
    <row r="7720" spans="1:6" x14ac:dyDescent="0.2">
      <c r="A7720">
        <v>7659</v>
      </c>
      <c r="B7720" s="1820">
        <f>'Rest Tax Levies-Tort Im 25'!H14</f>
        <v>-10960</v>
      </c>
      <c r="D7720" s="2" t="str">
        <f t="shared" si="126"/>
        <v>Error?</v>
      </c>
      <c r="E7720" s="2" t="s">
        <v>822</v>
      </c>
    </row>
    <row r="7721" spans="1:6" x14ac:dyDescent="0.2">
      <c r="A7721">
        <v>7660</v>
      </c>
      <c r="B7721" s="1820">
        <f>'Rest Tax Levies-Tort Im 25'!K14</f>
        <v>0</v>
      </c>
      <c r="D7721" s="2" t="str">
        <f t="shared" si="126"/>
        <v>Error?</v>
      </c>
      <c r="E7721" s="2" t="s">
        <v>822</v>
      </c>
    </row>
    <row r="7722" spans="1:6" x14ac:dyDescent="0.2">
      <c r="A7722">
        <v>7661</v>
      </c>
      <c r="B7722" s="1820">
        <f>'Rest Tax Levies-Tort Im 25'!J15</f>
        <v>0</v>
      </c>
      <c r="D7722" s="2" t="str">
        <f t="shared" si="126"/>
        <v>Error?</v>
      </c>
      <c r="E7722" s="2" t="s">
        <v>822</v>
      </c>
    </row>
    <row r="7723" spans="1:6" x14ac:dyDescent="0.2">
      <c r="A7723">
        <v>7662</v>
      </c>
      <c r="B7723" s="1820">
        <f>'Rest Tax Levies-Tort Im 25'!K15</f>
        <v>0</v>
      </c>
      <c r="D7723" s="2" t="str">
        <f t="shared" si="126"/>
        <v>Error?</v>
      </c>
      <c r="E7723" s="2" t="s">
        <v>822</v>
      </c>
    </row>
    <row r="7724" spans="1:6" x14ac:dyDescent="0.2">
      <c r="A7724">
        <v>7663</v>
      </c>
      <c r="B7724" s="1820">
        <f>'Rest Tax Levies-Tort Im 25'!J18</f>
        <v>0</v>
      </c>
      <c r="D7724" s="2" t="str">
        <f t="shared" si="126"/>
        <v>Error?</v>
      </c>
      <c r="E7724" s="2" t="s">
        <v>822</v>
      </c>
      <c r="F7724" s="2"/>
    </row>
    <row r="7725" spans="1:6" x14ac:dyDescent="0.2">
      <c r="A7725">
        <v>7664</v>
      </c>
      <c r="B7725" s="1820">
        <f>'Rest Tax Levies-Tort Im 25'!J19</f>
        <v>0</v>
      </c>
      <c r="D7725" s="2" t="str">
        <f t="shared" si="126"/>
        <v>Error?</v>
      </c>
      <c r="E7725" s="2" t="s">
        <v>822</v>
      </c>
    </row>
    <row r="7726" spans="1:6" x14ac:dyDescent="0.2">
      <c r="A7726">
        <v>7665</v>
      </c>
      <c r="B7726" s="1820">
        <f>'Rest Tax Levies-Tort Im 25'!J20</f>
        <v>0</v>
      </c>
      <c r="D7726" s="2" t="str">
        <f t="shared" si="126"/>
        <v>Error?</v>
      </c>
      <c r="E7726" s="2" t="s">
        <v>822</v>
      </c>
    </row>
    <row r="7727" spans="1:6" x14ac:dyDescent="0.2">
      <c r="A7727">
        <v>7666</v>
      </c>
      <c r="B7727" s="1820">
        <f>'Rest Tax Levies-Tort Im 25'!J21</f>
        <v>0</v>
      </c>
      <c r="D7727" s="2" t="str">
        <f t="shared" si="126"/>
        <v>Error?</v>
      </c>
      <c r="E7727" s="2" t="s">
        <v>822</v>
      </c>
    </row>
    <row r="7728" spans="1:6" x14ac:dyDescent="0.2">
      <c r="A7728">
        <v>7667</v>
      </c>
      <c r="B7728" s="1820">
        <f>'Revenues 9-14'!E103</f>
        <v>0</v>
      </c>
      <c r="D7728" s="2" t="str">
        <f t="shared" si="126"/>
        <v>Error?</v>
      </c>
      <c r="E7728" s="2" t="s">
        <v>822</v>
      </c>
    </row>
    <row r="7729" spans="1:6" x14ac:dyDescent="0.2">
      <c r="A7729">
        <v>7668</v>
      </c>
      <c r="B7729" s="1820">
        <f>'Rest Tax Levies-Tort Im 25'!K22</f>
        <v>0</v>
      </c>
      <c r="D7729" s="2" t="str">
        <f t="shared" si="126"/>
        <v>Error?</v>
      </c>
      <c r="E7729" s="2" t="s">
        <v>822</v>
      </c>
    </row>
    <row r="7730" spans="1:6" x14ac:dyDescent="0.2">
      <c r="A7730">
        <v>7669</v>
      </c>
      <c r="B7730" s="1820">
        <f>'Rest Tax Levies-Tort Im 25'!J23</f>
        <v>0</v>
      </c>
      <c r="D7730" s="2" t="str">
        <f t="shared" si="126"/>
        <v>Error?</v>
      </c>
      <c r="E7730" s="2" t="s">
        <v>822</v>
      </c>
    </row>
    <row r="7731" spans="1:6" x14ac:dyDescent="0.2">
      <c r="A7731">
        <v>7670</v>
      </c>
      <c r="B7731" s="1820">
        <f>'Revenues 9-14'!H103</f>
        <v>0</v>
      </c>
      <c r="D7731" s="2" t="str">
        <f t="shared" si="126"/>
        <v>Error?</v>
      </c>
      <c r="E7731" s="2" t="s">
        <v>822</v>
      </c>
    </row>
    <row r="7732" spans="1:6" x14ac:dyDescent="0.2">
      <c r="A7732">
        <v>7671</v>
      </c>
      <c r="B7732" s="1820">
        <f>'Rest Tax Levies-Tort Im 25'!J24</f>
        <v>0</v>
      </c>
      <c r="D7732" s="2" t="str">
        <f t="shared" si="126"/>
        <v>Error?</v>
      </c>
      <c r="E7732" s="2" t="s">
        <v>822</v>
      </c>
    </row>
    <row r="7733" spans="1:6" x14ac:dyDescent="0.2">
      <c r="A7733">
        <v>7672</v>
      </c>
      <c r="B7733" s="1820">
        <f>'Rest Tax Levies-Tort Im 25'!K24</f>
        <v>0</v>
      </c>
      <c r="D7733" s="2" t="str">
        <f t="shared" si="126"/>
        <v>Error?</v>
      </c>
      <c r="E7733" s="2" t="s">
        <v>822</v>
      </c>
    </row>
    <row r="7734" spans="1:6" x14ac:dyDescent="0.2">
      <c r="A7734">
        <v>7673</v>
      </c>
      <c r="B7734" s="1820">
        <f>'Rest Tax Levies-Tort Im 25'!G25</f>
        <v>0</v>
      </c>
      <c r="D7734" s="2" t="str">
        <f t="shared" si="126"/>
        <v>Error?</v>
      </c>
      <c r="E7734" s="2" t="s">
        <v>822</v>
      </c>
    </row>
    <row r="7735" spans="1:6" x14ac:dyDescent="0.2">
      <c r="A7735">
        <v>7674</v>
      </c>
      <c r="B7735" s="1820">
        <f>'Rest Tax Levies-Tort Im 25'!H25</f>
        <v>0</v>
      </c>
      <c r="D7735" s="2" t="str">
        <f t="shared" si="126"/>
        <v>Error?</v>
      </c>
      <c r="E7735" s="2" t="s">
        <v>822</v>
      </c>
    </row>
    <row r="7736" spans="1:6" x14ac:dyDescent="0.2">
      <c r="A7736">
        <v>7675</v>
      </c>
      <c r="B7736" s="1820">
        <f>'Rest Tax Levies-Tort Im 25'!I25</f>
        <v>0</v>
      </c>
      <c r="D7736" s="2" t="str">
        <f t="shared" si="126"/>
        <v>Error?</v>
      </c>
      <c r="E7736" s="2" t="s">
        <v>822</v>
      </c>
    </row>
    <row r="7737" spans="1:6" x14ac:dyDescent="0.2">
      <c r="A7737">
        <v>7676</v>
      </c>
      <c r="B7737" s="1820">
        <f>'Rest Tax Levies-Tort Im 25'!J25</f>
        <v>0</v>
      </c>
      <c r="D7737" s="2" t="str">
        <f t="shared" si="126"/>
        <v>Error?</v>
      </c>
      <c r="E7737" s="2" t="s">
        <v>822</v>
      </c>
    </row>
    <row r="7738" spans="1:6" x14ac:dyDescent="0.2">
      <c r="A7738">
        <v>7677</v>
      </c>
      <c r="B7738" s="1820">
        <f>'Rest Tax Levies-Tort Im 25'!K25</f>
        <v>0</v>
      </c>
      <c r="D7738" s="2" t="str">
        <f t="shared" si="126"/>
        <v>Error?</v>
      </c>
      <c r="E7738" s="2" t="s">
        <v>822</v>
      </c>
    </row>
    <row r="7739" spans="1:6" x14ac:dyDescent="0.2">
      <c r="A7739">
        <v>7678</v>
      </c>
      <c r="B7739" s="1820">
        <f>'Rest Tax Levies-Tort Im 25'!G26</f>
        <v>0</v>
      </c>
      <c r="D7739" s="2" t="str">
        <f t="shared" si="126"/>
        <v>Error?</v>
      </c>
      <c r="E7739" s="2" t="s">
        <v>822</v>
      </c>
    </row>
    <row r="7740" spans="1:6" x14ac:dyDescent="0.2">
      <c r="A7740">
        <v>7679</v>
      </c>
      <c r="B7740" s="1820">
        <f>'Rest Tax Levies-Tort Im 25'!H26</f>
        <v>0</v>
      </c>
      <c r="D7740" s="2" t="str">
        <f t="shared" si="126"/>
        <v>Error?</v>
      </c>
      <c r="E7740" s="2" t="s">
        <v>822</v>
      </c>
    </row>
    <row r="7741" spans="1:6" x14ac:dyDescent="0.2">
      <c r="A7741">
        <v>7680</v>
      </c>
      <c r="B7741" s="1820">
        <f>'Rest Tax Levies-Tort Im 25'!I26</f>
        <v>0</v>
      </c>
      <c r="D7741" s="2" t="str">
        <f t="shared" si="126"/>
        <v>Error?</v>
      </c>
      <c r="E7741" s="2" t="s">
        <v>822</v>
      </c>
    </row>
    <row r="7742" spans="1:6" x14ac:dyDescent="0.2">
      <c r="A7742">
        <v>7681</v>
      </c>
      <c r="B7742" s="1820">
        <f>'Rest Tax Levies-Tort Im 25'!J26</f>
        <v>0</v>
      </c>
      <c r="D7742" s="2" t="str">
        <f t="shared" si="126"/>
        <v>Error?</v>
      </c>
      <c r="E7742" s="2" t="s">
        <v>822</v>
      </c>
    </row>
    <row r="7743" spans="1:6" x14ac:dyDescent="0.2">
      <c r="A7743">
        <v>7682</v>
      </c>
      <c r="B7743" s="1820">
        <f>'Rest Tax Levies-Tort Im 25'!K26</f>
        <v>0</v>
      </c>
      <c r="D7743" s="2" t="str">
        <f t="shared" ref="D7743:D7806" si="127">IF(ISBLANK(B7743),"OK",IF(A7743-B7743=0,"OK","Error?"))</f>
        <v>Error?</v>
      </c>
      <c r="E7743" s="2" t="s">
        <v>822</v>
      </c>
    </row>
    <row r="7744" spans="1:6" x14ac:dyDescent="0.2">
      <c r="A7744" s="125">
        <v>7683</v>
      </c>
      <c r="B7744" s="1820"/>
      <c r="D7744" s="2" t="str">
        <f t="shared" si="127"/>
        <v>OK</v>
      </c>
      <c r="E7744" s="4" t="s">
        <v>1323</v>
      </c>
      <c r="F7744" s="1"/>
    </row>
    <row r="7745" spans="1:6" x14ac:dyDescent="0.2">
      <c r="A7745">
        <v>7684</v>
      </c>
      <c r="B7745" s="1820">
        <f>'Expenditures 15-22'!H364</f>
        <v>0</v>
      </c>
      <c r="D7745" s="2" t="str">
        <f t="shared" si="127"/>
        <v>Error?</v>
      </c>
      <c r="E7745" s="2" t="s">
        <v>822</v>
      </c>
    </row>
    <row r="7746" spans="1:6" x14ac:dyDescent="0.2">
      <c r="A7746">
        <v>7685</v>
      </c>
      <c r="B7746" s="1820">
        <f>'Expenditures 15-22'!K364</f>
        <v>0</v>
      </c>
      <c r="D7746" s="2" t="str">
        <f t="shared" si="127"/>
        <v>Error?</v>
      </c>
      <c r="E7746" s="2" t="s">
        <v>822</v>
      </c>
    </row>
    <row r="7747" spans="1:6" x14ac:dyDescent="0.2">
      <c r="A7747">
        <v>7686</v>
      </c>
      <c r="B7747" s="1820">
        <f>'Revenues 9-14'!E266</f>
        <v>0</v>
      </c>
      <c r="D7747" s="2" t="str">
        <f t="shared" si="127"/>
        <v>Error?</v>
      </c>
      <c r="E7747" s="2" t="s">
        <v>822</v>
      </c>
      <c r="F7747" s="2" t="s">
        <v>823</v>
      </c>
    </row>
    <row r="7748" spans="1:6" x14ac:dyDescent="0.2">
      <c r="A7748">
        <v>7687</v>
      </c>
      <c r="B7748" s="1820">
        <f>'Acct Summary 7-8'!C25</f>
        <v>0</v>
      </c>
      <c r="D7748" s="2" t="str">
        <f t="shared" si="127"/>
        <v>Error?</v>
      </c>
      <c r="E7748" s="4" t="s">
        <v>1322</v>
      </c>
    </row>
    <row r="7749" spans="1:6" x14ac:dyDescent="0.2">
      <c r="A7749">
        <v>7688</v>
      </c>
      <c r="B7749" s="1820">
        <f>'Acct Summary 7-8'!D25</f>
        <v>0</v>
      </c>
      <c r="D7749" s="2" t="str">
        <f t="shared" si="127"/>
        <v>Error?</v>
      </c>
      <c r="E7749" s="4" t="s">
        <v>1322</v>
      </c>
    </row>
    <row r="7750" spans="1:6" x14ac:dyDescent="0.2">
      <c r="A7750">
        <v>7689</v>
      </c>
      <c r="B7750" s="1820">
        <f>'Acct Summary 7-8'!E25</f>
        <v>0</v>
      </c>
      <c r="D7750" s="2" t="str">
        <f t="shared" si="127"/>
        <v>Error?</v>
      </c>
      <c r="E7750" s="4" t="s">
        <v>1322</v>
      </c>
    </row>
    <row r="7751" spans="1:6" x14ac:dyDescent="0.2">
      <c r="A7751">
        <v>7690</v>
      </c>
      <c r="B7751" s="1820">
        <f>'Acct Summary 7-8'!F25</f>
        <v>0</v>
      </c>
      <c r="D7751" s="2" t="str">
        <f t="shared" si="127"/>
        <v>Error?</v>
      </c>
      <c r="E7751" s="4" t="s">
        <v>1322</v>
      </c>
    </row>
    <row r="7752" spans="1:6" x14ac:dyDescent="0.2">
      <c r="A7752">
        <v>7691</v>
      </c>
      <c r="B7752" s="1820">
        <f>'Acct Summary 7-8'!G25</f>
        <v>0</v>
      </c>
      <c r="D7752" s="2" t="str">
        <f t="shared" si="127"/>
        <v>Error?</v>
      </c>
      <c r="E7752" s="4" t="s">
        <v>1322</v>
      </c>
    </row>
    <row r="7753" spans="1:6" x14ac:dyDescent="0.2">
      <c r="A7753">
        <v>7692</v>
      </c>
      <c r="B7753" s="1820">
        <f>'Acct Summary 7-8'!H25</f>
        <v>0</v>
      </c>
      <c r="D7753" s="2" t="str">
        <f t="shared" si="127"/>
        <v>Error?</v>
      </c>
      <c r="E7753" s="4" t="s">
        <v>1322</v>
      </c>
    </row>
    <row r="7754" spans="1:6" x14ac:dyDescent="0.2">
      <c r="A7754">
        <v>7693</v>
      </c>
      <c r="B7754" s="1820">
        <f>'Acct Summary 7-8'!J25</f>
        <v>0</v>
      </c>
      <c r="D7754" s="2" t="str">
        <f t="shared" si="127"/>
        <v>Error?</v>
      </c>
      <c r="E7754" s="4" t="s">
        <v>1322</v>
      </c>
    </row>
    <row r="7755" spans="1:6" x14ac:dyDescent="0.2">
      <c r="A7755">
        <v>7694</v>
      </c>
      <c r="B7755" s="1820">
        <f>'Acct Summary 7-8'!K25</f>
        <v>35000</v>
      </c>
      <c r="D7755" s="2" t="str">
        <f t="shared" si="127"/>
        <v>Error?</v>
      </c>
      <c r="E7755" s="4" t="s">
        <v>1322</v>
      </c>
    </row>
    <row r="7756" spans="1:6" x14ac:dyDescent="0.2">
      <c r="A7756" s="125">
        <v>7695</v>
      </c>
      <c r="B7756" s="1820"/>
      <c r="D7756" s="2" t="str">
        <f t="shared" si="127"/>
        <v>OK</v>
      </c>
      <c r="E7756" s="4" t="s">
        <v>1322</v>
      </c>
      <c r="F7756" t="s">
        <v>1428</v>
      </c>
    </row>
    <row r="7757" spans="1:6" x14ac:dyDescent="0.2">
      <c r="A7757" s="125">
        <v>7696</v>
      </c>
      <c r="B7757" s="1820"/>
      <c r="D7757" s="2" t="str">
        <f t="shared" si="127"/>
        <v>OK</v>
      </c>
      <c r="E7757" s="4" t="s">
        <v>1322</v>
      </c>
      <c r="F7757" t="s">
        <v>1428</v>
      </c>
    </row>
    <row r="7758" spans="1:6" x14ac:dyDescent="0.2">
      <c r="A7758">
        <v>7697</v>
      </c>
      <c r="B7758" s="1820">
        <f>'Aud Quest 2'!J85</f>
        <v>0</v>
      </c>
      <c r="D7758" s="2" t="str">
        <f t="shared" si="127"/>
        <v>Error?</v>
      </c>
      <c r="E7758" s="4" t="s">
        <v>1322</v>
      </c>
    </row>
    <row r="7759" spans="1:6" x14ac:dyDescent="0.2">
      <c r="A7759">
        <v>7698</v>
      </c>
      <c r="B7759" s="1820">
        <f>'Aud Quest 2'!J88</f>
        <v>0</v>
      </c>
      <c r="D7759" s="2" t="str">
        <f t="shared" si="127"/>
        <v>Error?</v>
      </c>
      <c r="E7759" s="4" t="s">
        <v>1322</v>
      </c>
    </row>
    <row r="7760" spans="1:6" x14ac:dyDescent="0.2">
      <c r="A7760">
        <v>7699</v>
      </c>
      <c r="B7760" s="1820">
        <f>'Aud Quest 2'!J90</f>
        <v>0</v>
      </c>
      <c r="D7760" s="2" t="str">
        <f t="shared" si="127"/>
        <v>Error?</v>
      </c>
      <c r="E7760" s="4" t="s">
        <v>1322</v>
      </c>
    </row>
    <row r="7761" spans="1:5" x14ac:dyDescent="0.2">
      <c r="A7761">
        <v>7700</v>
      </c>
      <c r="B7761" s="1820">
        <f>'Revenues 9-14'!C253</f>
        <v>0</v>
      </c>
      <c r="D7761" s="2" t="str">
        <f t="shared" si="127"/>
        <v>Error?</v>
      </c>
      <c r="E7761" s="4" t="s">
        <v>1405</v>
      </c>
    </row>
    <row r="7762" spans="1:5" x14ac:dyDescent="0.2">
      <c r="A7762">
        <v>7701</v>
      </c>
      <c r="B7762" s="1820">
        <f>'Expenditures 15-22'!E6</f>
        <v>0</v>
      </c>
      <c r="D7762" s="2" t="str">
        <f t="shared" si="127"/>
        <v>Error?</v>
      </c>
      <c r="E7762" s="4" t="s">
        <v>1415</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1443</v>
      </c>
    </row>
    <row r="7765" spans="1:5" x14ac:dyDescent="0.2">
      <c r="A7765">
        <v>7704</v>
      </c>
      <c r="B7765" s="1820">
        <f>'Revenues 9-14'!C254</f>
        <v>0</v>
      </c>
      <c r="D7765" s="2" t="str">
        <f t="shared" si="127"/>
        <v>Error?</v>
      </c>
      <c r="E7765" s="4" t="s">
        <v>1447</v>
      </c>
    </row>
    <row r="7766" spans="1:5" x14ac:dyDescent="0.2">
      <c r="A7766">
        <v>7705</v>
      </c>
      <c r="B7766" s="1820">
        <f>'Revenues 9-14'!D254</f>
        <v>0</v>
      </c>
      <c r="D7766" s="2" t="str">
        <f t="shared" si="127"/>
        <v>Error?</v>
      </c>
      <c r="E7766" s="4" t="s">
        <v>1447</v>
      </c>
    </row>
    <row r="7767" spans="1:5" x14ac:dyDescent="0.2">
      <c r="A7767" s="125">
        <v>7706</v>
      </c>
      <c r="B7767" s="1820"/>
      <c r="D7767" s="4" t="s">
        <v>1994</v>
      </c>
      <c r="E7767" s="4"/>
    </row>
    <row r="7768" spans="1:5" x14ac:dyDescent="0.2">
      <c r="A7768">
        <v>7707</v>
      </c>
      <c r="B7768" s="1820">
        <f>'Revenues 9-14'!F254</f>
        <v>0</v>
      </c>
      <c r="D7768" s="2" t="str">
        <f t="shared" si="127"/>
        <v>Error?</v>
      </c>
      <c r="E7768" s="4" t="s">
        <v>1447</v>
      </c>
    </row>
    <row r="7769" spans="1:5" x14ac:dyDescent="0.2">
      <c r="A7769">
        <v>7708</v>
      </c>
      <c r="B7769" s="1820">
        <f>'Revenues 9-14'!G254</f>
        <v>0</v>
      </c>
      <c r="D7769" s="2" t="str">
        <f t="shared" si="127"/>
        <v>Error?</v>
      </c>
      <c r="E7769" s="4" t="s">
        <v>1447</v>
      </c>
    </row>
    <row r="7770" spans="1:5" x14ac:dyDescent="0.2">
      <c r="A7770" s="125">
        <v>7709</v>
      </c>
      <c r="B7770" s="1820"/>
      <c r="D7770" s="2" t="str">
        <f t="shared" si="127"/>
        <v>OK</v>
      </c>
      <c r="E7770" s="4"/>
    </row>
    <row r="7771" spans="1:5" x14ac:dyDescent="0.2">
      <c r="A7771" s="125">
        <v>7710</v>
      </c>
      <c r="B7771" s="1820"/>
      <c r="D7771" s="2" t="str">
        <f t="shared" si="127"/>
        <v>OK</v>
      </c>
      <c r="E7771" s="4"/>
    </row>
    <row r="7772" spans="1:5" x14ac:dyDescent="0.2">
      <c r="A7772" s="125">
        <v>7711</v>
      </c>
      <c r="B7772" s="1820"/>
      <c r="D7772" s="2" t="str">
        <f t="shared" si="127"/>
        <v>OK</v>
      </c>
      <c r="E7772" s="4" t="s">
        <v>1448</v>
      </c>
    </row>
    <row r="7773" spans="1:5" x14ac:dyDescent="0.2">
      <c r="A7773">
        <v>7712</v>
      </c>
      <c r="B7773" s="1820">
        <f>'Rest Tax Levies-Tort Im 25'!J22</f>
        <v>0</v>
      </c>
      <c r="D7773" s="2" t="str">
        <f t="shared" si="127"/>
        <v>Error?</v>
      </c>
      <c r="E7773" s="4" t="s">
        <v>1536</v>
      </c>
    </row>
    <row r="7774" spans="1:5" x14ac:dyDescent="0.2">
      <c r="A7774">
        <v>7713</v>
      </c>
      <c r="B7774" s="1820">
        <f>'Expenditures 15-22'!E133</f>
        <v>0</v>
      </c>
      <c r="D7774" s="2" t="str">
        <f t="shared" si="127"/>
        <v>Error?</v>
      </c>
      <c r="E7774" s="4" t="s">
        <v>1823</v>
      </c>
    </row>
    <row r="7775" spans="1:5" x14ac:dyDescent="0.2">
      <c r="A7775">
        <v>7714</v>
      </c>
      <c r="B7775" s="1820">
        <f>'Expenditures 15-22'!H133</f>
        <v>0</v>
      </c>
      <c r="D7775" s="2" t="str">
        <f t="shared" si="127"/>
        <v>Error?</v>
      </c>
      <c r="E7775" s="4" t="s">
        <v>1823</v>
      </c>
    </row>
    <row r="7776" spans="1:5" x14ac:dyDescent="0.2">
      <c r="A7776">
        <v>7715</v>
      </c>
      <c r="B7776" s="1820">
        <f>'Expenditures 15-22'!K133</f>
        <v>0</v>
      </c>
      <c r="D7776" s="2" t="str">
        <f t="shared" si="127"/>
        <v>Error?</v>
      </c>
      <c r="E7776" s="4" t="s">
        <v>1823</v>
      </c>
    </row>
    <row r="7777" spans="1:5" x14ac:dyDescent="0.2">
      <c r="A7777">
        <v>7716</v>
      </c>
      <c r="B7777" s="1820">
        <f>'Expenditures 15-22'!H157</f>
        <v>0</v>
      </c>
      <c r="D7777" s="2" t="str">
        <f t="shared" si="127"/>
        <v>Error?</v>
      </c>
      <c r="E7777" s="4" t="s">
        <v>1823</v>
      </c>
    </row>
    <row r="7778" spans="1:5" x14ac:dyDescent="0.2">
      <c r="A7778">
        <v>7717</v>
      </c>
      <c r="B7778" s="1820">
        <f>'Expenditures 15-22'!K157</f>
        <v>0</v>
      </c>
      <c r="D7778" s="2" t="str">
        <f t="shared" si="127"/>
        <v>Error?</v>
      </c>
      <c r="E7778" s="4" t="s">
        <v>1823</v>
      </c>
    </row>
    <row r="7779" spans="1:5" x14ac:dyDescent="0.2">
      <c r="A7779">
        <v>7718</v>
      </c>
      <c r="B7779" s="1820">
        <f>'Expenditures 15-22'!H158</f>
        <v>0</v>
      </c>
      <c r="D7779" s="2" t="str">
        <f t="shared" si="127"/>
        <v>Error?</v>
      </c>
      <c r="E7779" s="4" t="s">
        <v>1823</v>
      </c>
    </row>
    <row r="7780" spans="1:5" x14ac:dyDescent="0.2">
      <c r="A7780">
        <v>7719</v>
      </c>
      <c r="B7780" s="1820">
        <f>'Expenditures 15-22'!K158</f>
        <v>0</v>
      </c>
      <c r="D7780" s="2" t="str">
        <f t="shared" si="127"/>
        <v>Error?</v>
      </c>
      <c r="E7780" s="4" t="s">
        <v>1823</v>
      </c>
    </row>
    <row r="7781" spans="1:5" x14ac:dyDescent="0.2">
      <c r="A7781">
        <v>7720</v>
      </c>
      <c r="B7781" s="1820">
        <f>'Expenditures 15-22'!H159</f>
        <v>0</v>
      </c>
      <c r="D7781" s="2" t="str">
        <f t="shared" si="127"/>
        <v>Error?</v>
      </c>
      <c r="E7781" s="4" t="s">
        <v>1823</v>
      </c>
    </row>
    <row r="7782" spans="1:5" x14ac:dyDescent="0.2">
      <c r="A7782">
        <v>7721</v>
      </c>
      <c r="B7782" s="1820">
        <f>'Expenditures 15-22'!K159</f>
        <v>0</v>
      </c>
      <c r="D7782" s="2" t="str">
        <f t="shared" si="127"/>
        <v>Error?</v>
      </c>
      <c r="E7782" s="4" t="s">
        <v>1823</v>
      </c>
    </row>
    <row r="7783" spans="1:5" x14ac:dyDescent="0.2">
      <c r="A7783">
        <v>7722</v>
      </c>
      <c r="B7783" s="1820">
        <f>'Expenditures 15-22'!D282</f>
        <v>0</v>
      </c>
      <c r="D7783" s="2" t="str">
        <f t="shared" si="127"/>
        <v>Error?</v>
      </c>
      <c r="E7783" s="4" t="s">
        <v>1823</v>
      </c>
    </row>
    <row r="7784" spans="1:5" x14ac:dyDescent="0.2">
      <c r="A7784">
        <v>7723</v>
      </c>
      <c r="B7784" s="1820">
        <f>'Expenditures 15-22'!K282</f>
        <v>0</v>
      </c>
      <c r="D7784" s="2" t="str">
        <f t="shared" si="127"/>
        <v>Error?</v>
      </c>
      <c r="E7784" s="4" t="s">
        <v>1823</v>
      </c>
    </row>
    <row r="7785" spans="1:5" x14ac:dyDescent="0.2">
      <c r="A7785">
        <v>7724</v>
      </c>
      <c r="B7785" s="1820">
        <f>'Expenditures 15-22'!H332</f>
        <v>0</v>
      </c>
      <c r="D7785" s="2" t="str">
        <f t="shared" si="127"/>
        <v>Error?</v>
      </c>
      <c r="E7785" s="4" t="s">
        <v>1823</v>
      </c>
    </row>
    <row r="7786" spans="1:5" x14ac:dyDescent="0.2">
      <c r="A7786">
        <v>7725</v>
      </c>
      <c r="B7786" s="1820">
        <f>'Expenditures 15-22'!K332</f>
        <v>0</v>
      </c>
      <c r="D7786" s="2" t="str">
        <f t="shared" si="127"/>
        <v>Error?</v>
      </c>
      <c r="E7786" s="4" t="s">
        <v>1823</v>
      </c>
    </row>
    <row r="7787" spans="1:5" x14ac:dyDescent="0.2">
      <c r="A7787">
        <v>7726</v>
      </c>
      <c r="B7787" s="1820">
        <f>'Expenditures 15-22'!H333</f>
        <v>0</v>
      </c>
      <c r="D7787" s="2" t="str">
        <f t="shared" si="127"/>
        <v>Error?</v>
      </c>
      <c r="E7787" s="4" t="s">
        <v>1823</v>
      </c>
    </row>
    <row r="7788" spans="1:5" x14ac:dyDescent="0.2">
      <c r="A7788">
        <v>7727</v>
      </c>
      <c r="B7788" s="1820">
        <f>'Expenditures 15-22'!K333</f>
        <v>0</v>
      </c>
      <c r="D7788" s="2" t="str">
        <f t="shared" si="127"/>
        <v>Error?</v>
      </c>
      <c r="E7788" s="4" t="s">
        <v>1823</v>
      </c>
    </row>
    <row r="7789" spans="1:5" x14ac:dyDescent="0.2">
      <c r="A7789">
        <v>7728</v>
      </c>
      <c r="B7789" s="1820">
        <f>'Expenditures 15-22'!H334</f>
        <v>0</v>
      </c>
      <c r="D7789" s="2" t="str">
        <f t="shared" si="127"/>
        <v>Error?</v>
      </c>
      <c r="E7789" s="4" t="s">
        <v>1823</v>
      </c>
    </row>
    <row r="7790" spans="1:5" x14ac:dyDescent="0.2">
      <c r="A7790">
        <v>7729</v>
      </c>
      <c r="B7790" s="1820">
        <f>'Expenditures 15-22'!K334</f>
        <v>0</v>
      </c>
      <c r="D7790" s="2" t="str">
        <f t="shared" si="127"/>
        <v>Error?</v>
      </c>
      <c r="E7790" s="4" t="s">
        <v>1823</v>
      </c>
    </row>
    <row r="7791" spans="1:5" x14ac:dyDescent="0.2">
      <c r="A7791">
        <v>7730</v>
      </c>
      <c r="B7791" s="1820">
        <f>'Expenditures 15-22'!H354</f>
        <v>0</v>
      </c>
      <c r="D7791" s="2" t="str">
        <f t="shared" si="127"/>
        <v>Error?</v>
      </c>
      <c r="E7791" s="4" t="s">
        <v>1823</v>
      </c>
    </row>
    <row r="7792" spans="1:5" x14ac:dyDescent="0.2">
      <c r="A7792">
        <v>7731</v>
      </c>
      <c r="B7792" s="1820">
        <f>'Expenditures 15-22'!K354</f>
        <v>0</v>
      </c>
      <c r="D7792" s="2" t="str">
        <f t="shared" si="127"/>
        <v>Error?</v>
      </c>
      <c r="E7792" s="4" t="s">
        <v>1823</v>
      </c>
    </row>
    <row r="7793" spans="1:5" x14ac:dyDescent="0.2">
      <c r="A7793">
        <v>7732</v>
      </c>
      <c r="B7793" s="1820">
        <f>'Expenditures 15-22'!H355</f>
        <v>0</v>
      </c>
      <c r="D7793" s="2" t="str">
        <f t="shared" si="127"/>
        <v>Error?</v>
      </c>
      <c r="E7793" s="4" t="s">
        <v>1823</v>
      </c>
    </row>
    <row r="7794" spans="1:5" x14ac:dyDescent="0.2">
      <c r="A7794">
        <v>7733</v>
      </c>
      <c r="B7794" s="1820">
        <f>'Expenditures 15-22'!K355</f>
        <v>0</v>
      </c>
      <c r="D7794" s="2" t="str">
        <f t="shared" si="127"/>
        <v>Error?</v>
      </c>
      <c r="E7794" s="4" t="s">
        <v>1823</v>
      </c>
    </row>
    <row r="7795" spans="1:5" x14ac:dyDescent="0.2">
      <c r="A7795">
        <v>7734</v>
      </c>
      <c r="B7795" s="1820">
        <f>'Expenditures 15-22'!E138</f>
        <v>0</v>
      </c>
      <c r="D7795" s="2" t="str">
        <f t="shared" si="127"/>
        <v>Error?</v>
      </c>
      <c r="E7795" s="4" t="s">
        <v>1823</v>
      </c>
    </row>
    <row r="7796" spans="1:5" x14ac:dyDescent="0.2">
      <c r="A7796">
        <v>7735</v>
      </c>
      <c r="B7796" s="1820">
        <f>'Acct Summary 7-8'!J15</f>
        <v>0</v>
      </c>
      <c r="D7796" s="2" t="str">
        <f t="shared" si="127"/>
        <v>Error?</v>
      </c>
      <c r="E7796" s="4" t="s">
        <v>1823</v>
      </c>
    </row>
    <row r="7797" spans="1:5" x14ac:dyDescent="0.2">
      <c r="A7797" s="125">
        <v>7736</v>
      </c>
      <c r="B7797" s="1820"/>
      <c r="D7797" s="2" t="str">
        <f t="shared" si="127"/>
        <v>OK</v>
      </c>
      <c r="E7797" s="4" t="s">
        <v>1976</v>
      </c>
    </row>
    <row r="7798" spans="1:5" x14ac:dyDescent="0.2">
      <c r="A7798" s="125">
        <v>7737</v>
      </c>
      <c r="B7798" s="1820"/>
      <c r="D7798" s="2" t="str">
        <f t="shared" si="127"/>
        <v>OK</v>
      </c>
      <c r="E7798" s="4" t="s">
        <v>1976</v>
      </c>
    </row>
    <row r="7799" spans="1:5" x14ac:dyDescent="0.2">
      <c r="A7799" s="125">
        <v>7738</v>
      </c>
      <c r="B7799" s="1820"/>
      <c r="D7799" s="2" t="str">
        <f t="shared" si="127"/>
        <v>OK</v>
      </c>
      <c r="E7799" s="4" t="s">
        <v>1976</v>
      </c>
    </row>
    <row r="7800" spans="1:5" x14ac:dyDescent="0.2">
      <c r="A7800">
        <v>7739</v>
      </c>
      <c r="B7800" s="1820">
        <f>'Rest Tax Levies-Tort Im 25'!K23</f>
        <v>0</v>
      </c>
      <c r="D7800" s="2" t="str">
        <f t="shared" si="127"/>
        <v>Error?</v>
      </c>
      <c r="E7800" s="4" t="s">
        <v>1963</v>
      </c>
    </row>
    <row r="7801" spans="1:5" x14ac:dyDescent="0.2">
      <c r="A7801">
        <v>7740</v>
      </c>
      <c r="B7801" s="1820">
        <f>'Revenues 9-14'!C120</f>
        <v>0</v>
      </c>
      <c r="D7801" s="2" t="str">
        <f t="shared" si="127"/>
        <v>Error?</v>
      </c>
      <c r="E7801" s="4" t="s">
        <v>1897</v>
      </c>
    </row>
    <row r="7802" spans="1:5" x14ac:dyDescent="0.2">
      <c r="A7802">
        <v>7741</v>
      </c>
      <c r="B7802" s="1820">
        <f>'Revenues 9-14'!D120</f>
        <v>0</v>
      </c>
      <c r="D7802" s="2" t="str">
        <f t="shared" si="127"/>
        <v>Error?</v>
      </c>
      <c r="E7802" s="4" t="s">
        <v>1897</v>
      </c>
    </row>
    <row r="7803" spans="1:5" x14ac:dyDescent="0.2">
      <c r="A7803">
        <v>7742</v>
      </c>
      <c r="B7803" s="1820">
        <f>'Revenues 9-14'!E120</f>
        <v>0</v>
      </c>
      <c r="D7803" s="2" t="str">
        <f t="shared" si="127"/>
        <v>Error?</v>
      </c>
      <c r="E7803" s="4" t="s">
        <v>1897</v>
      </c>
    </row>
    <row r="7804" spans="1:5" x14ac:dyDescent="0.2">
      <c r="A7804">
        <v>7743</v>
      </c>
      <c r="B7804" s="1820">
        <f>'Revenues 9-14'!F120</f>
        <v>0</v>
      </c>
      <c r="D7804" s="2" t="str">
        <f t="shared" si="127"/>
        <v>Error?</v>
      </c>
      <c r="E7804" s="4" t="s">
        <v>1897</v>
      </c>
    </row>
    <row r="7805" spans="1:5" x14ac:dyDescent="0.2">
      <c r="A7805">
        <v>7744</v>
      </c>
      <c r="B7805" s="1820">
        <f>'Revenues 9-14'!G120</f>
        <v>0</v>
      </c>
      <c r="D7805" s="2" t="str">
        <f t="shared" si="127"/>
        <v>Error?</v>
      </c>
      <c r="E7805" s="4" t="s">
        <v>1897</v>
      </c>
    </row>
    <row r="7806" spans="1:5" x14ac:dyDescent="0.2">
      <c r="A7806">
        <v>7745</v>
      </c>
      <c r="B7806" s="1820">
        <f>'Revenues 9-14'!H120</f>
        <v>0</v>
      </c>
      <c r="D7806" s="2" t="str">
        <f t="shared" si="127"/>
        <v>Error?</v>
      </c>
      <c r="E7806" s="4" t="s">
        <v>1897</v>
      </c>
    </row>
    <row r="7807" spans="1:5" x14ac:dyDescent="0.2">
      <c r="A7807">
        <v>7746</v>
      </c>
      <c r="B7807" s="1820">
        <f>'Revenues 9-14'!J120</f>
        <v>0</v>
      </c>
      <c r="D7807" s="2" t="str">
        <f t="shared" ref="D7807:D7821" si="128">IF(ISBLANK(B7807),"OK",IF(A7807-B7807=0,"OK","Error?"))</f>
        <v>Error?</v>
      </c>
      <c r="E7807" s="4" t="s">
        <v>1897</v>
      </c>
    </row>
    <row r="7808" spans="1:5" x14ac:dyDescent="0.2">
      <c r="A7808">
        <v>7747</v>
      </c>
      <c r="B7808" s="1820">
        <f>'Revenues 9-14'!K120</f>
        <v>0</v>
      </c>
      <c r="D7808" s="2" t="str">
        <f t="shared" si="128"/>
        <v>Error?</v>
      </c>
      <c r="E7808" s="4" t="s">
        <v>1897</v>
      </c>
    </row>
    <row r="7809" spans="1:5" x14ac:dyDescent="0.2">
      <c r="A7809">
        <v>7748</v>
      </c>
      <c r="B7809" s="1820">
        <f>'Revenues 9-14'!C261</f>
        <v>0</v>
      </c>
      <c r="D7809" s="2" t="str">
        <f t="shared" si="128"/>
        <v>Error?</v>
      </c>
      <c r="E7809" s="4" t="s">
        <v>1898</v>
      </c>
    </row>
    <row r="7810" spans="1:5" x14ac:dyDescent="0.2">
      <c r="A7810">
        <v>7749</v>
      </c>
      <c r="B7810" s="1820">
        <f>'Revenues 9-14'!D261</f>
        <v>0</v>
      </c>
      <c r="D7810" s="2" t="str">
        <f t="shared" si="128"/>
        <v>Error?</v>
      </c>
      <c r="E7810" s="4" t="s">
        <v>1898</v>
      </c>
    </row>
    <row r="7811" spans="1:5" x14ac:dyDescent="0.2">
      <c r="A7811">
        <v>7750</v>
      </c>
      <c r="B7811" s="1820">
        <f>'Revenues 9-14'!F261</f>
        <v>0</v>
      </c>
      <c r="D7811" s="2" t="str">
        <f t="shared" si="128"/>
        <v>Error?</v>
      </c>
      <c r="E7811" s="4" t="s">
        <v>1898</v>
      </c>
    </row>
    <row r="7812" spans="1:5" x14ac:dyDescent="0.2">
      <c r="A7812">
        <v>7751</v>
      </c>
      <c r="B7812" s="1820">
        <f>'Revenues 9-14'!G261</f>
        <v>0</v>
      </c>
      <c r="D7812" s="2" t="str">
        <f t="shared" si="128"/>
        <v>Error?</v>
      </c>
      <c r="E7812" s="4" t="s">
        <v>1898</v>
      </c>
    </row>
    <row r="7813" spans="1:5" x14ac:dyDescent="0.2">
      <c r="A7813">
        <v>7752</v>
      </c>
      <c r="B7813" s="1820">
        <f>'Revenues 9-14'!C262</f>
        <v>0</v>
      </c>
      <c r="D7813" s="2" t="str">
        <f t="shared" si="128"/>
        <v>Error?</v>
      </c>
      <c r="E7813" s="4" t="s">
        <v>1899</v>
      </c>
    </row>
    <row r="7814" spans="1:5" x14ac:dyDescent="0.2">
      <c r="A7814">
        <v>7753</v>
      </c>
      <c r="B7814" s="1820">
        <f>'Revenues 9-14'!D262</f>
        <v>0</v>
      </c>
      <c r="D7814" s="2" t="str">
        <f t="shared" si="128"/>
        <v>Error?</v>
      </c>
      <c r="E7814" s="4" t="s">
        <v>1899</v>
      </c>
    </row>
    <row r="7815" spans="1:5" x14ac:dyDescent="0.2">
      <c r="A7815">
        <v>7754</v>
      </c>
      <c r="B7815" s="1820">
        <f>'Revenues 9-14'!F262</f>
        <v>0</v>
      </c>
      <c r="D7815" s="2" t="str">
        <f t="shared" si="128"/>
        <v>Error?</v>
      </c>
      <c r="E7815" s="4" t="s">
        <v>1899</v>
      </c>
    </row>
    <row r="7816" spans="1:5" x14ac:dyDescent="0.2">
      <c r="A7816">
        <v>7755</v>
      </c>
      <c r="B7816" s="1820">
        <f>'Revenues 9-14'!G262</f>
        <v>0</v>
      </c>
      <c r="D7816" s="2" t="str">
        <f t="shared" si="128"/>
        <v>Error?</v>
      </c>
      <c r="E7816" s="4" t="s">
        <v>1899</v>
      </c>
    </row>
    <row r="7817" spans="1:5" x14ac:dyDescent="0.2">
      <c r="A7817">
        <v>7756</v>
      </c>
      <c r="B7817" s="1820">
        <f>'Short-Term Long-Term Debt 24'!C49</f>
        <v>6054792</v>
      </c>
      <c r="D7817" s="2" t="str">
        <f t="shared" si="128"/>
        <v>Error?</v>
      </c>
      <c r="E7817" s="4" t="s">
        <v>1963</v>
      </c>
    </row>
    <row r="7818" spans="1:5" x14ac:dyDescent="0.2">
      <c r="A7818">
        <v>7757</v>
      </c>
      <c r="B7818" s="1820">
        <f>'PCTC-OEPP 27-28'!F172</f>
        <v>330594.76</v>
      </c>
      <c r="D7818" s="2" t="str">
        <f t="shared" si="128"/>
        <v>Error?</v>
      </c>
      <c r="E7818" s="4" t="s">
        <v>1977</v>
      </c>
    </row>
    <row r="7819" spans="1:5" x14ac:dyDescent="0.2">
      <c r="A7819">
        <v>7758</v>
      </c>
      <c r="B7819" s="1820">
        <f>'PCTC-OEPP 27-28'!F173</f>
        <v>0</v>
      </c>
      <c r="D7819" s="2" t="str">
        <f t="shared" si="128"/>
        <v>Error?</v>
      </c>
      <c r="E7819" s="4" t="s">
        <v>1977</v>
      </c>
    </row>
    <row r="7820" spans="1:5" x14ac:dyDescent="0.2">
      <c r="A7820">
        <v>7759</v>
      </c>
      <c r="B7820" s="1820">
        <f>'ICR Computation 30'!E40</f>
        <v>-1731739</v>
      </c>
      <c r="D7820" s="2" t="str">
        <f t="shared" si="128"/>
        <v>Error?</v>
      </c>
    </row>
    <row r="7821" spans="1:5" x14ac:dyDescent="0.2">
      <c r="A7821">
        <v>7760</v>
      </c>
      <c r="B7821" s="1820">
        <f>'ICR Computation 30'!G40</f>
        <v>-1731739</v>
      </c>
      <c r="D7821" s="2" t="str">
        <f t="shared" si="128"/>
        <v>Error?</v>
      </c>
    </row>
    <row r="7822" spans="1:5" x14ac:dyDescent="0.2">
      <c r="A7822" s="1">
        <v>7761</v>
      </c>
      <c r="B7822" s="1820">
        <f>'PCTC-OEPP 27-28'!F14</f>
        <v>15399680</v>
      </c>
      <c r="D7822" s="4" t="s">
        <v>1994</v>
      </c>
      <c r="E7822" s="4" t="s">
        <v>1995</v>
      </c>
    </row>
    <row r="7823" spans="1:5" x14ac:dyDescent="0.2">
      <c r="A7823" s="1">
        <v>7762</v>
      </c>
      <c r="B7823" s="1820">
        <f>'PCTC-OEPP 27-28'!F30</f>
        <v>0</v>
      </c>
      <c r="D7823" s="4" t="s">
        <v>1994</v>
      </c>
      <c r="E7823" s="4" t="s">
        <v>1995</v>
      </c>
    </row>
    <row r="7824" spans="1:5" x14ac:dyDescent="0.2">
      <c r="A7824" s="1">
        <v>7763</v>
      </c>
      <c r="B7824" s="1820">
        <f>'PCTC-OEPP 27-28'!F31</f>
        <v>0</v>
      </c>
      <c r="D7824" s="4" t="s">
        <v>1994</v>
      </c>
      <c r="E7824" s="4" t="s">
        <v>1995</v>
      </c>
    </row>
    <row r="7825" spans="1:5" x14ac:dyDescent="0.2">
      <c r="A7825" s="1">
        <v>7764</v>
      </c>
      <c r="B7825" s="1820">
        <f>'PCTC-OEPP 27-28'!F32</f>
        <v>0</v>
      </c>
      <c r="D7825" s="2" t="str">
        <f t="shared" ref="D7825:D7887" si="129">IF(ISBLANK(B7825),"OK",IF(A7825-B7825=0,"OK","Error?"))</f>
        <v>Error?</v>
      </c>
      <c r="E7825" s="4" t="s">
        <v>1995</v>
      </c>
    </row>
    <row r="7826" spans="1:5" x14ac:dyDescent="0.2">
      <c r="A7826">
        <v>7765</v>
      </c>
      <c r="B7826" s="1820">
        <f>'PCTC-OEPP 27-28'!F34</f>
        <v>0</v>
      </c>
      <c r="D7826" s="2" t="str">
        <f t="shared" si="129"/>
        <v>Error?</v>
      </c>
      <c r="E7826" s="4" t="s">
        <v>1995</v>
      </c>
    </row>
    <row r="7827" spans="1:5" x14ac:dyDescent="0.2">
      <c r="A7827">
        <v>7766</v>
      </c>
      <c r="B7827" s="1820">
        <f>'PCTC-OEPP 27-28'!F35</f>
        <v>0</v>
      </c>
      <c r="D7827" s="2" t="str">
        <f t="shared" si="129"/>
        <v>Error?</v>
      </c>
      <c r="E7827" s="4" t="s">
        <v>1995</v>
      </c>
    </row>
    <row r="7828" spans="1:5" x14ac:dyDescent="0.2">
      <c r="A7828">
        <v>7767</v>
      </c>
      <c r="B7828" s="1820">
        <f>'PCTC-OEPP 27-28'!F36</f>
        <v>0</v>
      </c>
      <c r="D7828" s="2" t="str">
        <f t="shared" si="129"/>
        <v>Error?</v>
      </c>
      <c r="E7828" s="4" t="s">
        <v>1995</v>
      </c>
    </row>
    <row r="7829" spans="1:5" x14ac:dyDescent="0.2">
      <c r="A7829">
        <v>7768</v>
      </c>
      <c r="B7829" s="1820">
        <f>'PCTC-OEPP 27-28'!F37</f>
        <v>0</v>
      </c>
      <c r="D7829" s="2" t="str">
        <f t="shared" si="129"/>
        <v>Error?</v>
      </c>
      <c r="E7829" s="4" t="s">
        <v>1995</v>
      </c>
    </row>
    <row r="7830" spans="1:5" x14ac:dyDescent="0.2">
      <c r="A7830">
        <v>7769</v>
      </c>
      <c r="B7830" s="1820">
        <f>'PCTC-OEPP 27-28'!F38</f>
        <v>0</v>
      </c>
      <c r="D7830" s="2" t="str">
        <f t="shared" si="129"/>
        <v>Error?</v>
      </c>
      <c r="E7830" s="4" t="s">
        <v>1995</v>
      </c>
    </row>
    <row r="7831" spans="1:5" x14ac:dyDescent="0.2">
      <c r="A7831">
        <v>7770</v>
      </c>
      <c r="B7831" s="1820">
        <f>'PCTC-OEPP 27-28'!F52</f>
        <v>2345</v>
      </c>
      <c r="D7831" s="2" t="str">
        <f t="shared" si="129"/>
        <v>Error?</v>
      </c>
      <c r="E7831" s="4" t="s">
        <v>1995</v>
      </c>
    </row>
    <row r="7832" spans="1:5" x14ac:dyDescent="0.2">
      <c r="A7832">
        <v>7771</v>
      </c>
      <c r="B7832" s="1820">
        <f>'PCTC-OEPP 27-28'!F56</f>
        <v>0</v>
      </c>
      <c r="D7832" s="2" t="str">
        <f t="shared" si="129"/>
        <v>Error?</v>
      </c>
      <c r="E7832" s="4" t="s">
        <v>1995</v>
      </c>
    </row>
    <row r="7833" spans="1:5" x14ac:dyDescent="0.2">
      <c r="A7833">
        <v>7772</v>
      </c>
      <c r="B7833" s="1820">
        <f>'PCTC-OEPP 27-28'!F62</f>
        <v>0</v>
      </c>
      <c r="D7833" s="2" t="str">
        <f t="shared" si="129"/>
        <v>Error?</v>
      </c>
      <c r="E7833" s="4" t="s">
        <v>1995</v>
      </c>
    </row>
    <row r="7834" spans="1:5" x14ac:dyDescent="0.2">
      <c r="A7834">
        <v>7773</v>
      </c>
      <c r="B7834" s="1820">
        <f>'PCTC-OEPP 27-28'!F77</f>
        <v>2360403</v>
      </c>
      <c r="D7834" s="2" t="str">
        <f t="shared" si="129"/>
        <v>Error?</v>
      </c>
      <c r="E7834" s="4" t="s">
        <v>1995</v>
      </c>
    </row>
    <row r="7835" spans="1:5" x14ac:dyDescent="0.2">
      <c r="A7835">
        <v>7774</v>
      </c>
      <c r="B7835" s="1820">
        <f>'PCTC-OEPP 27-28'!F78</f>
        <v>13039277</v>
      </c>
      <c r="D7835" s="2" t="str">
        <f t="shared" si="129"/>
        <v>Error?</v>
      </c>
      <c r="E7835" s="4" t="s">
        <v>1995</v>
      </c>
    </row>
    <row r="7836" spans="1:5" x14ac:dyDescent="0.2">
      <c r="A7836" s="125">
        <v>7775</v>
      </c>
      <c r="B7836" s="1820"/>
      <c r="D7836" s="2" t="str">
        <f t="shared" si="129"/>
        <v>OK</v>
      </c>
      <c r="E7836" s="4" t="s">
        <v>1997</v>
      </c>
    </row>
    <row r="7837" spans="1:5" x14ac:dyDescent="0.2">
      <c r="A7837">
        <v>7776</v>
      </c>
      <c r="B7837" s="1820">
        <f>'PCTC-OEPP 27-28'!F80</f>
        <v>15653.393757503001</v>
      </c>
      <c r="D7837" s="2" t="str">
        <f t="shared" si="129"/>
        <v>Error?</v>
      </c>
      <c r="E7837" s="4" t="s">
        <v>1995</v>
      </c>
    </row>
    <row r="7838" spans="1:5" x14ac:dyDescent="0.2">
      <c r="A7838">
        <v>7777</v>
      </c>
      <c r="B7838" s="1820">
        <f>'PCTC-OEPP 27-28'!F96</f>
        <v>0</v>
      </c>
      <c r="D7838" s="2" t="str">
        <f t="shared" si="129"/>
        <v>Error?</v>
      </c>
      <c r="E7838" s="4" t="s">
        <v>1995</v>
      </c>
    </row>
    <row r="7839" spans="1:5" x14ac:dyDescent="0.2">
      <c r="A7839">
        <v>7778</v>
      </c>
      <c r="B7839" s="1820">
        <f>'PCTC-OEPP 27-28'!F102</f>
        <v>276116</v>
      </c>
      <c r="D7839" s="2" t="str">
        <f t="shared" si="129"/>
        <v>Error?</v>
      </c>
      <c r="E7839" s="4" t="s">
        <v>1995</v>
      </c>
    </row>
    <row r="7840" spans="1:5" x14ac:dyDescent="0.2">
      <c r="A7840">
        <v>7779</v>
      </c>
      <c r="B7840" s="1820">
        <f>'PCTC-OEPP 27-28'!F103</f>
        <v>0</v>
      </c>
      <c r="D7840" s="2" t="str">
        <f t="shared" si="129"/>
        <v>Error?</v>
      </c>
      <c r="E7840" s="4" t="s">
        <v>1995</v>
      </c>
    </row>
    <row r="7841" spans="1:5" x14ac:dyDescent="0.2">
      <c r="A7841">
        <v>7780</v>
      </c>
      <c r="B7841" s="1820">
        <f>'PCTC-OEPP 27-28'!F104</f>
        <v>0</v>
      </c>
      <c r="D7841" s="2" t="str">
        <f t="shared" si="129"/>
        <v>Error?</v>
      </c>
      <c r="E7841" s="4" t="s">
        <v>1995</v>
      </c>
    </row>
    <row r="7842" spans="1:5" x14ac:dyDescent="0.2">
      <c r="A7842">
        <v>7781</v>
      </c>
      <c r="B7842" s="1820">
        <f>'PCTC-OEPP 27-28'!F106</f>
        <v>2870</v>
      </c>
      <c r="D7842" s="2" t="str">
        <f t="shared" si="129"/>
        <v>Error?</v>
      </c>
      <c r="E7842" s="4" t="s">
        <v>1995</v>
      </c>
    </row>
    <row r="7843" spans="1:5" x14ac:dyDescent="0.2">
      <c r="A7843">
        <v>7782</v>
      </c>
      <c r="B7843" s="1820">
        <f>'PCTC-OEPP 27-28'!F107</f>
        <v>0</v>
      </c>
      <c r="D7843" s="2" t="str">
        <f t="shared" si="129"/>
        <v>Error?</v>
      </c>
      <c r="E7843" s="4" t="s">
        <v>1995</v>
      </c>
    </row>
    <row r="7844" spans="1:5" x14ac:dyDescent="0.2">
      <c r="A7844">
        <v>7783</v>
      </c>
      <c r="B7844" s="1820">
        <f>'PCTC-OEPP 27-28'!F108</f>
        <v>0</v>
      </c>
      <c r="D7844" s="2" t="str">
        <f t="shared" si="129"/>
        <v>Error?</v>
      </c>
      <c r="E7844" s="4" t="s">
        <v>1995</v>
      </c>
    </row>
    <row r="7845" spans="1:5" x14ac:dyDescent="0.2">
      <c r="A7845">
        <v>7784</v>
      </c>
      <c r="B7845" s="1820">
        <f>'PCTC-OEPP 27-28'!F110</f>
        <v>0</v>
      </c>
      <c r="D7845" s="2" t="str">
        <f t="shared" si="129"/>
        <v>Error?</v>
      </c>
      <c r="E7845" s="4" t="s">
        <v>1995</v>
      </c>
    </row>
    <row r="7846" spans="1:5" x14ac:dyDescent="0.2">
      <c r="A7846">
        <v>7785</v>
      </c>
      <c r="B7846" s="1820">
        <f>'PCTC-OEPP 27-28'!F111</f>
        <v>0</v>
      </c>
      <c r="D7846" s="2" t="str">
        <f t="shared" si="129"/>
        <v>Error?</v>
      </c>
      <c r="E7846" s="4" t="s">
        <v>1995</v>
      </c>
    </row>
    <row r="7847" spans="1:5" x14ac:dyDescent="0.2">
      <c r="A7847">
        <v>7786</v>
      </c>
      <c r="B7847" s="1820">
        <f>'PCTC-OEPP 27-28'!F112</f>
        <v>775958</v>
      </c>
      <c r="D7847" s="2" t="str">
        <f t="shared" si="129"/>
        <v>Error?</v>
      </c>
      <c r="E7847" s="4" t="s">
        <v>1995</v>
      </c>
    </row>
    <row r="7848" spans="1:5" x14ac:dyDescent="0.2">
      <c r="A7848">
        <v>7787</v>
      </c>
      <c r="B7848" s="1820">
        <f>'PCTC-OEPP 27-28'!F114</f>
        <v>0</v>
      </c>
      <c r="D7848" s="2" t="str">
        <f t="shared" si="129"/>
        <v>Error?</v>
      </c>
      <c r="E7848" s="4" t="s">
        <v>1995</v>
      </c>
    </row>
    <row r="7849" spans="1:5" x14ac:dyDescent="0.2">
      <c r="A7849">
        <v>7788</v>
      </c>
      <c r="B7849" s="1820">
        <f>'PCTC-OEPP 27-28'!F115</f>
        <v>0</v>
      </c>
      <c r="D7849" s="2" t="str">
        <f t="shared" si="129"/>
        <v>Error?</v>
      </c>
      <c r="E7849" s="4" t="s">
        <v>1995</v>
      </c>
    </row>
    <row r="7850" spans="1:5" x14ac:dyDescent="0.2">
      <c r="A7850">
        <v>7789</v>
      </c>
      <c r="B7850" s="1820">
        <f>'PCTC-OEPP 27-28'!F116</f>
        <v>0</v>
      </c>
      <c r="D7850" s="2" t="str">
        <f t="shared" si="129"/>
        <v>Error?</v>
      </c>
      <c r="E7850" s="4" t="s">
        <v>1995</v>
      </c>
    </row>
    <row r="7851" spans="1:5" x14ac:dyDescent="0.2">
      <c r="A7851">
        <v>7790</v>
      </c>
      <c r="B7851" s="1820">
        <f>'PCTC-OEPP 27-28'!F117</f>
        <v>0</v>
      </c>
      <c r="D7851" s="2" t="str">
        <f t="shared" si="129"/>
        <v>Error?</v>
      </c>
      <c r="E7851" s="4" t="s">
        <v>1995</v>
      </c>
    </row>
    <row r="7852" spans="1:5" x14ac:dyDescent="0.2">
      <c r="A7852">
        <v>7791</v>
      </c>
      <c r="B7852" s="1820">
        <f>'PCTC-OEPP 27-28'!F118</f>
        <v>0</v>
      </c>
      <c r="D7852" s="2" t="str">
        <f t="shared" si="129"/>
        <v>Error?</v>
      </c>
      <c r="E7852" s="4" t="s">
        <v>1995</v>
      </c>
    </row>
    <row r="7853" spans="1:5" x14ac:dyDescent="0.2">
      <c r="A7853">
        <v>7792</v>
      </c>
      <c r="B7853" s="1820">
        <f>'PCTC-OEPP 27-28'!F119</f>
        <v>0</v>
      </c>
      <c r="D7853" s="2" t="str">
        <f t="shared" si="129"/>
        <v>Error?</v>
      </c>
      <c r="E7853" s="4" t="s">
        <v>1995</v>
      </c>
    </row>
    <row r="7854" spans="1:5" x14ac:dyDescent="0.2">
      <c r="A7854">
        <v>7793</v>
      </c>
      <c r="B7854" s="1820">
        <f>'PCTC-OEPP 27-28'!F120</f>
        <v>0</v>
      </c>
      <c r="D7854" s="2" t="str">
        <f t="shared" si="129"/>
        <v>Error?</v>
      </c>
      <c r="E7854" s="4" t="s">
        <v>1995</v>
      </c>
    </row>
    <row r="7855" spans="1:5" x14ac:dyDescent="0.2">
      <c r="A7855">
        <v>7794</v>
      </c>
      <c r="B7855" s="1820">
        <f>'PCTC-OEPP 27-28'!F122</f>
        <v>37295</v>
      </c>
      <c r="D7855" s="2" t="str">
        <f t="shared" si="129"/>
        <v>Error?</v>
      </c>
      <c r="E7855" s="4" t="s">
        <v>1995</v>
      </c>
    </row>
    <row r="7856" spans="1:5" x14ac:dyDescent="0.2">
      <c r="A7856">
        <v>7795</v>
      </c>
      <c r="B7856" s="1820">
        <f>'PCTC-OEPP 27-28'!F124</f>
        <v>0</v>
      </c>
      <c r="D7856" s="2" t="str">
        <f t="shared" si="129"/>
        <v>Error?</v>
      </c>
      <c r="E7856" s="4" t="s">
        <v>1995</v>
      </c>
    </row>
    <row r="7857" spans="1:5" x14ac:dyDescent="0.2">
      <c r="A7857">
        <v>7796</v>
      </c>
      <c r="B7857" s="1820">
        <f>'PCTC-OEPP 27-28'!F125</f>
        <v>0</v>
      </c>
      <c r="D7857" s="2" t="str">
        <f t="shared" si="129"/>
        <v>Error?</v>
      </c>
      <c r="E7857" s="4" t="s">
        <v>1995</v>
      </c>
    </row>
    <row r="7858" spans="1:5" x14ac:dyDescent="0.2">
      <c r="A7858">
        <v>7797</v>
      </c>
      <c r="B7858" s="1820">
        <f>'PCTC-OEPP 27-28'!F126</f>
        <v>667928</v>
      </c>
      <c r="D7858" s="2" t="str">
        <f t="shared" si="129"/>
        <v>Error?</v>
      </c>
      <c r="E7858" s="4" t="s">
        <v>1995</v>
      </c>
    </row>
    <row r="7859" spans="1:5" x14ac:dyDescent="0.2">
      <c r="A7859">
        <v>7798</v>
      </c>
      <c r="B7859" s="1820">
        <f>'PCTC-OEPP 27-28'!F127</f>
        <v>314805</v>
      </c>
      <c r="D7859" s="2" t="str">
        <f t="shared" si="129"/>
        <v>Error?</v>
      </c>
      <c r="E7859" s="4" t="s">
        <v>1995</v>
      </c>
    </row>
    <row r="7860" spans="1:5" x14ac:dyDescent="0.2">
      <c r="A7860">
        <v>7799</v>
      </c>
      <c r="B7860" s="1820">
        <f>'PCTC-OEPP 27-28'!F128</f>
        <v>879</v>
      </c>
      <c r="D7860" s="2" t="str">
        <f t="shared" si="129"/>
        <v>Error?</v>
      </c>
      <c r="E7860" s="4" t="s">
        <v>1995</v>
      </c>
    </row>
    <row r="7861" spans="1:5" x14ac:dyDescent="0.2">
      <c r="A7861">
        <v>7800</v>
      </c>
      <c r="B7861" s="1820">
        <f>'PCTC-OEPP 27-28'!F129</f>
        <v>323216</v>
      </c>
      <c r="D7861" s="2" t="str">
        <f t="shared" si="129"/>
        <v>Error?</v>
      </c>
      <c r="E7861" s="4" t="s">
        <v>1995</v>
      </c>
    </row>
    <row r="7862" spans="1:5" x14ac:dyDescent="0.2">
      <c r="A7862">
        <v>7801</v>
      </c>
      <c r="B7862" s="1820">
        <f>'PCTC-OEPP 27-28'!F130</f>
        <v>0</v>
      </c>
      <c r="D7862" s="2" t="str">
        <f t="shared" si="129"/>
        <v>Error?</v>
      </c>
      <c r="E7862" s="4" t="s">
        <v>1995</v>
      </c>
    </row>
    <row r="7863" spans="1:5" x14ac:dyDescent="0.2">
      <c r="A7863">
        <v>7802</v>
      </c>
      <c r="B7863" s="1820">
        <f>'PCTC-OEPP 27-28'!F131</f>
        <v>0</v>
      </c>
      <c r="D7863" s="2" t="str">
        <f t="shared" si="129"/>
        <v>Error?</v>
      </c>
      <c r="E7863" s="4" t="s">
        <v>1995</v>
      </c>
    </row>
    <row r="7864" spans="1:5" x14ac:dyDescent="0.2">
      <c r="A7864">
        <v>7803</v>
      </c>
      <c r="B7864" s="1820">
        <f>'PCTC-OEPP 27-28'!F132</f>
        <v>0</v>
      </c>
      <c r="D7864" s="2" t="str">
        <f t="shared" si="129"/>
        <v>Error?</v>
      </c>
      <c r="E7864" s="4" t="s">
        <v>1995</v>
      </c>
    </row>
    <row r="7865" spans="1:5" x14ac:dyDescent="0.2">
      <c r="A7865">
        <v>7804</v>
      </c>
      <c r="B7865" s="1820">
        <f>'PCTC-OEPP 27-28'!F133</f>
        <v>0</v>
      </c>
      <c r="D7865" s="2" t="str">
        <f t="shared" si="129"/>
        <v>Error?</v>
      </c>
      <c r="E7865" s="4" t="s">
        <v>1995</v>
      </c>
    </row>
    <row r="7866" spans="1:5" x14ac:dyDescent="0.2">
      <c r="A7866">
        <v>7805</v>
      </c>
      <c r="B7866" s="1820">
        <f>'PCTC-OEPP 27-28'!F158</f>
        <v>0</v>
      </c>
      <c r="D7866" s="2" t="str">
        <f t="shared" si="129"/>
        <v>Error?</v>
      </c>
      <c r="E7866" s="4" t="s">
        <v>1995</v>
      </c>
    </row>
    <row r="7867" spans="1:5" x14ac:dyDescent="0.2">
      <c r="A7867">
        <v>7806</v>
      </c>
      <c r="B7867" s="1820">
        <f>'PCTC-OEPP 27-28'!F160</f>
        <v>0</v>
      </c>
      <c r="D7867" s="2" t="str">
        <f t="shared" si="129"/>
        <v>Error?</v>
      </c>
      <c r="E7867" s="4" t="s">
        <v>1995</v>
      </c>
    </row>
    <row r="7868" spans="1:5" x14ac:dyDescent="0.2">
      <c r="A7868">
        <v>7807</v>
      </c>
      <c r="B7868" s="1820">
        <f>'PCTC-OEPP 27-28'!F161</f>
        <v>0</v>
      </c>
      <c r="D7868" s="2" t="str">
        <f t="shared" si="129"/>
        <v>Error?</v>
      </c>
      <c r="E7868" s="4" t="s">
        <v>1995</v>
      </c>
    </row>
    <row r="7869" spans="1:5" x14ac:dyDescent="0.2">
      <c r="A7869">
        <v>7808</v>
      </c>
      <c r="B7869" s="1820">
        <f>'PCTC-OEPP 27-28'!F162</f>
        <v>0</v>
      </c>
      <c r="D7869" s="2" t="str">
        <f t="shared" si="129"/>
        <v>Error?</v>
      </c>
      <c r="E7869" s="4" t="s">
        <v>1995</v>
      </c>
    </row>
    <row r="7870" spans="1:5" x14ac:dyDescent="0.2">
      <c r="A7870">
        <v>7809</v>
      </c>
      <c r="B7870" s="1820">
        <f>'PCTC-OEPP 27-28'!F163</f>
        <v>0</v>
      </c>
      <c r="D7870" s="2" t="str">
        <f t="shared" si="129"/>
        <v>Error?</v>
      </c>
      <c r="E7870" s="4" t="s">
        <v>1995</v>
      </c>
    </row>
    <row r="7871" spans="1:5" x14ac:dyDescent="0.2">
      <c r="A7871">
        <v>7810</v>
      </c>
      <c r="B7871" s="1820">
        <f>'PCTC-OEPP 27-28'!F164</f>
        <v>0</v>
      </c>
      <c r="D7871" s="2" t="str">
        <f t="shared" si="129"/>
        <v>Error?</v>
      </c>
      <c r="E7871" s="4" t="s">
        <v>1995</v>
      </c>
    </row>
    <row r="7872" spans="1:5" x14ac:dyDescent="0.2">
      <c r="A7872">
        <v>7811</v>
      </c>
      <c r="B7872" s="1820">
        <f>'PCTC-OEPP 27-28'!F165</f>
        <v>63207</v>
      </c>
      <c r="D7872" s="2" t="str">
        <f t="shared" si="129"/>
        <v>Error?</v>
      </c>
      <c r="E7872" s="4" t="s">
        <v>1995</v>
      </c>
    </row>
    <row r="7873" spans="1:5" x14ac:dyDescent="0.2">
      <c r="A7873">
        <v>7812</v>
      </c>
      <c r="B7873" s="1820">
        <f>'PCTC-OEPP 27-28'!F166</f>
        <v>0</v>
      </c>
      <c r="D7873" s="2" t="str">
        <f t="shared" si="129"/>
        <v>Error?</v>
      </c>
      <c r="E7873" s="4" t="s">
        <v>1995</v>
      </c>
    </row>
    <row r="7874" spans="1:5" x14ac:dyDescent="0.2">
      <c r="A7874">
        <v>7813</v>
      </c>
      <c r="B7874" s="1820">
        <f>'PCTC-OEPP 27-28'!F169</f>
        <v>28085</v>
      </c>
      <c r="D7874" s="2" t="str">
        <f t="shared" si="129"/>
        <v>Error?</v>
      </c>
      <c r="E7874" s="4" t="s">
        <v>1995</v>
      </c>
    </row>
    <row r="7875" spans="1:5" x14ac:dyDescent="0.2">
      <c r="A7875">
        <v>7814</v>
      </c>
      <c r="B7875" s="1820">
        <f>'PCTC-OEPP 27-28'!F170</f>
        <v>36446</v>
      </c>
      <c r="D7875" s="2" t="str">
        <f t="shared" si="129"/>
        <v>Error?</v>
      </c>
      <c r="E7875" s="4" t="s">
        <v>1995</v>
      </c>
    </row>
    <row r="7876" spans="1:5" x14ac:dyDescent="0.2">
      <c r="A7876">
        <v>7815</v>
      </c>
      <c r="B7876" s="1820">
        <f>'PCTC-OEPP 27-28'!F171</f>
        <v>0</v>
      </c>
      <c r="D7876" s="2" t="str">
        <f t="shared" si="129"/>
        <v>Error?</v>
      </c>
      <c r="E7876" s="4" t="s">
        <v>1995</v>
      </c>
    </row>
    <row r="7877" spans="1:5" x14ac:dyDescent="0.2">
      <c r="A7877">
        <v>7816</v>
      </c>
      <c r="B7877" s="1820">
        <f>'PCTC-OEPP 27-28'!F175</f>
        <v>2867768.76</v>
      </c>
      <c r="D7877" s="2" t="str">
        <f t="shared" si="129"/>
        <v>Error?</v>
      </c>
      <c r="E7877" s="4" t="s">
        <v>1995</v>
      </c>
    </row>
    <row r="7878" spans="1:5" x14ac:dyDescent="0.2">
      <c r="A7878">
        <v>7817</v>
      </c>
      <c r="B7878" s="1820">
        <f>'PCTC-OEPP 27-28'!F176</f>
        <v>10171508.24</v>
      </c>
      <c r="D7878" s="2" t="str">
        <f t="shared" si="129"/>
        <v>Error?</v>
      </c>
      <c r="E7878" s="4" t="s">
        <v>1995</v>
      </c>
    </row>
    <row r="7879" spans="1:5" x14ac:dyDescent="0.2">
      <c r="A7879">
        <v>7818</v>
      </c>
      <c r="B7879" s="1820">
        <f>'PCTC-OEPP 27-28'!F178</f>
        <v>11221936.24</v>
      </c>
      <c r="D7879" s="2" t="str">
        <f t="shared" si="129"/>
        <v>Error?</v>
      </c>
      <c r="E7879" s="4" t="s">
        <v>1995</v>
      </c>
    </row>
    <row r="7880" spans="1:5" x14ac:dyDescent="0.2">
      <c r="A7880">
        <v>7819</v>
      </c>
      <c r="B7880" s="1820">
        <f>'PCTC-OEPP 27-28'!F180</f>
        <v>13471.712172869147</v>
      </c>
      <c r="D7880" s="2" t="str">
        <f t="shared" si="129"/>
        <v>Error?</v>
      </c>
      <c r="E7880" s="4" t="s">
        <v>1995</v>
      </c>
    </row>
    <row r="7881" spans="1:5" x14ac:dyDescent="0.2">
      <c r="A7881">
        <v>7820</v>
      </c>
      <c r="B7881" s="134">
        <f>'PCTC-OEPP 27-28'!F29</f>
        <v>0</v>
      </c>
      <c r="D7881" s="2" t="str">
        <f t="shared" si="129"/>
        <v>Error?</v>
      </c>
      <c r="E7881" s="4" t="s">
        <v>1995</v>
      </c>
    </row>
    <row r="7882" spans="1:5" x14ac:dyDescent="0.2">
      <c r="A7882">
        <v>7821</v>
      </c>
      <c r="B7882" s="134">
        <f>'Revenues 9-14'!H117</f>
        <v>0</v>
      </c>
      <c r="D7882" s="2" t="str">
        <f t="shared" si="129"/>
        <v>Error?</v>
      </c>
      <c r="E7882" s="4" t="s">
        <v>1996</v>
      </c>
    </row>
    <row r="7883" spans="1:5" x14ac:dyDescent="0.2">
      <c r="A7883">
        <v>7822</v>
      </c>
      <c r="B7883" s="134">
        <f>'Revenues 9-14'!H118</f>
        <v>0</v>
      </c>
      <c r="D7883" s="2" t="str">
        <f t="shared" si="129"/>
        <v>Error?</v>
      </c>
      <c r="E7883" s="4" t="s">
        <v>1996</v>
      </c>
    </row>
    <row r="7884" spans="1:5" x14ac:dyDescent="0.2">
      <c r="A7884">
        <v>7823</v>
      </c>
      <c r="B7884" s="134">
        <f>'Revenues 9-14'!H119</f>
        <v>0</v>
      </c>
      <c r="D7884" s="2" t="str">
        <f t="shared" si="129"/>
        <v>Error?</v>
      </c>
      <c r="E7884" s="4" t="s">
        <v>1996</v>
      </c>
    </row>
    <row r="7885" spans="1:5" x14ac:dyDescent="0.2">
      <c r="A7885">
        <v>7824</v>
      </c>
      <c r="B7885" s="134">
        <f>'Revenues 9-14'!H121</f>
        <v>0</v>
      </c>
      <c r="D7885" s="2" t="str">
        <f t="shared" si="129"/>
        <v>Error?</v>
      </c>
      <c r="E7885" s="4" t="s">
        <v>1996</v>
      </c>
    </row>
    <row r="7886" spans="1:5" x14ac:dyDescent="0.2">
      <c r="A7886">
        <v>7825</v>
      </c>
      <c r="B7886" s="134">
        <f>'PCTC-OEPP 27-28'!F75</f>
        <v>0</v>
      </c>
      <c r="D7886" s="2" t="str">
        <f t="shared" si="129"/>
        <v>Error?</v>
      </c>
      <c r="E7886" s="4" t="s">
        <v>1995</v>
      </c>
    </row>
    <row r="7887" spans="1:5" x14ac:dyDescent="0.2">
      <c r="A7887">
        <v>7826</v>
      </c>
      <c r="B7887" s="134">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Q10" sqref="Q10"/>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61" t="s">
        <v>1181</v>
      </c>
      <c r="B2" s="2561"/>
      <c r="C2" s="2561"/>
      <c r="D2" s="2561"/>
      <c r="E2" s="2561"/>
      <c r="F2" s="2561"/>
      <c r="G2" s="2561"/>
      <c r="H2" s="2561"/>
      <c r="I2" s="2561"/>
      <c r="J2" s="2561"/>
      <c r="K2" s="2561"/>
      <c r="L2" s="2561"/>
    </row>
    <row r="3" spans="1:29" ht="13.5" customHeight="1" x14ac:dyDescent="0.2">
      <c r="A3" s="2590" t="s">
        <v>1180</v>
      </c>
      <c r="B3" s="2590"/>
      <c r="C3" s="2590"/>
      <c r="D3" s="2590"/>
      <c r="E3" s="2590"/>
      <c r="F3" s="2590"/>
      <c r="G3" s="2590"/>
      <c r="H3" s="2590"/>
      <c r="I3" s="2590"/>
      <c r="J3" s="2590"/>
      <c r="K3" s="2590"/>
      <c r="L3" s="2590"/>
    </row>
    <row r="4" spans="1:29" ht="13.5" customHeight="1" x14ac:dyDescent="0.2">
      <c r="A4" s="2582" t="str">
        <f>"Year Ending June 30, "&amp;'AFR20'!E2</f>
        <v>Year Ending June 30, 2020</v>
      </c>
      <c r="B4" s="2583"/>
      <c r="C4" s="2583"/>
      <c r="D4" s="2583"/>
      <c r="E4" s="2583"/>
      <c r="F4" s="2583"/>
      <c r="G4" s="2583"/>
      <c r="H4" s="2583"/>
      <c r="I4" s="2583"/>
      <c r="J4" s="2583"/>
      <c r="K4" s="2583"/>
      <c r="L4" s="258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84" t="str">
        <f>COVER!A17</f>
        <v>Hazel Crest SD 152-5</v>
      </c>
      <c r="B7" s="2585"/>
      <c r="C7" s="2585"/>
      <c r="D7" s="2586"/>
      <c r="E7" s="2587">
        <f>COVER!A13</f>
        <v>7016152502</v>
      </c>
      <c r="F7" s="2588"/>
      <c r="G7" s="2591" t="str">
        <f>COVER!T23</f>
        <v>006-003925</v>
      </c>
      <c r="H7" s="2592"/>
      <c r="I7" s="2592"/>
      <c r="J7" s="2592"/>
      <c r="K7" s="2592"/>
      <c r="L7" s="259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94"/>
      <c r="B9" s="2595"/>
      <c r="C9" s="2595"/>
      <c r="D9" s="2595"/>
      <c r="E9" s="2595"/>
      <c r="F9" s="2596"/>
      <c r="G9" s="2567" t="str">
        <f>COVER!T13</f>
        <v>Legacy Professionals LLP</v>
      </c>
      <c r="H9" s="2597"/>
      <c r="I9" s="2597"/>
      <c r="J9" s="2597"/>
      <c r="K9" s="2597"/>
      <c r="L9" s="2598"/>
    </row>
    <row r="10" spans="1:29" ht="13.5" customHeight="1" x14ac:dyDescent="0.2">
      <c r="A10" s="2573" t="str">
        <f>COVER!A38</f>
        <v>Dr. Kenneth Spells</v>
      </c>
      <c r="B10" s="2574"/>
      <c r="C10" s="2574"/>
      <c r="D10" s="2574"/>
      <c r="E10" s="2574"/>
      <c r="F10" s="2575"/>
      <c r="G10" s="2567" t="str">
        <f>COVER!T17</f>
        <v>4 Westbrook Corporate Center, Suite 700</v>
      </c>
      <c r="H10" s="2568"/>
      <c r="I10" s="2568"/>
      <c r="J10" s="2568"/>
      <c r="K10" s="2568"/>
      <c r="L10" s="2569"/>
    </row>
    <row r="11" spans="1:29" ht="13.5" customHeight="1" x14ac:dyDescent="0.2">
      <c r="A11" s="962" t="s">
        <v>1502</v>
      </c>
      <c r="B11" s="963"/>
      <c r="C11" s="964"/>
      <c r="D11" s="969"/>
      <c r="E11" s="964"/>
      <c r="F11" s="968"/>
      <c r="G11" s="2567" t="s">
        <v>2274</v>
      </c>
      <c r="H11" s="2568"/>
      <c r="I11" s="2568"/>
      <c r="J11" s="2568"/>
      <c r="K11" s="2568"/>
      <c r="L11" s="2569"/>
    </row>
    <row r="12" spans="1:29" ht="13.5" customHeight="1" x14ac:dyDescent="0.2">
      <c r="A12" s="2576" t="s">
        <v>1501</v>
      </c>
      <c r="B12" s="2577"/>
      <c r="C12" s="2577"/>
      <c r="D12" s="2577"/>
      <c r="E12" s="2577"/>
      <c r="F12" s="2578"/>
      <c r="G12" s="2570"/>
      <c r="H12" s="2571"/>
      <c r="I12" s="2571"/>
      <c r="J12" s="2571"/>
      <c r="K12" s="2571"/>
      <c r="L12" s="2572"/>
    </row>
    <row r="13" spans="1:29" ht="13.5" customHeight="1" x14ac:dyDescent="0.2">
      <c r="A13" s="2567"/>
      <c r="B13" s="2568"/>
      <c r="C13" s="2568"/>
      <c r="D13" s="2568"/>
      <c r="E13" s="2568"/>
      <c r="F13" s="2569"/>
      <c r="G13" s="2562" t="s">
        <v>1503</v>
      </c>
      <c r="H13" s="2563"/>
      <c r="I13" s="2579" t="str">
        <f>COVER!T25</f>
        <v>cthompson@legacycpas.com</v>
      </c>
      <c r="J13" s="2580"/>
      <c r="K13" s="2580"/>
      <c r="L13" s="2581"/>
    </row>
    <row r="14" spans="1:29" ht="13.5" customHeight="1" x14ac:dyDescent="0.2">
      <c r="A14" s="2567" t="str">
        <f>COVER!A19</f>
        <v>1910 West 170th Street</v>
      </c>
      <c r="B14" s="2568"/>
      <c r="C14" s="2568"/>
      <c r="D14" s="2568"/>
      <c r="E14" s="2568"/>
      <c r="F14" s="2569"/>
      <c r="G14" s="973" t="s">
        <v>1175</v>
      </c>
      <c r="H14" s="971"/>
      <c r="I14" s="971"/>
      <c r="J14" s="971"/>
      <c r="K14" s="971"/>
      <c r="L14" s="972"/>
    </row>
    <row r="15" spans="1:29" ht="13.5" customHeight="1" x14ac:dyDescent="0.2">
      <c r="A15" s="2567" t="s">
        <v>2273</v>
      </c>
      <c r="B15" s="2568"/>
      <c r="C15" s="2568"/>
      <c r="D15" s="2568"/>
      <c r="E15" s="2568"/>
      <c r="F15" s="2569"/>
      <c r="G15" s="2564" t="str">
        <f>COVER!T15</f>
        <v>Colin Thompson</v>
      </c>
      <c r="H15" s="2565"/>
      <c r="I15" s="2565"/>
      <c r="J15" s="2565"/>
      <c r="K15" s="2565"/>
      <c r="L15" s="2566"/>
    </row>
    <row r="16" spans="1:29" ht="12.2" customHeight="1" x14ac:dyDescent="0.2">
      <c r="A16" s="2567">
        <f>COVER!A25</f>
        <v>60429</v>
      </c>
      <c r="B16" s="2568"/>
      <c r="C16" s="2568"/>
      <c r="D16" s="2568"/>
      <c r="E16" s="2568"/>
      <c r="F16" s="2569"/>
      <c r="G16" s="2599"/>
      <c r="H16" s="2600"/>
      <c r="I16" s="2600"/>
      <c r="J16" s="2600"/>
      <c r="K16" s="2600"/>
      <c r="L16" s="2601"/>
    </row>
    <row r="17" spans="1:13" ht="12.2" customHeight="1" x14ac:dyDescent="0.2">
      <c r="A17" s="2602"/>
      <c r="B17" s="2603"/>
      <c r="C17" s="2603"/>
      <c r="D17" s="2603"/>
      <c r="E17" s="2603"/>
      <c r="F17" s="2604"/>
      <c r="G17" s="973" t="s">
        <v>1174</v>
      </c>
      <c r="H17" s="971"/>
      <c r="I17" s="971"/>
      <c r="J17" s="971"/>
      <c r="K17" s="975" t="s">
        <v>1173</v>
      </c>
      <c r="L17" s="968"/>
      <c r="M17" s="961"/>
    </row>
    <row r="18" spans="1:13" ht="12.2" customHeight="1" x14ac:dyDescent="0.2">
      <c r="A18" s="2573"/>
      <c r="B18" s="2574"/>
      <c r="C18" s="2574"/>
      <c r="D18" s="2574"/>
      <c r="E18" s="2574"/>
      <c r="F18" s="2575"/>
      <c r="G18" s="2584" t="str">
        <f>COVER!T21</f>
        <v>(312) 368-0500</v>
      </c>
      <c r="H18" s="2585"/>
      <c r="I18" s="2585"/>
      <c r="J18" s="2585"/>
      <c r="K18" s="2584" t="str">
        <f>COVER!X21</f>
        <v>(312) 368-0746</v>
      </c>
      <c r="L18" s="258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2048</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2048</v>
      </c>
      <c r="C26" s="980" t="s">
        <v>1677</v>
      </c>
    </row>
    <row r="27" spans="1:13" s="976" customFormat="1" ht="9" customHeight="1" x14ac:dyDescent="0.2">
      <c r="B27" s="981"/>
      <c r="C27" s="980"/>
    </row>
    <row r="28" spans="1:13" s="976" customFormat="1" ht="12.2" customHeight="1" x14ac:dyDescent="0.2">
      <c r="A28" s="983"/>
      <c r="B28" s="979" t="s">
        <v>2048</v>
      </c>
      <c r="C28" s="980" t="s">
        <v>1678</v>
      </c>
    </row>
    <row r="29" spans="1:13" s="976" customFormat="1" ht="9" customHeight="1" x14ac:dyDescent="0.2">
      <c r="A29" s="983"/>
      <c r="B29" s="981"/>
      <c r="C29" s="980"/>
    </row>
    <row r="30" spans="1:13" s="976" customFormat="1" ht="12.2" customHeight="1" x14ac:dyDescent="0.2">
      <c r="B30" s="979" t="s">
        <v>2048</v>
      </c>
      <c r="C30" s="980" t="s">
        <v>1545</v>
      </c>
      <c r="D30" s="974"/>
      <c r="E30" s="974"/>
    </row>
    <row r="31" spans="1:13" s="976" customFormat="1" ht="9" customHeight="1" x14ac:dyDescent="0.2">
      <c r="B31" s="981"/>
      <c r="C31" s="980"/>
      <c r="D31" s="974"/>
      <c r="E31" s="974"/>
    </row>
    <row r="32" spans="1:13" s="976" customFormat="1" ht="12.2" customHeight="1" x14ac:dyDescent="0.2">
      <c r="B32" s="979" t="s">
        <v>2048</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2048</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2048</v>
      </c>
      <c r="C38" s="980" t="s">
        <v>1549</v>
      </c>
    </row>
    <row r="39" spans="1:8" ht="9" customHeight="1" x14ac:dyDescent="0.2">
      <c r="B39" s="981"/>
      <c r="C39" s="984"/>
    </row>
    <row r="40" spans="1:8" s="976" customFormat="1" ht="13.5" customHeight="1" x14ac:dyDescent="0.2">
      <c r="B40" s="979" t="s">
        <v>2048</v>
      </c>
      <c r="C40" s="980" t="s">
        <v>1550</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1" t="s">
        <v>2048</v>
      </c>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64" sqref="D6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605" t="str">
        <f>'Single Audit Cover'!A7</f>
        <v>Hazel Crest SD 152-5</v>
      </c>
      <c r="B1" s="2606"/>
      <c r="C1" s="2606"/>
      <c r="D1" s="2606"/>
    </row>
    <row r="2" spans="1:11" s="990" customFormat="1" ht="12.75" x14ac:dyDescent="0.2">
      <c r="A2" s="2607">
        <f>'Single Audit Cover'!E7</f>
        <v>7016152502</v>
      </c>
      <c r="B2" s="2608"/>
      <c r="C2" s="2608"/>
      <c r="D2" s="2608"/>
    </row>
    <row r="3" spans="1:11" s="990" customFormat="1" ht="12.75" x14ac:dyDescent="0.2">
      <c r="A3" s="2605" t="s">
        <v>1496</v>
      </c>
      <c r="B3" s="2606"/>
      <c r="C3" s="2606"/>
      <c r="D3" s="2606"/>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42" sqref="F4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610" t="str">
        <f>'Single Audit Cover'!A7</f>
        <v>Hazel Crest SD 152-5</v>
      </c>
      <c r="B1" s="2610"/>
      <c r="C1" s="2610"/>
      <c r="D1" s="2610"/>
      <c r="E1" s="2610"/>
    </row>
    <row r="2" spans="1:5" x14ac:dyDescent="0.2">
      <c r="A2" s="2611">
        <f>'Single Audit Cover'!E7</f>
        <v>7016152502</v>
      </c>
      <c r="B2" s="2611"/>
      <c r="C2" s="2611"/>
      <c r="D2" s="2611"/>
      <c r="E2" s="2611"/>
    </row>
    <row r="3" spans="1:5" ht="4.5" customHeight="1" x14ac:dyDescent="0.2"/>
    <row r="4" spans="1:5" x14ac:dyDescent="0.2">
      <c r="A4" s="2610" t="s">
        <v>1234</v>
      </c>
      <c r="B4" s="2610"/>
      <c r="C4" s="2610"/>
      <c r="D4" s="2610"/>
      <c r="E4" s="2610"/>
    </row>
    <row r="5" spans="1:5" x14ac:dyDescent="0.2">
      <c r="A5" s="2613" t="str">
        <f>'Single Audit Cover'!A4</f>
        <v>Year Ending June 30, 2020</v>
      </c>
      <c r="B5" s="2613"/>
      <c r="C5" s="2613"/>
      <c r="D5" s="2613"/>
      <c r="E5" s="2613"/>
    </row>
    <row r="6" spans="1:5" x14ac:dyDescent="0.2">
      <c r="A6" s="2610" t="s">
        <v>1233</v>
      </c>
      <c r="B6" s="2610"/>
      <c r="C6" s="2610"/>
      <c r="D6" s="2610"/>
      <c r="E6" s="2610"/>
    </row>
    <row r="8" spans="1:5" x14ac:dyDescent="0.2">
      <c r="A8" s="1035" t="s">
        <v>1232</v>
      </c>
    </row>
    <row r="10" spans="1:5" x14ac:dyDescent="0.2">
      <c r="A10" s="1036" t="s">
        <v>1231</v>
      </c>
      <c r="B10" s="1037" t="s">
        <v>1230</v>
      </c>
      <c r="C10" s="1037"/>
      <c r="D10" s="1038">
        <f>SUM('Acct Summary 7-8'!C7:K7)</f>
        <v>1446245</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40857</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-36446</v>
      </c>
    </row>
    <row r="19" spans="1:4" ht="13.5" thickBot="1" x14ac:dyDescent="0.25">
      <c r="A19" s="1040" t="s">
        <v>1224</v>
      </c>
      <c r="D19" s="1041">
        <f>SUM(D10:D17)</f>
        <v>1450656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612"/>
      <c r="B24" s="2612"/>
      <c r="D24" s="1043"/>
    </row>
    <row r="25" spans="1:4" x14ac:dyDescent="0.2">
      <c r="A25" s="2609"/>
      <c r="B25" s="2609"/>
      <c r="D25" s="1043"/>
    </row>
    <row r="26" spans="1:4" x14ac:dyDescent="0.2">
      <c r="A26" s="2609"/>
      <c r="B26" s="2609"/>
      <c r="D26" s="1043"/>
    </row>
    <row r="27" spans="1:4" x14ac:dyDescent="0.2">
      <c r="A27" s="2609"/>
      <c r="B27" s="2609"/>
      <c r="D27" s="1043"/>
    </row>
    <row r="28" spans="1:4" x14ac:dyDescent="0.2">
      <c r="A28" s="2609"/>
      <c r="B28" s="2609"/>
      <c r="D28" s="1043"/>
    </row>
    <row r="29" spans="1:4" x14ac:dyDescent="0.2">
      <c r="A29" s="2609"/>
      <c r="B29" s="2609"/>
      <c r="D29" s="1043"/>
    </row>
    <row r="30" spans="1:4" x14ac:dyDescent="0.2">
      <c r="A30" s="2609"/>
      <c r="B30" s="2609"/>
      <c r="D30" s="1043"/>
    </row>
    <row r="32" spans="1:4" x14ac:dyDescent="0.2">
      <c r="A32" s="1035" t="s">
        <v>1222</v>
      </c>
      <c r="D32" s="1038">
        <f>SUM(D19:D30)</f>
        <v>1450656</v>
      </c>
    </row>
    <row r="33" spans="1:4" x14ac:dyDescent="0.2">
      <c r="D33" s="1044"/>
    </row>
    <row r="34" spans="1:4" x14ac:dyDescent="0.2">
      <c r="A34" s="294" t="s">
        <v>1221</v>
      </c>
    </row>
    <row r="35" spans="1:4" x14ac:dyDescent="0.2">
      <c r="A35" s="294" t="s">
        <v>1220</v>
      </c>
      <c r="B35" s="1033" t="s">
        <v>1219</v>
      </c>
      <c r="D35" s="1045">
        <f>+' SEFA (2)'!F30</f>
        <v>1450656</v>
      </c>
    </row>
    <row r="37" spans="1:4" x14ac:dyDescent="0.2">
      <c r="A37" s="1035" t="s">
        <v>1218</v>
      </c>
    </row>
    <row r="39" spans="1:4" ht="13.35" customHeight="1" x14ac:dyDescent="0.2">
      <c r="A39" s="1042" t="s">
        <v>1217</v>
      </c>
    </row>
    <row r="40" spans="1:4" x14ac:dyDescent="0.2">
      <c r="A40" s="2609"/>
      <c r="B40" s="2609"/>
      <c r="D40" s="1043"/>
    </row>
    <row r="41" spans="1:4" x14ac:dyDescent="0.2">
      <c r="A41" s="2609"/>
      <c r="B41" s="2609"/>
      <c r="D41" s="1046"/>
    </row>
    <row r="42" spans="1:4" x14ac:dyDescent="0.2">
      <c r="A42" s="2609"/>
      <c r="B42" s="2609"/>
      <c r="D42" s="1046"/>
    </row>
    <row r="43" spans="1:4" x14ac:dyDescent="0.2">
      <c r="A43" s="2609"/>
      <c r="B43" s="2609"/>
      <c r="D43" s="1046"/>
    </row>
    <row r="44" spans="1:4" x14ac:dyDescent="0.2">
      <c r="A44" s="2609"/>
      <c r="B44" s="2609"/>
      <c r="D44" s="1046"/>
    </row>
    <row r="45" spans="1:4" x14ac:dyDescent="0.2">
      <c r="A45" s="2609"/>
      <c r="B45" s="2609"/>
      <c r="D45" s="1046"/>
    </row>
    <row r="47" spans="1:4" x14ac:dyDescent="0.2">
      <c r="B47" s="1047" t="s">
        <v>1216</v>
      </c>
      <c r="C47" s="1047"/>
      <c r="D47" s="1048">
        <f>SUM(D35:D45)</f>
        <v>1450656</v>
      </c>
    </row>
    <row r="49" spans="2:4" x14ac:dyDescent="0.2">
      <c r="B49" s="1047" t="s">
        <v>1215</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49"/>
  <sheetViews>
    <sheetView showGridLines="0" zoomScaleNormal="100" workbookViewId="0">
      <selection activeCell="O19" sqref="O19"/>
    </sheetView>
  </sheetViews>
  <sheetFormatPr defaultColWidth="33.5703125" defaultRowHeight="12.75" x14ac:dyDescent="0.2"/>
  <cols>
    <col min="1" max="1" width="0.140625" style="294" customWidth="1"/>
    <col min="2" max="2" width="32.85546875" style="294" customWidth="1"/>
    <col min="3" max="3" width="8.7109375" style="1117" customWidth="1"/>
    <col min="4" max="4" width="12.7109375" style="1118"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90" t="str">
        <f>'Single Audit Cover'!A7</f>
        <v>Hazel Crest SD 152-5</v>
      </c>
      <c r="C1" s="2614"/>
      <c r="D1" s="2614"/>
      <c r="E1" s="2614"/>
      <c r="F1" s="2614"/>
      <c r="G1" s="2614"/>
      <c r="H1" s="2614"/>
      <c r="I1" s="2614"/>
      <c r="J1" s="2614"/>
      <c r="K1" s="2614"/>
      <c r="L1" s="2614"/>
      <c r="M1" s="2614"/>
    </row>
    <row r="2" spans="2:14" ht="15" x14ac:dyDescent="0.2">
      <c r="B2" s="2615">
        <f>'Single Audit Cover'!E7</f>
        <v>7016152502</v>
      </c>
      <c r="C2" s="2615"/>
      <c r="D2" s="2615"/>
      <c r="E2" s="2615"/>
      <c r="F2" s="2615"/>
      <c r="G2" s="2615"/>
      <c r="H2" s="2615"/>
      <c r="I2" s="2615"/>
      <c r="J2" s="2615"/>
      <c r="K2" s="2615"/>
      <c r="L2" s="2615"/>
      <c r="M2" s="2615"/>
      <c r="N2" s="1077"/>
    </row>
    <row r="3" spans="2:14" ht="15" x14ac:dyDescent="0.2">
      <c r="B3" s="2616" t="s">
        <v>1208</v>
      </c>
      <c r="C3" s="2616"/>
      <c r="D3" s="2616"/>
      <c r="E3" s="2616"/>
      <c r="F3" s="2616"/>
      <c r="G3" s="2616"/>
      <c r="H3" s="2616"/>
      <c r="I3" s="2616"/>
      <c r="J3" s="2616"/>
      <c r="K3" s="2616"/>
      <c r="L3" s="2616"/>
      <c r="M3" s="2616"/>
      <c r="N3" s="1077"/>
    </row>
    <row r="4" spans="2:14" ht="15" x14ac:dyDescent="0.2">
      <c r="B4" s="2617" t="str">
        <f>'Single Audit Cover'!A4</f>
        <v>Year Ending June 30, 2020</v>
      </c>
      <c r="C4" s="2617"/>
      <c r="D4" s="2617"/>
      <c r="E4" s="2617"/>
      <c r="F4" s="2617"/>
      <c r="G4" s="2617"/>
      <c r="H4" s="2617"/>
      <c r="I4" s="2617"/>
      <c r="J4" s="2617"/>
      <c r="K4" s="2617"/>
      <c r="L4" s="2617"/>
      <c r="M4" s="2617"/>
      <c r="N4" s="1077"/>
    </row>
    <row r="5" spans="2:14" x14ac:dyDescent="0.2">
      <c r="H5" s="1901"/>
      <c r="J5" s="1901"/>
    </row>
    <row r="6" spans="2:14" x14ac:dyDescent="0.2">
      <c r="B6" s="1078"/>
      <c r="C6" s="1079"/>
      <c r="D6" s="1080" t="s">
        <v>1254</v>
      </c>
      <c r="E6" s="1081" t="s">
        <v>524</v>
      </c>
      <c r="F6" s="1082"/>
      <c r="G6" s="1083" t="s">
        <v>1708</v>
      </c>
      <c r="H6" s="1081"/>
      <c r="I6" s="1081"/>
      <c r="J6" s="1902"/>
      <c r="K6" s="1084"/>
      <c r="L6" s="1085"/>
      <c r="M6" s="1086"/>
    </row>
    <row r="7" spans="2:14" x14ac:dyDescent="0.2">
      <c r="B7" s="1087" t="s">
        <v>1564</v>
      </c>
      <c r="C7" s="1088"/>
      <c r="D7" s="1089"/>
      <c r="E7" s="1090"/>
      <c r="F7" s="1091"/>
      <c r="G7" s="1090"/>
      <c r="H7" s="2021" t="s">
        <v>1251</v>
      </c>
      <c r="I7" s="2022"/>
      <c r="J7" s="2021" t="s">
        <v>1251</v>
      </c>
      <c r="K7" s="1092"/>
      <c r="L7" s="1093" t="s">
        <v>1249</v>
      </c>
      <c r="M7" s="1094"/>
    </row>
    <row r="8" spans="2:14" x14ac:dyDescent="0.2">
      <c r="B8" s="1369"/>
      <c r="C8" s="1088" t="s">
        <v>1253</v>
      </c>
      <c r="D8" s="1089" t="s">
        <v>1252</v>
      </c>
      <c r="E8" s="1095" t="s">
        <v>1251</v>
      </c>
      <c r="F8" s="1096" t="s">
        <v>1251</v>
      </c>
      <c r="G8" s="1097" t="s">
        <v>1251</v>
      </c>
      <c r="H8" s="1900" t="str">
        <f>"7/1/"&amp;MID('AFR20'!$E$2,3,2)-2&amp;"-6/30/"&amp;MID('AFR20'!$E$2,3,2)-1</f>
        <v>7/1/18-6/30/19</v>
      </c>
      <c r="I8" s="2021" t="s">
        <v>1251</v>
      </c>
      <c r="J8" s="1900" t="str">
        <f>"7/1/"&amp;MID('AFR20'!$E$2,3,2)-1&amp;"-6/30/"&amp;MID('AFR20'!$E$2,3,2)</f>
        <v>7/1/19-6/30/20</v>
      </c>
      <c r="K8" s="1092" t="s">
        <v>1250</v>
      </c>
      <c r="L8" s="1093" t="s">
        <v>1246</v>
      </c>
      <c r="M8" s="1094" t="s">
        <v>30</v>
      </c>
    </row>
    <row r="9" spans="2:14" ht="14.25" x14ac:dyDescent="0.2">
      <c r="B9" s="1098" t="s">
        <v>1248</v>
      </c>
      <c r="C9" s="1088" t="s">
        <v>1709</v>
      </c>
      <c r="D9" s="1089" t="s">
        <v>1710</v>
      </c>
      <c r="E9" s="1900" t="str">
        <f>"7/1/"&amp;MID('AFR20'!$E$2,3,2)-2&amp;"-6/30/"&amp;MID('AFR20'!$E$2,3,2)-1</f>
        <v>7/1/18-6/30/19</v>
      </c>
      <c r="F9" s="1900" t="str">
        <f>"7/1/"&amp;MID('AFR20'!$E$2,3,2)-1&amp;"-6/30/"&amp;MID('AFR20'!$E$2,3,2)</f>
        <v>7/1/19-6/30/20</v>
      </c>
      <c r="G9" s="1900" t="str">
        <f>"7/1/"&amp;MID('AFR20'!$E$2,3,2)-2&amp;"-6/30/"&amp;MID('AFR20'!$E$2,3,2)-1</f>
        <v>7/1/18-6/30/19</v>
      </c>
      <c r="H9" s="2021" t="s">
        <v>1565</v>
      </c>
      <c r="I9" s="1900" t="str">
        <f>"7/1/"&amp;MID('AFR20'!$E$2,3,2)-1&amp;"-6/30/"&amp;MID('AFR20'!$E$2,3,2)</f>
        <v>7/1/19-6/30/20</v>
      </c>
      <c r="J9" s="2021" t="s">
        <v>1565</v>
      </c>
      <c r="K9" s="1092" t="s">
        <v>1247</v>
      </c>
      <c r="L9" s="1099" t="s">
        <v>1566</v>
      </c>
      <c r="M9" s="1094"/>
    </row>
    <row r="10" spans="2:14" ht="11.85" customHeight="1" x14ac:dyDescent="0.2">
      <c r="B10" s="1098" t="s">
        <v>1245</v>
      </c>
      <c r="C10" s="1100" t="s">
        <v>1244</v>
      </c>
      <c r="D10" s="1101" t="s">
        <v>1243</v>
      </c>
      <c r="E10" s="1102" t="s">
        <v>1242</v>
      </c>
      <c r="F10" s="1103" t="s">
        <v>1241</v>
      </c>
      <c r="G10" s="1104" t="s">
        <v>1240</v>
      </c>
      <c r="H10" s="2023" t="s">
        <v>1255</v>
      </c>
      <c r="I10" s="2023" t="s">
        <v>1239</v>
      </c>
      <c r="J10" s="2023" t="s">
        <v>1255</v>
      </c>
      <c r="K10" s="1105" t="s">
        <v>1238</v>
      </c>
      <c r="L10" s="1105" t="s">
        <v>1237</v>
      </c>
      <c r="M10" s="1106" t="s">
        <v>1236</v>
      </c>
    </row>
    <row r="11" spans="2:14" ht="20.100000000000001" customHeight="1" x14ac:dyDescent="0.2">
      <c r="B11" s="1107" t="s">
        <v>2078</v>
      </c>
      <c r="C11" s="1809"/>
      <c r="D11" s="1810"/>
      <c r="E11" s="1811"/>
      <c r="F11" s="1811"/>
      <c r="G11" s="1811"/>
      <c r="H11" s="1811"/>
      <c r="I11" s="1811"/>
      <c r="J11" s="1811"/>
      <c r="K11" s="1811"/>
      <c r="L11" s="1811"/>
      <c r="M11" s="1811"/>
    </row>
    <row r="12" spans="2:14" ht="20.100000000000001" customHeight="1" x14ac:dyDescent="0.2">
      <c r="B12" s="1107" t="s">
        <v>912</v>
      </c>
      <c r="C12" s="1812" t="s">
        <v>2079</v>
      </c>
      <c r="D12" s="1813" t="s">
        <v>2081</v>
      </c>
      <c r="E12" s="1814"/>
      <c r="F12" s="1814">
        <v>147238</v>
      </c>
      <c r="G12" s="1814"/>
      <c r="H12" s="1814"/>
      <c r="I12" s="1814">
        <v>549375</v>
      </c>
      <c r="J12" s="1814"/>
      <c r="K12" s="1814"/>
      <c r="L12" s="1811">
        <f t="shared" ref="L12:L23" si="0">+G12+I12+K12</f>
        <v>549375</v>
      </c>
      <c r="M12" s="1814">
        <v>1043702</v>
      </c>
    </row>
    <row r="13" spans="2:14" ht="20.100000000000001" customHeight="1" x14ac:dyDescent="0.2">
      <c r="B13" s="1107" t="s">
        <v>912</v>
      </c>
      <c r="C13" s="1812" t="s">
        <v>2079</v>
      </c>
      <c r="D13" s="1813" t="s">
        <v>2082</v>
      </c>
      <c r="E13" s="1814">
        <v>505947</v>
      </c>
      <c r="F13" s="1814">
        <v>167567</v>
      </c>
      <c r="G13" s="1814">
        <v>624397</v>
      </c>
      <c r="H13" s="1814"/>
      <c r="I13" s="1814">
        <v>49117</v>
      </c>
      <c r="J13" s="1814"/>
      <c r="K13" s="1814"/>
      <c r="L13" s="1811">
        <f t="shared" si="0"/>
        <v>673514</v>
      </c>
      <c r="M13" s="1814">
        <v>1006831</v>
      </c>
    </row>
    <row r="14" spans="2:14" ht="20.100000000000001" customHeight="1" x14ac:dyDescent="0.2">
      <c r="B14" s="1107" t="s">
        <v>753</v>
      </c>
      <c r="C14" s="1812" t="s">
        <v>2080</v>
      </c>
      <c r="D14" s="1813" t="s">
        <v>2083</v>
      </c>
      <c r="E14" s="1814"/>
      <c r="F14" s="1814">
        <v>57962</v>
      </c>
      <c r="G14" s="1814"/>
      <c r="H14" s="1814"/>
      <c r="I14" s="1814">
        <v>69895</v>
      </c>
      <c r="J14" s="1814"/>
      <c r="K14" s="1814"/>
      <c r="L14" s="1811">
        <f t="shared" si="0"/>
        <v>69895</v>
      </c>
      <c r="M14" s="1814">
        <v>155638</v>
      </c>
    </row>
    <row r="15" spans="2:14" ht="20.100000000000001" customHeight="1" x14ac:dyDescent="0.2">
      <c r="B15" s="1107" t="s">
        <v>753</v>
      </c>
      <c r="C15" s="1812" t="s">
        <v>2080</v>
      </c>
      <c r="D15" s="1813" t="s">
        <v>2084</v>
      </c>
      <c r="E15" s="1814">
        <v>35689</v>
      </c>
      <c r="F15" s="1814">
        <v>5245</v>
      </c>
      <c r="G15" s="1814">
        <v>40934</v>
      </c>
      <c r="H15" s="1814"/>
      <c r="I15" s="1814"/>
      <c r="J15" s="1814"/>
      <c r="K15" s="1814"/>
      <c r="L15" s="1811">
        <f t="shared" si="0"/>
        <v>40934</v>
      </c>
      <c r="M15" s="1814">
        <v>126667</v>
      </c>
    </row>
    <row r="16" spans="2:14" ht="20.100000000000001" customHeight="1" x14ac:dyDescent="0.2">
      <c r="B16" s="1107" t="s">
        <v>2085</v>
      </c>
      <c r="C16" s="1812" t="s">
        <v>2086</v>
      </c>
      <c r="D16" s="1813" t="s">
        <v>2087</v>
      </c>
      <c r="E16" s="1814"/>
      <c r="F16" s="1814">
        <v>879</v>
      </c>
      <c r="G16" s="1814"/>
      <c r="H16" s="1814"/>
      <c r="I16" s="1814">
        <v>2093</v>
      </c>
      <c r="J16" s="1814"/>
      <c r="K16" s="1814"/>
      <c r="L16" s="1811">
        <f t="shared" si="0"/>
        <v>2093</v>
      </c>
      <c r="M16" s="1814">
        <v>53748</v>
      </c>
    </row>
    <row r="17" spans="2:14" ht="20.100000000000001" customHeight="1" x14ac:dyDescent="0.2">
      <c r="B17" s="1107" t="s">
        <v>2088</v>
      </c>
      <c r="C17" s="1812"/>
      <c r="D17" s="1813"/>
      <c r="E17" s="1814">
        <f t="shared" ref="E17:L17" si="1">SUM(E12:E16)</f>
        <v>541636</v>
      </c>
      <c r="F17" s="1814">
        <f t="shared" si="1"/>
        <v>378891</v>
      </c>
      <c r="G17" s="1814">
        <f t="shared" si="1"/>
        <v>665331</v>
      </c>
      <c r="H17" s="1814">
        <f t="shared" si="1"/>
        <v>0</v>
      </c>
      <c r="I17" s="1814">
        <f t="shared" si="1"/>
        <v>670480</v>
      </c>
      <c r="J17" s="1814">
        <f t="shared" si="1"/>
        <v>0</v>
      </c>
      <c r="K17" s="1814">
        <f t="shared" si="1"/>
        <v>0</v>
      </c>
      <c r="L17" s="1811">
        <f t="shared" si="1"/>
        <v>1335811</v>
      </c>
      <c r="M17" s="1814"/>
    </row>
    <row r="18" spans="2:14" ht="20.100000000000001" customHeight="1" x14ac:dyDescent="0.2">
      <c r="B18" s="1107"/>
      <c r="C18" s="1812"/>
      <c r="D18" s="1813"/>
      <c r="E18" s="1814"/>
      <c r="F18" s="1814"/>
      <c r="G18" s="1814"/>
      <c r="H18" s="1814"/>
      <c r="I18" s="1814"/>
      <c r="J18" s="1814"/>
      <c r="K18" s="1814"/>
      <c r="L18" s="1811"/>
      <c r="M18" s="1814"/>
    </row>
    <row r="19" spans="2:14" ht="20.100000000000001" customHeight="1" x14ac:dyDescent="0.2">
      <c r="B19" s="1107" t="s">
        <v>2089</v>
      </c>
      <c r="C19" s="1812"/>
      <c r="D19" s="1813"/>
      <c r="E19" s="1814"/>
      <c r="F19" s="1814"/>
      <c r="G19" s="1814"/>
      <c r="H19" s="1814"/>
      <c r="I19" s="1814"/>
      <c r="J19" s="1814"/>
      <c r="K19" s="1814"/>
      <c r="L19" s="1811"/>
      <c r="M19" s="1814"/>
    </row>
    <row r="20" spans="2:14" ht="20.100000000000001" customHeight="1" x14ac:dyDescent="0.2">
      <c r="B20" s="1107" t="s">
        <v>2090</v>
      </c>
      <c r="C20" s="1812">
        <v>84.173000000000002</v>
      </c>
      <c r="D20" s="1813" t="s">
        <v>2092</v>
      </c>
      <c r="E20" s="1814"/>
      <c r="F20" s="1814"/>
      <c r="G20" s="1814"/>
      <c r="H20" s="1814"/>
      <c r="I20" s="1814">
        <v>2767</v>
      </c>
      <c r="J20" s="1814"/>
      <c r="K20" s="1814"/>
      <c r="L20" s="1811">
        <f t="shared" si="0"/>
        <v>2767</v>
      </c>
      <c r="M20" s="1814">
        <v>12185</v>
      </c>
    </row>
    <row r="21" spans="2:14" ht="20.100000000000001" customHeight="1" x14ac:dyDescent="0.2">
      <c r="B21" s="1107" t="s">
        <v>2090</v>
      </c>
      <c r="C21" s="1812">
        <v>84.173000000000002</v>
      </c>
      <c r="D21" s="1813" t="s">
        <v>2093</v>
      </c>
      <c r="E21" s="1814"/>
      <c r="F21" s="1814">
        <v>11679</v>
      </c>
      <c r="G21" s="1814">
        <v>11679</v>
      </c>
      <c r="H21" s="1814"/>
      <c r="I21" s="1814"/>
      <c r="J21" s="1814"/>
      <c r="K21" s="1814"/>
      <c r="L21" s="1811">
        <f t="shared" si="0"/>
        <v>11679</v>
      </c>
      <c r="M21" s="1814">
        <v>12208</v>
      </c>
    </row>
    <row r="22" spans="2:14" ht="20.100000000000001" customHeight="1" x14ac:dyDescent="0.2">
      <c r="B22" s="1107" t="s">
        <v>2091</v>
      </c>
      <c r="C22" s="1812">
        <v>84.027000000000001</v>
      </c>
      <c r="D22" s="1813" t="s">
        <v>2094</v>
      </c>
      <c r="E22" s="1814"/>
      <c r="F22" s="1814">
        <v>172006</v>
      </c>
      <c r="G22" s="1814"/>
      <c r="H22" s="1814"/>
      <c r="I22" s="1814">
        <v>161752</v>
      </c>
      <c r="J22" s="1814"/>
      <c r="K22" s="1814"/>
      <c r="L22" s="1811">
        <f t="shared" si="0"/>
        <v>161752</v>
      </c>
      <c r="M22" s="1814">
        <v>190615</v>
      </c>
    </row>
    <row r="23" spans="2:14" ht="20.100000000000001" customHeight="1" x14ac:dyDescent="0.2">
      <c r="B23" s="1107" t="s">
        <v>2091</v>
      </c>
      <c r="C23" s="1812">
        <v>84.027000000000001</v>
      </c>
      <c r="D23" s="1813" t="s">
        <v>2095</v>
      </c>
      <c r="E23" s="1814">
        <v>13978</v>
      </c>
      <c r="F23" s="1814">
        <v>151210</v>
      </c>
      <c r="G23" s="1814">
        <v>178020</v>
      </c>
      <c r="H23" s="1814"/>
      <c r="I23" s="1814">
        <v>29467</v>
      </c>
      <c r="J23" s="1814"/>
      <c r="K23" s="1814"/>
      <c r="L23" s="1811">
        <f t="shared" si="0"/>
        <v>207487</v>
      </c>
      <c r="M23" s="1814">
        <v>323216</v>
      </c>
    </row>
    <row r="24" spans="2:14" ht="20.100000000000001" customHeight="1" x14ac:dyDescent="0.2">
      <c r="B24" s="1107" t="s">
        <v>2088</v>
      </c>
      <c r="C24" s="1812"/>
      <c r="D24" s="1813"/>
      <c r="E24" s="1814">
        <f t="shared" ref="E24:L24" si="2">SUM(E20:E23)</f>
        <v>13978</v>
      </c>
      <c r="F24" s="1814">
        <f t="shared" si="2"/>
        <v>334895</v>
      </c>
      <c r="G24" s="1814">
        <f t="shared" si="2"/>
        <v>189699</v>
      </c>
      <c r="H24" s="1814">
        <f t="shared" si="2"/>
        <v>0</v>
      </c>
      <c r="I24" s="1814">
        <f t="shared" si="2"/>
        <v>193986</v>
      </c>
      <c r="J24" s="1814">
        <f t="shared" si="2"/>
        <v>0</v>
      </c>
      <c r="K24" s="1814">
        <f t="shared" si="2"/>
        <v>0</v>
      </c>
      <c r="L24" s="1811">
        <f t="shared" si="2"/>
        <v>383685</v>
      </c>
      <c r="M24" s="1814"/>
    </row>
    <row r="25" spans="2:14" ht="12.75" customHeight="1" x14ac:dyDescent="0.2">
      <c r="B25" s="1109"/>
      <c r="C25" s="1110"/>
      <c r="D25" s="1111"/>
      <c r="E25" s="1112"/>
      <c r="F25" s="1112"/>
      <c r="G25" s="1112"/>
      <c r="H25" s="1112"/>
      <c r="I25" s="1112"/>
      <c r="J25" s="1112"/>
      <c r="K25" s="1112"/>
      <c r="L25" s="1112"/>
      <c r="M25" s="1112"/>
      <c r="N25" s="1108"/>
    </row>
    <row r="26" spans="2:14" x14ac:dyDescent="0.2">
      <c r="B26" s="1032"/>
      <c r="C26" s="1113"/>
      <c r="D26" s="1114"/>
      <c r="E26" s="1032"/>
      <c r="F26" s="1032"/>
      <c r="G26" s="1025"/>
      <c r="H26" s="1025"/>
      <c r="I26" s="1025"/>
      <c r="J26" s="1025"/>
      <c r="K26" s="1025"/>
      <c r="L26" s="1025"/>
      <c r="M26" s="1032"/>
      <c r="N26" s="1108"/>
    </row>
    <row r="27" spans="2:14" ht="13.5" customHeight="1" x14ac:dyDescent="0.2">
      <c r="B27" s="1057" t="s">
        <v>1711</v>
      </c>
      <c r="C27" s="1113"/>
      <c r="D27" s="1114"/>
      <c r="E27" s="1032"/>
      <c r="F27" s="1032"/>
      <c r="G27" s="1025"/>
      <c r="H27" s="1025"/>
      <c r="I27" s="1025"/>
      <c r="J27" s="1025"/>
      <c r="K27" s="1025"/>
      <c r="L27" s="1025"/>
      <c r="M27" s="1032"/>
      <c r="N27" s="1108"/>
    </row>
    <row r="28" spans="2:14" ht="8.25" customHeight="1" x14ac:dyDescent="0.2">
      <c r="B28" s="1057"/>
      <c r="C28" s="1113"/>
      <c r="D28" s="1114"/>
      <c r="E28" s="1032"/>
      <c r="F28" s="1032"/>
      <c r="G28" s="1025"/>
      <c r="H28" s="1025"/>
      <c r="I28" s="1025"/>
      <c r="J28" s="1025"/>
      <c r="K28" s="1025"/>
      <c r="L28" s="1025"/>
      <c r="M28" s="1032"/>
      <c r="N28" s="1108"/>
    </row>
    <row r="29" spans="2:14" s="1053" customFormat="1" x14ac:dyDescent="0.2">
      <c r="B29" s="1052" t="s">
        <v>1809</v>
      </c>
      <c r="C29" s="1115"/>
      <c r="D29" s="1116"/>
      <c r="K29" s="1901"/>
      <c r="L29" s="1901"/>
    </row>
    <row r="30" spans="2:14" x14ac:dyDescent="0.2">
      <c r="B30" s="1052"/>
      <c r="C30" s="1115"/>
      <c r="D30" s="1116"/>
      <c r="E30" s="1053"/>
      <c r="F30" s="1053"/>
      <c r="G30" s="294"/>
      <c r="H30" s="294"/>
      <c r="I30" s="294"/>
      <c r="J30" s="294"/>
    </row>
    <row r="31" spans="2:14" ht="13.5" customHeight="1" x14ac:dyDescent="0.2">
      <c r="B31" s="1051" t="s">
        <v>1235</v>
      </c>
      <c r="G31" s="294"/>
      <c r="H31" s="294"/>
      <c r="I31" s="294"/>
      <c r="J31" s="294"/>
    </row>
    <row r="32" spans="2:14" ht="13.5" customHeight="1" x14ac:dyDescent="0.2">
      <c r="B32" s="1119"/>
      <c r="C32" s="1120"/>
      <c r="D32" s="1121"/>
      <c r="E32" s="1072"/>
      <c r="F32" s="1072"/>
      <c r="G32" s="1072"/>
      <c r="H32" s="1072"/>
      <c r="I32" s="1072"/>
      <c r="J32" s="1072"/>
      <c r="K32" s="1122"/>
      <c r="L32" s="1122"/>
      <c r="M32" s="1072"/>
    </row>
    <row r="33" spans="2:13" ht="9.6" customHeight="1" x14ac:dyDescent="0.2">
      <c r="B33" s="1123"/>
      <c r="G33" s="294"/>
      <c r="H33" s="294"/>
      <c r="I33" s="294"/>
      <c r="J33" s="294"/>
    </row>
    <row r="34" spans="2:13" ht="11.25" customHeight="1" x14ac:dyDescent="0.2">
      <c r="B34" s="1124" t="s">
        <v>1712</v>
      </c>
      <c r="C34" s="1125"/>
      <c r="D34" s="1125"/>
      <c r="E34" s="1125"/>
      <c r="F34" s="1125"/>
      <c r="G34" s="1125"/>
      <c r="H34" s="1125"/>
      <c r="I34" s="1126"/>
      <c r="J34" s="1126"/>
      <c r="K34" s="1126"/>
      <c r="L34" s="1126"/>
      <c r="M34" s="1126"/>
    </row>
    <row r="35" spans="2:13" ht="11.25" customHeight="1" x14ac:dyDescent="0.2">
      <c r="B35" s="1127" t="s">
        <v>1567</v>
      </c>
      <c r="C35" s="1126"/>
      <c r="D35" s="1126"/>
      <c r="E35" s="1126"/>
      <c r="F35" s="1126"/>
      <c r="G35" s="1126"/>
      <c r="H35" s="1126"/>
      <c r="I35" s="1126"/>
      <c r="J35" s="1126"/>
      <c r="K35" s="1126"/>
      <c r="L35" s="1126"/>
      <c r="M35" s="1126"/>
    </row>
    <row r="36" spans="2:13" ht="3.95" customHeight="1" x14ac:dyDescent="0.2">
      <c r="B36" s="1127"/>
      <c r="C36" s="1126"/>
      <c r="D36" s="1126"/>
      <c r="E36" s="1126"/>
      <c r="F36" s="1126"/>
      <c r="G36" s="1126"/>
      <c r="H36" s="1126"/>
      <c r="I36" s="1126"/>
      <c r="J36" s="1126"/>
      <c r="K36" s="1126"/>
      <c r="L36" s="1126"/>
      <c r="M36" s="1126"/>
    </row>
    <row r="37" spans="2:13" ht="11.25" customHeight="1" x14ac:dyDescent="0.2">
      <c r="B37" s="1124" t="s">
        <v>1713</v>
      </c>
      <c r="C37" s="1126"/>
      <c r="D37" s="1126"/>
      <c r="E37" s="1126"/>
      <c r="F37" s="1126"/>
      <c r="G37" s="1126"/>
      <c r="H37" s="1126"/>
      <c r="I37" s="1126"/>
      <c r="J37" s="1126"/>
      <c r="K37" s="1126"/>
      <c r="L37" s="1126"/>
      <c r="M37" s="1126"/>
    </row>
    <row r="38" spans="2:13" ht="11.25" customHeight="1" x14ac:dyDescent="0.2">
      <c r="B38" s="1075" t="s">
        <v>1568</v>
      </c>
      <c r="C38" s="1128"/>
      <c r="D38" s="1129"/>
      <c r="E38" s="1075"/>
      <c r="F38" s="1075"/>
      <c r="G38" s="1075"/>
      <c r="H38" s="1075"/>
      <c r="I38" s="1075"/>
      <c r="J38" s="1075"/>
      <c r="K38" s="1130"/>
      <c r="L38" s="1130"/>
      <c r="M38" s="1075"/>
    </row>
    <row r="39" spans="2:13" ht="3.95" customHeight="1" x14ac:dyDescent="0.2">
      <c r="B39" s="1075"/>
      <c r="C39" s="1128"/>
      <c r="D39" s="1129"/>
      <c r="E39" s="1075"/>
      <c r="F39" s="1075"/>
      <c r="G39" s="1075"/>
      <c r="H39" s="1075"/>
      <c r="I39" s="1075"/>
      <c r="J39" s="1075"/>
      <c r="K39" s="1130"/>
      <c r="L39" s="1130"/>
      <c r="M39" s="1075"/>
    </row>
    <row r="40" spans="2:13" ht="11.25" customHeight="1" x14ac:dyDescent="0.2">
      <c r="B40" s="1131" t="s">
        <v>1714</v>
      </c>
      <c r="C40" s="1128"/>
      <c r="D40" s="1129"/>
      <c r="E40" s="1075"/>
      <c r="F40" s="1075"/>
      <c r="G40" s="1075"/>
      <c r="H40" s="1075"/>
      <c r="I40" s="1075"/>
      <c r="J40" s="1075"/>
      <c r="K40" s="1130"/>
      <c r="L40" s="1130"/>
      <c r="M40" s="1075"/>
    </row>
    <row r="41" spans="2:13" ht="3.95" customHeight="1" x14ac:dyDescent="0.2">
      <c r="B41" s="1131"/>
      <c r="C41" s="1128"/>
      <c r="D41" s="1129"/>
      <c r="E41" s="1075"/>
      <c r="F41" s="1075"/>
      <c r="G41" s="1075"/>
      <c r="H41" s="1075"/>
      <c r="I41" s="1075"/>
      <c r="J41" s="1075"/>
      <c r="K41" s="1130"/>
      <c r="L41" s="1130"/>
      <c r="M41" s="1075"/>
    </row>
    <row r="42" spans="2:13" ht="11.25" customHeight="1" x14ac:dyDescent="0.2">
      <c r="B42" s="1132" t="s">
        <v>1715</v>
      </c>
      <c r="C42" s="1128"/>
      <c r="D42" s="1129"/>
      <c r="E42" s="1075"/>
      <c r="F42" s="1075"/>
      <c r="G42" s="1075"/>
      <c r="H42" s="1075"/>
      <c r="I42" s="1075"/>
      <c r="J42" s="1075"/>
      <c r="K42" s="1130"/>
      <c r="L42" s="1130"/>
      <c r="M42" s="1075"/>
    </row>
    <row r="43" spans="2:13" ht="11.25" customHeight="1" x14ac:dyDescent="0.2">
      <c r="B43" s="1075" t="s">
        <v>1569</v>
      </c>
      <c r="G43" s="294"/>
      <c r="H43" s="294"/>
      <c r="I43" s="294"/>
      <c r="J43" s="294"/>
    </row>
    <row r="44" spans="2:13" ht="11.1" customHeight="1" x14ac:dyDescent="0.2">
      <c r="B44" s="1075"/>
      <c r="G44" s="294"/>
      <c r="H44" s="294"/>
      <c r="I44" s="294"/>
      <c r="J44" s="294"/>
    </row>
    <row r="45" spans="2:13" ht="11.1" customHeight="1" x14ac:dyDescent="0.2">
      <c r="B45" s="1075"/>
      <c r="G45" s="294"/>
      <c r="H45" s="294"/>
      <c r="I45" s="294"/>
      <c r="J45" s="294"/>
    </row>
    <row r="46" spans="2:13" ht="13.5" customHeight="1" x14ac:dyDescent="0.2">
      <c r="M46" s="1133"/>
    </row>
    <row r="47" spans="2:13" ht="13.5" customHeight="1" x14ac:dyDescent="0.2">
      <c r="M47" s="1133"/>
    </row>
    <row r="48" spans="2:13" ht="13.5" customHeight="1" x14ac:dyDescent="0.2">
      <c r="M48" s="1133"/>
    </row>
    <row r="49" spans="7:10" ht="13.5" customHeight="1" x14ac:dyDescent="0.2">
      <c r="G49" s="294"/>
      <c r="H49" s="294"/>
      <c r="I49" s="294"/>
      <c r="J49" s="294"/>
    </row>
    <row r="50" spans="7:10" ht="13.5" customHeight="1" x14ac:dyDescent="0.2">
      <c r="G50" s="294"/>
      <c r="H50" s="294"/>
      <c r="I50" s="294"/>
      <c r="J50" s="294"/>
    </row>
    <row r="51" spans="7:10" ht="13.5" customHeight="1" x14ac:dyDescent="0.2">
      <c r="G51" s="294"/>
      <c r="H51" s="294"/>
      <c r="I51" s="294"/>
      <c r="J51" s="294"/>
    </row>
    <row r="52" spans="7:10" ht="13.5" customHeight="1" x14ac:dyDescent="0.2">
      <c r="G52" s="294"/>
      <c r="H52" s="294"/>
      <c r="I52" s="294"/>
      <c r="J52" s="294"/>
    </row>
    <row r="53" spans="7:10" ht="13.5" customHeight="1" x14ac:dyDescent="0.2">
      <c r="G53" s="294"/>
      <c r="H53" s="294"/>
      <c r="I53" s="294"/>
      <c r="J53" s="294"/>
    </row>
    <row r="54" spans="7:10" ht="13.5" customHeight="1" x14ac:dyDescent="0.2">
      <c r="G54" s="294"/>
      <c r="H54" s="294"/>
      <c r="I54" s="294"/>
      <c r="J54" s="294"/>
    </row>
    <row r="55" spans="7:10" ht="13.5" customHeight="1" x14ac:dyDescent="0.2">
      <c r="G55" s="294"/>
      <c r="H55" s="294"/>
      <c r="I55" s="294"/>
      <c r="J55" s="294"/>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rintOptions horizontalCentered="1"/>
  <pageMargins left="0.25" right="0.25"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4"/>
  <sheetViews>
    <sheetView showGridLines="0" zoomScaleNormal="100" zoomScaleSheetLayoutView="100" workbookViewId="0">
      <selection activeCell="I16" sqref="I16"/>
    </sheetView>
  </sheetViews>
  <sheetFormatPr defaultColWidth="33.5703125" defaultRowHeight="12.75" x14ac:dyDescent="0.2"/>
  <cols>
    <col min="1" max="1" width="0.140625" style="1053" customWidth="1"/>
    <col min="2" max="2" width="32.85546875" style="1053" customWidth="1"/>
    <col min="3" max="3" width="8.7109375" style="1115" customWidth="1"/>
    <col min="4" max="4" width="12.7109375" style="1116" customWidth="1"/>
    <col min="5" max="6" width="11.7109375" style="1053" customWidth="1"/>
    <col min="7" max="7" width="11.7109375" style="1901" customWidth="1"/>
    <col min="8" max="8" width="13.7109375" style="1901" bestFit="1" customWidth="1"/>
    <col min="9" max="9" width="11.7109375" style="1901" customWidth="1"/>
    <col min="10" max="10" width="13.7109375" style="1901" customWidth="1"/>
    <col min="11" max="12" width="11.7109375" style="1901" customWidth="1"/>
    <col min="13" max="13" width="11.7109375" style="1053" customWidth="1"/>
    <col min="14" max="14" width="2.7109375" style="1053" customWidth="1"/>
    <col min="15" max="16384" width="33.5703125" style="1053"/>
  </cols>
  <sheetData>
    <row r="1" spans="2:14" ht="11.85" customHeight="1" x14ac:dyDescent="0.2">
      <c r="B1" s="2618" t="str">
        <f>'Single Audit Cover'!A7</f>
        <v>Hazel Crest SD 152-5</v>
      </c>
      <c r="C1" s="2619"/>
      <c r="D1" s="2619"/>
      <c r="E1" s="2619"/>
      <c r="F1" s="2619"/>
      <c r="G1" s="2619"/>
      <c r="H1" s="2619"/>
      <c r="I1" s="2619"/>
      <c r="J1" s="2619"/>
      <c r="K1" s="2619"/>
      <c r="L1" s="2619"/>
      <c r="M1" s="2619"/>
    </row>
    <row r="2" spans="2:14" ht="15" x14ac:dyDescent="0.2">
      <c r="B2" s="2620">
        <f>'Single Audit Cover'!E7</f>
        <v>7016152502</v>
      </c>
      <c r="C2" s="2620"/>
      <c r="D2" s="2620"/>
      <c r="E2" s="2620"/>
      <c r="F2" s="2620"/>
      <c r="G2" s="2620"/>
      <c r="H2" s="2620"/>
      <c r="I2" s="2620"/>
      <c r="J2" s="2620"/>
      <c r="K2" s="2620"/>
      <c r="L2" s="2620"/>
      <c r="M2" s="2620"/>
      <c r="N2" s="2024"/>
    </row>
    <row r="3" spans="2:14" ht="15" x14ac:dyDescent="0.2">
      <c r="B3" s="2621" t="s">
        <v>1208</v>
      </c>
      <c r="C3" s="2621"/>
      <c r="D3" s="2621"/>
      <c r="E3" s="2621"/>
      <c r="F3" s="2621"/>
      <c r="G3" s="2621"/>
      <c r="H3" s="2621"/>
      <c r="I3" s="2621"/>
      <c r="J3" s="2621"/>
      <c r="K3" s="2621"/>
      <c r="L3" s="2621"/>
      <c r="M3" s="2621"/>
      <c r="N3" s="2024"/>
    </row>
    <row r="4" spans="2:14" ht="15" x14ac:dyDescent="0.2">
      <c r="B4" s="2622" t="str">
        <f>'Single Audit Cover'!A4</f>
        <v>Year Ending June 30, 2020</v>
      </c>
      <c r="C4" s="2622"/>
      <c r="D4" s="2622"/>
      <c r="E4" s="2622"/>
      <c r="F4" s="2622"/>
      <c r="G4" s="2622"/>
      <c r="H4" s="2622"/>
      <c r="I4" s="2622"/>
      <c r="J4" s="2622"/>
      <c r="K4" s="2622"/>
      <c r="L4" s="2622"/>
      <c r="M4" s="2622"/>
      <c r="N4" s="2024"/>
    </row>
    <row r="6" spans="2:14" x14ac:dyDescent="0.2">
      <c r="B6" s="2025"/>
      <c r="C6" s="2026"/>
      <c r="D6" s="2027" t="s">
        <v>1254</v>
      </c>
      <c r="E6" s="1902" t="s">
        <v>524</v>
      </c>
      <c r="F6" s="2028"/>
      <c r="G6" s="2029" t="s">
        <v>1708</v>
      </c>
      <c r="H6" s="1902"/>
      <c r="I6" s="1902"/>
      <c r="J6" s="1902"/>
      <c r="K6" s="2030"/>
      <c r="L6" s="2030"/>
      <c r="M6" s="2031"/>
    </row>
    <row r="7" spans="2:14" x14ac:dyDescent="0.2">
      <c r="B7" s="2032" t="s">
        <v>1564</v>
      </c>
      <c r="C7" s="2033"/>
      <c r="D7" s="2034"/>
      <c r="E7" s="2022"/>
      <c r="F7" s="2035"/>
      <c r="G7" s="2022"/>
      <c r="H7" s="2021" t="s">
        <v>1251</v>
      </c>
      <c r="I7" s="2022"/>
      <c r="J7" s="2021" t="s">
        <v>1251</v>
      </c>
      <c r="K7" s="2021"/>
      <c r="L7" s="2021" t="s">
        <v>1249</v>
      </c>
      <c r="M7" s="2036"/>
    </row>
    <row r="8" spans="2:14" x14ac:dyDescent="0.2">
      <c r="B8" s="1369"/>
      <c r="C8" s="2033" t="s">
        <v>1253</v>
      </c>
      <c r="D8" s="2034" t="s">
        <v>1252</v>
      </c>
      <c r="E8" s="2037" t="s">
        <v>1251</v>
      </c>
      <c r="F8" s="2036" t="s">
        <v>1251</v>
      </c>
      <c r="G8" s="2038" t="s">
        <v>1251</v>
      </c>
      <c r="H8" s="1900" t="str">
        <f>"7/1/"&amp;MID('AFR20'!$E$2,3,2)-2&amp;"-6/30/"&amp;MID('AFR20'!$E$2,3,2)-1</f>
        <v>7/1/18-6/30/19</v>
      </c>
      <c r="I8" s="2021" t="s">
        <v>1251</v>
      </c>
      <c r="J8" s="1900" t="str">
        <f>"7/1/"&amp;MID('AFR20'!$E$2,3,2)-1&amp;"-6/30/"&amp;MID('AFR20'!$E$2,3,2)</f>
        <v>7/1/19-6/30/20</v>
      </c>
      <c r="K8" s="2021" t="s">
        <v>1250</v>
      </c>
      <c r="L8" s="2021" t="s">
        <v>1246</v>
      </c>
      <c r="M8" s="2036" t="s">
        <v>30</v>
      </c>
    </row>
    <row r="9" spans="2:14" ht="14.25" x14ac:dyDescent="0.2">
      <c r="B9" s="2039" t="s">
        <v>1248</v>
      </c>
      <c r="C9" s="2033" t="s">
        <v>1709</v>
      </c>
      <c r="D9" s="2034" t="s">
        <v>1710</v>
      </c>
      <c r="E9" s="1900" t="str">
        <f>"7/1/"&amp;MID('AFR20'!$E$2,3,2)-2&amp;"-6/30/"&amp;MID('AFR20'!$E$2,3,2)-1</f>
        <v>7/1/18-6/30/19</v>
      </c>
      <c r="F9" s="1900" t="str">
        <f>"7/1/"&amp;MID('AFR20'!$E$2,3,2)-1&amp;"-6/30/"&amp;MID('AFR20'!$E$2,3,2)</f>
        <v>7/1/19-6/30/20</v>
      </c>
      <c r="G9" s="1900" t="str">
        <f>"7/1/"&amp;MID('AFR20'!$E$2,3,2)-2&amp;"-6/30/"&amp;MID('AFR20'!$E$2,3,2)-1</f>
        <v>7/1/18-6/30/19</v>
      </c>
      <c r="H9" s="2021" t="s">
        <v>1565</v>
      </c>
      <c r="I9" s="1900" t="str">
        <f>"7/1/"&amp;MID('AFR20'!$E$2,3,2)-1&amp;"-6/30/"&amp;MID('AFR20'!$E$2,3,2)</f>
        <v>7/1/19-6/30/20</v>
      </c>
      <c r="J9" s="2021" t="s">
        <v>1565</v>
      </c>
      <c r="K9" s="2021" t="s">
        <v>1247</v>
      </c>
      <c r="L9" s="2040" t="s">
        <v>1566</v>
      </c>
      <c r="M9" s="2036"/>
    </row>
    <row r="10" spans="2:14" ht="11.85" customHeight="1" x14ac:dyDescent="0.2">
      <c r="B10" s="2039" t="s">
        <v>1245</v>
      </c>
      <c r="C10" s="2041" t="s">
        <v>1244</v>
      </c>
      <c r="D10" s="2042" t="s">
        <v>1243</v>
      </c>
      <c r="E10" s="2043" t="s">
        <v>1242</v>
      </c>
      <c r="F10" s="2044" t="s">
        <v>1241</v>
      </c>
      <c r="G10" s="2045" t="s">
        <v>1240</v>
      </c>
      <c r="H10" s="2023" t="s">
        <v>1255</v>
      </c>
      <c r="I10" s="2023" t="s">
        <v>1239</v>
      </c>
      <c r="J10" s="2023" t="s">
        <v>1255</v>
      </c>
      <c r="K10" s="2023" t="s">
        <v>1238</v>
      </c>
      <c r="L10" s="2023" t="s">
        <v>1237</v>
      </c>
      <c r="M10" s="2044" t="s">
        <v>1236</v>
      </c>
    </row>
    <row r="11" spans="2:14" ht="20.100000000000001" customHeight="1" x14ac:dyDescent="0.2">
      <c r="B11" s="2046" t="s">
        <v>2096</v>
      </c>
      <c r="C11" s="2047"/>
      <c r="D11" s="2048"/>
      <c r="E11" s="2049"/>
      <c r="F11" s="2049"/>
      <c r="G11" s="2049"/>
      <c r="H11" s="2049"/>
      <c r="I11" s="2049"/>
      <c r="J11" s="2049"/>
      <c r="K11" s="2049"/>
      <c r="L11" s="2049"/>
      <c r="M11" s="2049"/>
    </row>
    <row r="12" spans="2:14" ht="20.100000000000001" customHeight="1" x14ac:dyDescent="0.2">
      <c r="B12" s="2046" t="s">
        <v>2097</v>
      </c>
      <c r="C12" s="2050">
        <v>10.555</v>
      </c>
      <c r="D12" s="2051" t="s">
        <v>2105</v>
      </c>
      <c r="E12" s="2052"/>
      <c r="F12" s="2052">
        <v>269343</v>
      </c>
      <c r="G12" s="2052"/>
      <c r="H12" s="2052"/>
      <c r="I12" s="2052">
        <v>269343</v>
      </c>
      <c r="J12" s="2052"/>
      <c r="K12" s="2052"/>
      <c r="L12" s="2049">
        <f t="shared" ref="L12:L22" si="0">+G12+I12+K12</f>
        <v>269343</v>
      </c>
      <c r="M12" s="2052" t="s">
        <v>2075</v>
      </c>
    </row>
    <row r="13" spans="2:14" ht="20.100000000000001" customHeight="1" x14ac:dyDescent="0.2">
      <c r="B13" s="2046" t="s">
        <v>2097</v>
      </c>
      <c r="C13" s="2050">
        <v>10.555</v>
      </c>
      <c r="D13" s="2051" t="s">
        <v>2106</v>
      </c>
      <c r="E13" s="2052">
        <v>358615</v>
      </c>
      <c r="F13" s="2052">
        <v>72623</v>
      </c>
      <c r="G13" s="2052">
        <v>358615</v>
      </c>
      <c r="H13" s="2052"/>
      <c r="I13" s="2052">
        <v>72623</v>
      </c>
      <c r="J13" s="2052"/>
      <c r="K13" s="2052"/>
      <c r="L13" s="2049">
        <f t="shared" si="0"/>
        <v>431238</v>
      </c>
      <c r="M13" s="2052" t="s">
        <v>2075</v>
      </c>
    </row>
    <row r="14" spans="2:14" ht="20.100000000000001" customHeight="1" x14ac:dyDescent="0.2">
      <c r="B14" s="2046" t="s">
        <v>2098</v>
      </c>
      <c r="C14" s="2050">
        <v>10.553000000000001</v>
      </c>
      <c r="D14" s="2051" t="s">
        <v>2107</v>
      </c>
      <c r="E14" s="2052"/>
      <c r="F14" s="2052">
        <v>120230</v>
      </c>
      <c r="G14" s="2052"/>
      <c r="H14" s="2052"/>
      <c r="I14" s="2052">
        <v>120230</v>
      </c>
      <c r="J14" s="2052"/>
      <c r="K14" s="2052"/>
      <c r="L14" s="2049">
        <f t="shared" si="0"/>
        <v>120230</v>
      </c>
      <c r="M14" s="2052" t="s">
        <v>2075</v>
      </c>
    </row>
    <row r="15" spans="2:14" ht="20.100000000000001" customHeight="1" x14ac:dyDescent="0.2">
      <c r="B15" s="2046" t="s">
        <v>2098</v>
      </c>
      <c r="C15" s="2050">
        <v>10.553000000000001</v>
      </c>
      <c r="D15" s="2051" t="s">
        <v>2108</v>
      </c>
      <c r="E15" s="2052">
        <v>172033</v>
      </c>
      <c r="F15" s="2052">
        <v>32573</v>
      </c>
      <c r="G15" s="2052">
        <v>172033</v>
      </c>
      <c r="H15" s="2052"/>
      <c r="I15" s="2052">
        <v>32573</v>
      </c>
      <c r="J15" s="2052"/>
      <c r="K15" s="2052"/>
      <c r="L15" s="2049">
        <f t="shared" si="0"/>
        <v>204606</v>
      </c>
      <c r="M15" s="2052" t="s">
        <v>2075</v>
      </c>
    </row>
    <row r="16" spans="2:14" ht="20.100000000000001" customHeight="1" x14ac:dyDescent="0.2">
      <c r="B16" s="2046" t="s">
        <v>2099</v>
      </c>
      <c r="C16" s="2050">
        <v>10.558</v>
      </c>
      <c r="D16" s="2051" t="s">
        <v>2109</v>
      </c>
      <c r="E16" s="2052"/>
      <c r="F16" s="2052">
        <v>23355</v>
      </c>
      <c r="G16" s="2052"/>
      <c r="H16" s="2052"/>
      <c r="I16" s="2052">
        <v>23355</v>
      </c>
      <c r="J16" s="2052"/>
      <c r="K16" s="2052"/>
      <c r="L16" s="2049">
        <f t="shared" si="0"/>
        <v>23355</v>
      </c>
      <c r="M16" s="2052" t="s">
        <v>2075</v>
      </c>
    </row>
    <row r="17" spans="2:14" ht="20.100000000000001" customHeight="1" x14ac:dyDescent="0.2">
      <c r="B17" s="2046" t="s">
        <v>2099</v>
      </c>
      <c r="C17" s="2050">
        <v>10.558</v>
      </c>
      <c r="D17" s="2051" t="s">
        <v>2110</v>
      </c>
      <c r="E17" s="2052">
        <v>22738</v>
      </c>
      <c r="F17" s="2052"/>
      <c r="G17" s="2052">
        <v>22738</v>
      </c>
      <c r="H17" s="2052"/>
      <c r="I17" s="2052"/>
      <c r="J17" s="2052"/>
      <c r="K17" s="2052"/>
      <c r="L17" s="2049">
        <f t="shared" si="0"/>
        <v>22738</v>
      </c>
      <c r="M17" s="2052" t="s">
        <v>2075</v>
      </c>
    </row>
    <row r="18" spans="2:14" ht="20.100000000000001" customHeight="1" x14ac:dyDescent="0.2">
      <c r="B18" s="2046" t="s">
        <v>2100</v>
      </c>
      <c r="C18" s="2050">
        <v>10.555</v>
      </c>
      <c r="D18" s="2051" t="s">
        <v>2111</v>
      </c>
      <c r="E18" s="2052"/>
      <c r="F18" s="2052">
        <v>26460</v>
      </c>
      <c r="G18" s="2052"/>
      <c r="H18" s="2052"/>
      <c r="I18" s="2052">
        <v>26460</v>
      </c>
      <c r="J18" s="2052"/>
      <c r="K18" s="2052"/>
      <c r="L18" s="2049">
        <f t="shared" si="0"/>
        <v>26460</v>
      </c>
      <c r="M18" s="2052" t="s">
        <v>2075</v>
      </c>
    </row>
    <row r="19" spans="2:14" ht="20.100000000000001" customHeight="1" x14ac:dyDescent="0.2">
      <c r="B19" s="2046" t="s">
        <v>2101</v>
      </c>
      <c r="C19" s="2050">
        <v>10.555</v>
      </c>
      <c r="D19" s="2051" t="s">
        <v>2111</v>
      </c>
      <c r="E19" s="2052">
        <v>27899</v>
      </c>
      <c r="F19" s="2052"/>
      <c r="G19" s="2052">
        <v>27899</v>
      </c>
      <c r="H19" s="2052"/>
      <c r="I19" s="2052"/>
      <c r="J19" s="2052"/>
      <c r="K19" s="2052"/>
      <c r="L19" s="2049">
        <f t="shared" si="0"/>
        <v>27899</v>
      </c>
      <c r="M19" s="2052" t="s">
        <v>2075</v>
      </c>
    </row>
    <row r="20" spans="2:14" ht="20.100000000000001" customHeight="1" x14ac:dyDescent="0.2">
      <c r="B20" s="2046" t="s">
        <v>2102</v>
      </c>
      <c r="C20" s="2050">
        <v>10.555</v>
      </c>
      <c r="D20" s="2051" t="s">
        <v>2111</v>
      </c>
      <c r="E20" s="2052"/>
      <c r="F20" s="2052">
        <v>14397</v>
      </c>
      <c r="G20" s="2052"/>
      <c r="H20" s="2052"/>
      <c r="I20" s="2052">
        <v>14397</v>
      </c>
      <c r="J20" s="2052"/>
      <c r="K20" s="2052"/>
      <c r="L20" s="2049">
        <f t="shared" si="0"/>
        <v>14397</v>
      </c>
      <c r="M20" s="2052" t="s">
        <v>2075</v>
      </c>
    </row>
    <row r="21" spans="2:14" ht="20.100000000000001" customHeight="1" x14ac:dyDescent="0.2">
      <c r="B21" s="2046" t="s">
        <v>2103</v>
      </c>
      <c r="C21" s="2050">
        <v>10.555</v>
      </c>
      <c r="D21" s="2051" t="s">
        <v>2111</v>
      </c>
      <c r="E21" s="2052">
        <v>15709</v>
      </c>
      <c r="F21" s="2052"/>
      <c r="G21" s="2052">
        <v>15709</v>
      </c>
      <c r="H21" s="2052"/>
      <c r="I21" s="2052"/>
      <c r="J21" s="2052"/>
      <c r="K21" s="2052"/>
      <c r="L21" s="2049">
        <f t="shared" si="0"/>
        <v>15709</v>
      </c>
      <c r="M21" s="2052" t="s">
        <v>2075</v>
      </c>
    </row>
    <row r="22" spans="2:14" ht="20.100000000000001" customHeight="1" x14ac:dyDescent="0.2">
      <c r="B22" s="2046" t="s">
        <v>2104</v>
      </c>
      <c r="C22" s="2050">
        <v>10.558999999999999</v>
      </c>
      <c r="D22" s="2051" t="s">
        <v>2112</v>
      </c>
      <c r="E22" s="2052"/>
      <c r="F22" s="2052">
        <v>149804</v>
      </c>
      <c r="G22" s="2052"/>
      <c r="H22" s="2052"/>
      <c r="I22" s="2052">
        <v>149804</v>
      </c>
      <c r="J22" s="2052"/>
      <c r="K22" s="2052"/>
      <c r="L22" s="2049">
        <f t="shared" si="0"/>
        <v>149804</v>
      </c>
      <c r="M22" s="2052" t="s">
        <v>2075</v>
      </c>
    </row>
    <row r="23" spans="2:14" ht="20.100000000000001" customHeight="1" x14ac:dyDescent="0.2">
      <c r="B23" s="2046" t="s">
        <v>2088</v>
      </c>
      <c r="C23" s="2050"/>
      <c r="D23" s="2051"/>
      <c r="E23" s="2052">
        <f t="shared" ref="E23:L23" si="1">SUM(E12:E22)</f>
        <v>596994</v>
      </c>
      <c r="F23" s="2052">
        <f t="shared" si="1"/>
        <v>708785</v>
      </c>
      <c r="G23" s="2052">
        <f t="shared" si="1"/>
        <v>596994</v>
      </c>
      <c r="H23" s="2052">
        <f t="shared" si="1"/>
        <v>0</v>
      </c>
      <c r="I23" s="2052">
        <f t="shared" si="1"/>
        <v>708785</v>
      </c>
      <c r="J23" s="2052">
        <f t="shared" si="1"/>
        <v>0</v>
      </c>
      <c r="K23" s="2052">
        <f t="shared" si="1"/>
        <v>0</v>
      </c>
      <c r="L23" s="2049">
        <f t="shared" si="1"/>
        <v>1305779</v>
      </c>
      <c r="M23" s="2052"/>
    </row>
    <row r="24" spans="2:14" ht="9" customHeight="1" x14ac:dyDescent="0.2">
      <c r="B24" s="2046"/>
      <c r="C24" s="2050"/>
      <c r="D24" s="2051"/>
      <c r="E24" s="2052"/>
      <c r="F24" s="2052"/>
      <c r="G24" s="2052"/>
      <c r="H24" s="2052"/>
      <c r="I24" s="2052"/>
      <c r="J24" s="2052"/>
      <c r="K24" s="2052"/>
      <c r="L24" s="2049"/>
      <c r="M24" s="2052"/>
    </row>
    <row r="25" spans="2:14" ht="20.100000000000001" customHeight="1" x14ac:dyDescent="0.2">
      <c r="B25" s="2046" t="s">
        <v>2113</v>
      </c>
      <c r="C25" s="2050"/>
      <c r="D25" s="2051"/>
      <c r="E25" s="2052"/>
      <c r="F25" s="2052"/>
      <c r="G25" s="2052"/>
      <c r="H25" s="2052"/>
      <c r="I25" s="2052"/>
      <c r="J25" s="2052"/>
      <c r="K25" s="2052"/>
      <c r="L25" s="2049"/>
      <c r="M25" s="2052"/>
    </row>
    <row r="26" spans="2:14" ht="20.100000000000001" customHeight="1" x14ac:dyDescent="0.2">
      <c r="B26" s="2046" t="s">
        <v>2114</v>
      </c>
      <c r="C26" s="2050">
        <v>93.778000000000006</v>
      </c>
      <c r="D26" s="2051" t="s">
        <v>2115</v>
      </c>
      <c r="E26" s="2052"/>
      <c r="F26" s="2052"/>
      <c r="G26" s="2052"/>
      <c r="H26" s="2052"/>
      <c r="I26" s="2052">
        <v>40057</v>
      </c>
      <c r="J26" s="2052"/>
      <c r="K26" s="2052"/>
      <c r="L26" s="2049">
        <f>+G26+I26+K26</f>
        <v>40057</v>
      </c>
      <c r="M26" s="2052" t="s">
        <v>2075</v>
      </c>
    </row>
    <row r="27" spans="2:14" ht="20.100000000000001" customHeight="1" x14ac:dyDescent="0.2">
      <c r="B27" s="2046" t="s">
        <v>2114</v>
      </c>
      <c r="C27" s="2050">
        <v>93.778000000000006</v>
      </c>
      <c r="D27" s="2051" t="s">
        <v>2116</v>
      </c>
      <c r="E27" s="2052"/>
      <c r="F27" s="2052">
        <v>28085</v>
      </c>
      <c r="G27" s="2052">
        <v>29256</v>
      </c>
      <c r="H27" s="2052"/>
      <c r="I27" s="2052"/>
      <c r="J27" s="2052"/>
      <c r="K27" s="2052"/>
      <c r="L27" s="2049">
        <f>+G27+I27+K27</f>
        <v>29256</v>
      </c>
      <c r="M27" s="2052" t="s">
        <v>2075</v>
      </c>
    </row>
    <row r="28" spans="2:14" ht="20.100000000000001" customHeight="1" x14ac:dyDescent="0.2">
      <c r="B28" s="2046" t="s">
        <v>2088</v>
      </c>
      <c r="C28" s="2050"/>
      <c r="D28" s="2051"/>
      <c r="E28" s="2052">
        <f t="shared" ref="E28:L28" si="2">SUM(E26:E27)</f>
        <v>0</v>
      </c>
      <c r="F28" s="2052">
        <f t="shared" si="2"/>
        <v>28085</v>
      </c>
      <c r="G28" s="2052">
        <f t="shared" si="2"/>
        <v>29256</v>
      </c>
      <c r="H28" s="2052">
        <f t="shared" si="2"/>
        <v>0</v>
      </c>
      <c r="I28" s="2052">
        <f t="shared" si="2"/>
        <v>40057</v>
      </c>
      <c r="J28" s="2052">
        <f t="shared" si="2"/>
        <v>0</v>
      </c>
      <c r="K28" s="2052">
        <f t="shared" si="2"/>
        <v>0</v>
      </c>
      <c r="L28" s="2049">
        <f t="shared" si="2"/>
        <v>69313</v>
      </c>
      <c r="M28" s="2052"/>
    </row>
    <row r="29" spans="2:14" ht="9" customHeight="1" x14ac:dyDescent="0.2">
      <c r="B29" s="2046"/>
      <c r="C29" s="2050"/>
      <c r="D29" s="2051"/>
      <c r="E29" s="2052"/>
      <c r="F29" s="2052"/>
      <c r="G29" s="2052"/>
      <c r="H29" s="2052"/>
      <c r="I29" s="2052"/>
      <c r="J29" s="2052"/>
      <c r="K29" s="2052"/>
      <c r="L29" s="2049"/>
      <c r="M29" s="2052"/>
    </row>
    <row r="30" spans="2:14" ht="20.100000000000001" customHeight="1" x14ac:dyDescent="0.2">
      <c r="B30" s="2046" t="s">
        <v>2117</v>
      </c>
      <c r="C30" s="2050"/>
      <c r="D30" s="2051"/>
      <c r="E30" s="2052">
        <f>+' SEFA'!E17+' SEFA'!E24+' SEFA (2)'!E23+' SEFA (2)'!E28</f>
        <v>1152608</v>
      </c>
      <c r="F30" s="2052">
        <f>+F23+F28+' SEFA'!F17+' SEFA'!F24</f>
        <v>1450656</v>
      </c>
      <c r="G30" s="2052">
        <f>+G23+G28+' SEFA'!G17+' SEFA'!G24</f>
        <v>1481280</v>
      </c>
      <c r="H30" s="2052">
        <f>+H23+H28+' SEFA'!H17+' SEFA'!H24</f>
        <v>0</v>
      </c>
      <c r="I30" s="2052">
        <f>+I23+I28+' SEFA'!I17+' SEFA'!I24</f>
        <v>1613308</v>
      </c>
      <c r="J30" s="2052">
        <f>+J23+J28+' SEFA'!J17+' SEFA'!J24</f>
        <v>0</v>
      </c>
      <c r="K30" s="2052">
        <f>+K23+K28+' SEFA'!K17+' SEFA'!K24</f>
        <v>0</v>
      </c>
      <c r="L30" s="2049">
        <f>+L23+L28+' SEFA'!L17+' SEFA'!L24</f>
        <v>3094588</v>
      </c>
      <c r="M30" s="2052"/>
    </row>
    <row r="31" spans="2:14" ht="6" customHeight="1" x14ac:dyDescent="0.2">
      <c r="B31" s="2054"/>
      <c r="C31" s="2055"/>
      <c r="D31" s="2056"/>
      <c r="E31" s="2057"/>
      <c r="F31" s="2057"/>
      <c r="G31" s="2057"/>
      <c r="H31" s="2057"/>
      <c r="I31" s="2057"/>
      <c r="J31" s="2057"/>
      <c r="K31" s="2057"/>
      <c r="L31" s="2057"/>
      <c r="M31" s="2057"/>
      <c r="N31" s="2053"/>
    </row>
    <row r="32" spans="2:14" ht="13.5" customHeight="1" x14ac:dyDescent="0.2">
      <c r="B32" s="1055" t="s">
        <v>1711</v>
      </c>
      <c r="C32" s="2059"/>
      <c r="D32" s="2060"/>
      <c r="E32" s="2058"/>
      <c r="F32" s="2058"/>
      <c r="G32" s="2061"/>
      <c r="H32" s="2061"/>
      <c r="I32" s="2061"/>
      <c r="J32" s="2061"/>
      <c r="K32" s="2061"/>
      <c r="L32" s="2061"/>
      <c r="M32" s="2058"/>
      <c r="N32" s="2053"/>
    </row>
    <row r="33" spans="2:14" ht="6" customHeight="1" x14ac:dyDescent="0.2">
      <c r="B33" s="1055"/>
      <c r="C33" s="2059"/>
      <c r="D33" s="2060"/>
      <c r="E33" s="2058"/>
      <c r="F33" s="2058"/>
      <c r="G33" s="2061"/>
      <c r="H33" s="2061"/>
      <c r="I33" s="2061"/>
      <c r="J33" s="2061"/>
      <c r="K33" s="2061"/>
      <c r="L33" s="2061"/>
      <c r="M33" s="2058"/>
      <c r="N33" s="2053"/>
    </row>
    <row r="34" spans="2:14" x14ac:dyDescent="0.2">
      <c r="B34" s="1052" t="s">
        <v>1809</v>
      </c>
      <c r="G34" s="1053"/>
      <c r="H34" s="1053"/>
      <c r="I34" s="1053"/>
      <c r="J34" s="1053"/>
    </row>
    <row r="35" spans="2:14" ht="6" customHeight="1" x14ac:dyDescent="0.2">
      <c r="B35" s="1052"/>
      <c r="G35" s="1053"/>
      <c r="H35" s="1053"/>
      <c r="I35" s="1053"/>
      <c r="J35" s="1053"/>
    </row>
    <row r="36" spans="2:14" ht="13.5" customHeight="1" x14ac:dyDescent="0.2">
      <c r="B36" s="1052" t="s">
        <v>1235</v>
      </c>
      <c r="G36" s="1053"/>
      <c r="H36" s="1053"/>
      <c r="I36" s="1053"/>
      <c r="J36" s="1053"/>
    </row>
    <row r="37" spans="2:14" ht="6" customHeight="1" x14ac:dyDescent="0.2">
      <c r="B37" s="2062"/>
      <c r="C37" s="2063"/>
      <c r="D37" s="2064"/>
      <c r="E37" s="1163"/>
      <c r="F37" s="1163"/>
      <c r="G37" s="1163"/>
      <c r="H37" s="1163"/>
      <c r="I37" s="1163"/>
      <c r="J37" s="1163"/>
      <c r="K37" s="1164"/>
      <c r="L37" s="1164"/>
      <c r="M37" s="1163"/>
    </row>
    <row r="38" spans="2:14" ht="9.6" customHeight="1" x14ac:dyDescent="0.2">
      <c r="B38" s="2065"/>
      <c r="G38" s="1053"/>
      <c r="H38" s="1053"/>
      <c r="I38" s="1053"/>
      <c r="J38" s="1053"/>
    </row>
    <row r="39" spans="2:14" ht="11.25" customHeight="1" x14ac:dyDescent="0.2">
      <c r="B39" s="2066" t="s">
        <v>1712</v>
      </c>
      <c r="C39" s="2067"/>
      <c r="D39" s="2067"/>
      <c r="E39" s="2067"/>
      <c r="F39" s="2067"/>
      <c r="G39" s="2067"/>
      <c r="H39" s="2067"/>
      <c r="I39" s="2068"/>
      <c r="J39" s="2068"/>
      <c r="K39" s="2068"/>
      <c r="L39" s="2068"/>
      <c r="M39" s="2068"/>
    </row>
    <row r="40" spans="2:14" ht="11.25" customHeight="1" x14ac:dyDescent="0.2">
      <c r="B40" s="2069" t="s">
        <v>1567</v>
      </c>
      <c r="C40" s="2068"/>
      <c r="D40" s="2068"/>
      <c r="E40" s="2068"/>
      <c r="F40" s="2068"/>
      <c r="G40" s="2068"/>
      <c r="H40" s="2068"/>
      <c r="I40" s="2068"/>
      <c r="J40" s="2068"/>
      <c r="K40" s="2068"/>
      <c r="L40" s="2068"/>
      <c r="M40" s="2068"/>
    </row>
    <row r="41" spans="2:14" ht="3.95" customHeight="1" x14ac:dyDescent="0.2">
      <c r="B41" s="2069"/>
      <c r="C41" s="2068"/>
      <c r="D41" s="2068"/>
      <c r="E41" s="2068"/>
      <c r="F41" s="2068"/>
      <c r="G41" s="2068"/>
      <c r="H41" s="2068"/>
      <c r="I41" s="2068"/>
      <c r="J41" s="2068"/>
      <c r="K41" s="2068"/>
      <c r="L41" s="2068"/>
      <c r="M41" s="2068"/>
    </row>
    <row r="42" spans="2:14" ht="11.25" customHeight="1" x14ac:dyDescent="0.2">
      <c r="B42" s="2066" t="s">
        <v>1713</v>
      </c>
      <c r="C42" s="2068"/>
      <c r="D42" s="2068"/>
      <c r="E42" s="2068"/>
      <c r="F42" s="2068"/>
      <c r="G42" s="2068"/>
      <c r="H42" s="2068"/>
      <c r="I42" s="2068"/>
      <c r="J42" s="2068"/>
      <c r="K42" s="2068"/>
      <c r="L42" s="2068"/>
      <c r="M42" s="2068"/>
    </row>
    <row r="43" spans="2:14" ht="11.25" customHeight="1" x14ac:dyDescent="0.2">
      <c r="B43" s="2070" t="s">
        <v>1568</v>
      </c>
      <c r="C43" s="2071"/>
      <c r="D43" s="2072"/>
      <c r="E43" s="2070"/>
      <c r="F43" s="2070"/>
      <c r="G43" s="2070"/>
      <c r="H43" s="2070"/>
      <c r="I43" s="2070"/>
      <c r="J43" s="2070"/>
      <c r="K43" s="2073"/>
      <c r="L43" s="2073"/>
      <c r="M43" s="2070"/>
    </row>
    <row r="44" spans="2:14" ht="3.95" customHeight="1" x14ac:dyDescent="0.2">
      <c r="B44" s="2070"/>
      <c r="C44" s="2071"/>
      <c r="D44" s="2072"/>
      <c r="E44" s="2070"/>
      <c r="F44" s="2070"/>
      <c r="G44" s="2070"/>
      <c r="H44" s="2070"/>
      <c r="I44" s="2070"/>
      <c r="J44" s="2070"/>
      <c r="K44" s="2073"/>
      <c r="L44" s="2073"/>
      <c r="M44" s="2070"/>
    </row>
    <row r="45" spans="2:14" ht="11.25" customHeight="1" x14ac:dyDescent="0.2">
      <c r="B45" s="2074" t="s">
        <v>1714</v>
      </c>
      <c r="C45" s="2071"/>
      <c r="D45" s="2072"/>
      <c r="E45" s="2070"/>
      <c r="F45" s="2070"/>
      <c r="G45" s="2070"/>
      <c r="H45" s="2070"/>
      <c r="I45" s="2070"/>
      <c r="J45" s="2070"/>
      <c r="K45" s="2073"/>
      <c r="L45" s="2073"/>
      <c r="M45" s="2070"/>
    </row>
    <row r="46" spans="2:14" ht="3.95" customHeight="1" x14ac:dyDescent="0.2">
      <c r="B46" s="2074"/>
      <c r="C46" s="2071"/>
      <c r="D46" s="2072"/>
      <c r="E46" s="2070"/>
      <c r="F46" s="2070"/>
      <c r="G46" s="2070"/>
      <c r="H46" s="2070"/>
      <c r="I46" s="2070"/>
      <c r="J46" s="2070"/>
      <c r="K46" s="2073"/>
      <c r="L46" s="2073"/>
      <c r="M46" s="2070"/>
    </row>
    <row r="47" spans="2:14" ht="11.25" customHeight="1" x14ac:dyDescent="0.2">
      <c r="B47" s="1132" t="s">
        <v>1715</v>
      </c>
      <c r="C47" s="2071"/>
      <c r="D47" s="2072"/>
      <c r="E47" s="2070"/>
      <c r="F47" s="2070"/>
      <c r="G47" s="2070"/>
      <c r="H47" s="2070"/>
      <c r="I47" s="2070"/>
      <c r="J47" s="2070"/>
      <c r="K47" s="2073"/>
      <c r="L47" s="2073"/>
      <c r="M47" s="2070"/>
    </row>
    <row r="48" spans="2:14" ht="11.25" customHeight="1" x14ac:dyDescent="0.2">
      <c r="B48" s="2070" t="s">
        <v>1569</v>
      </c>
      <c r="G48" s="1053"/>
      <c r="H48" s="1053"/>
      <c r="I48" s="1053"/>
      <c r="J48" s="1053"/>
    </row>
    <row r="49" spans="2:13" ht="11.1" customHeight="1" x14ac:dyDescent="0.2">
      <c r="B49" s="2070"/>
      <c r="G49" s="1053"/>
      <c r="H49" s="1053"/>
      <c r="I49" s="1053"/>
      <c r="J49" s="1053"/>
    </row>
    <row r="50" spans="2:13" ht="11.1" customHeight="1" x14ac:dyDescent="0.2">
      <c r="B50" s="2070"/>
      <c r="G50" s="1053"/>
      <c r="H50" s="1053"/>
      <c r="I50" s="1053"/>
      <c r="J50" s="1053"/>
    </row>
    <row r="51" spans="2:13" ht="13.5" customHeight="1" x14ac:dyDescent="0.2">
      <c r="M51" s="2075"/>
    </row>
    <row r="52" spans="2:13" ht="13.5" customHeight="1" x14ac:dyDescent="0.2">
      <c r="M52" s="2075"/>
    </row>
    <row r="53" spans="2:13" ht="13.5" customHeight="1" x14ac:dyDescent="0.2">
      <c r="M53" s="2075"/>
    </row>
    <row r="54" spans="2:13" ht="13.5" customHeight="1" x14ac:dyDescent="0.2">
      <c r="G54" s="1053"/>
      <c r="H54" s="1053"/>
      <c r="I54" s="1053"/>
      <c r="J54" s="1053"/>
    </row>
    <row r="55" spans="2:13" ht="13.5" customHeight="1" x14ac:dyDescent="0.2">
      <c r="G55" s="1053"/>
      <c r="H55" s="1053"/>
      <c r="I55" s="1053"/>
      <c r="J55" s="1053"/>
    </row>
    <row r="56" spans="2:13" ht="13.5" customHeight="1" x14ac:dyDescent="0.2">
      <c r="G56" s="1053"/>
      <c r="H56" s="1053"/>
      <c r="I56" s="1053"/>
      <c r="J56" s="1053"/>
    </row>
    <row r="57" spans="2:13" ht="13.5" customHeight="1" x14ac:dyDescent="0.2">
      <c r="G57" s="1053"/>
      <c r="H57" s="1053"/>
      <c r="I57" s="1053"/>
      <c r="J57" s="1053"/>
    </row>
    <row r="58" spans="2:13" ht="13.5" customHeight="1" x14ac:dyDescent="0.2">
      <c r="G58" s="1053"/>
      <c r="H58" s="1053"/>
      <c r="I58" s="1053"/>
      <c r="J58" s="1053"/>
    </row>
    <row r="59" spans="2:13" ht="13.5" customHeight="1" x14ac:dyDescent="0.2">
      <c r="G59" s="1053"/>
      <c r="H59" s="1053"/>
      <c r="I59" s="1053"/>
      <c r="J59" s="1053"/>
    </row>
    <row r="60" spans="2:13" ht="13.5" customHeight="1" x14ac:dyDescent="0.2">
      <c r="G60" s="1053"/>
      <c r="H60" s="1053"/>
      <c r="I60" s="1053"/>
      <c r="J60" s="1053"/>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25" right="0.25"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K117" sqref="K11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203" t="s">
        <v>1158</v>
      </c>
      <c r="B2" s="2203"/>
      <c r="C2" s="2203"/>
      <c r="D2" s="2203"/>
      <c r="E2" s="2203"/>
      <c r="F2" s="2203"/>
      <c r="G2" s="2203"/>
      <c r="H2" s="2203"/>
      <c r="I2" s="2203"/>
      <c r="J2" s="2203"/>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5" customFormat="1" x14ac:dyDescent="0.2">
      <c r="A32" s="213"/>
      <c r="B32" s="230"/>
      <c r="C32" s="221"/>
      <c r="D32" s="231" t="s">
        <v>1767</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217" t="s">
        <v>1616</v>
      </c>
      <c r="B35" s="2218"/>
      <c r="C35" s="2218"/>
      <c r="D35" s="2218"/>
      <c r="E35" s="2219"/>
      <c r="F35" s="2219"/>
      <c r="G35" s="2219"/>
      <c r="H35" s="2219"/>
      <c r="I35" s="221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217" t="s">
        <v>310</v>
      </c>
      <c r="B47" s="2220"/>
      <c r="C47" s="2220"/>
      <c r="D47" s="2220"/>
      <c r="E47" s="2221"/>
      <c r="F47" s="2221"/>
      <c r="G47" s="2221"/>
      <c r="H47" s="2221"/>
      <c r="I47" s="222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2048</v>
      </c>
      <c r="C53" s="173">
        <v>22</v>
      </c>
      <c r="D53" s="241" t="s">
        <v>1445</v>
      </c>
      <c r="E53" s="242"/>
      <c r="F53" s="243"/>
      <c r="G53" s="243" t="s">
        <v>1444</v>
      </c>
      <c r="H53" s="244">
        <v>34335</v>
      </c>
      <c r="I53" s="231" t="s">
        <v>1466</v>
      </c>
    </row>
    <row r="54" spans="1:10" s="175" customFormat="1" x14ac:dyDescent="0.2">
      <c r="A54" s="213"/>
      <c r="B54" s="214" t="s">
        <v>2048</v>
      </c>
      <c r="C54" s="173">
        <v>23</v>
      </c>
      <c r="D54" s="237" t="s">
        <v>1346</v>
      </c>
      <c r="E54" s="242"/>
      <c r="F54" s="243"/>
    </row>
    <row r="55" spans="1:10" s="175" customFormat="1" x14ac:dyDescent="0.2">
      <c r="A55" s="208"/>
      <c r="B55" s="245"/>
      <c r="C55" s="245"/>
      <c r="D55" s="225" t="s">
        <v>1766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224" t="s">
        <v>2244</v>
      </c>
      <c r="C57" s="2225"/>
      <c r="D57" s="2225"/>
      <c r="E57" s="2225"/>
      <c r="F57" s="2225"/>
      <c r="G57" s="2225"/>
      <c r="H57" s="2225"/>
      <c r="I57" s="2225"/>
      <c r="J57" s="2226"/>
    </row>
    <row r="58" spans="1:10" s="175" customFormat="1" x14ac:dyDescent="0.2">
      <c r="A58" s="247"/>
      <c r="B58" s="2227"/>
      <c r="C58" s="2228"/>
      <c r="D58" s="2228"/>
      <c r="E58" s="2228"/>
      <c r="F58" s="2228"/>
      <c r="G58" s="2228"/>
      <c r="H58" s="2228"/>
      <c r="I58" s="2228"/>
      <c r="J58" s="2229"/>
    </row>
    <row r="59" spans="1:10" s="175" customFormat="1" x14ac:dyDescent="0.2">
      <c r="A59" s="247"/>
      <c r="B59" s="2227"/>
      <c r="C59" s="2228"/>
      <c r="D59" s="2228"/>
      <c r="E59" s="2228"/>
      <c r="F59" s="2228"/>
      <c r="G59" s="2228"/>
      <c r="H59" s="2228"/>
      <c r="I59" s="2228"/>
      <c r="J59" s="2229"/>
    </row>
    <row r="60" spans="1:10" s="175" customFormat="1" x14ac:dyDescent="0.2">
      <c r="A60" s="247"/>
      <c r="B60" s="2227"/>
      <c r="C60" s="2228"/>
      <c r="D60" s="2228"/>
      <c r="E60" s="2228"/>
      <c r="F60" s="2228"/>
      <c r="G60" s="2228"/>
      <c r="H60" s="2228"/>
      <c r="I60" s="2228"/>
      <c r="J60" s="2229"/>
    </row>
    <row r="61" spans="1:10" s="175" customFormat="1" x14ac:dyDescent="0.2">
      <c r="A61" s="247"/>
      <c r="B61" s="2227"/>
      <c r="C61" s="2228"/>
      <c r="D61" s="2228"/>
      <c r="E61" s="2228"/>
      <c r="F61" s="2228"/>
      <c r="G61" s="2228"/>
      <c r="H61" s="2228"/>
      <c r="I61" s="2228"/>
      <c r="J61" s="2229"/>
    </row>
    <row r="62" spans="1:10" s="175" customFormat="1" x14ac:dyDescent="0.2">
      <c r="A62" s="247"/>
      <c r="B62" s="2227"/>
      <c r="C62" s="2228"/>
      <c r="D62" s="2228"/>
      <c r="E62" s="2228"/>
      <c r="F62" s="2228"/>
      <c r="G62" s="2228"/>
      <c r="H62" s="2228"/>
      <c r="I62" s="2228"/>
      <c r="J62" s="2229"/>
    </row>
    <row r="63" spans="1:10" s="175" customFormat="1" x14ac:dyDescent="0.2">
      <c r="A63" s="247"/>
      <c r="B63" s="2227"/>
      <c r="C63" s="2228"/>
      <c r="D63" s="2228"/>
      <c r="E63" s="2228"/>
      <c r="F63" s="2228"/>
      <c r="G63" s="2228"/>
      <c r="H63" s="2228"/>
      <c r="I63" s="2228"/>
      <c r="J63" s="2229"/>
    </row>
    <row r="64" spans="1:10" s="175" customFormat="1" x14ac:dyDescent="0.2">
      <c r="A64" s="247"/>
      <c r="B64" s="2227"/>
      <c r="C64" s="2228"/>
      <c r="D64" s="2228"/>
      <c r="E64" s="2228"/>
      <c r="F64" s="2228"/>
      <c r="G64" s="2228"/>
      <c r="H64" s="2228"/>
      <c r="I64" s="2228"/>
      <c r="J64" s="2229"/>
    </row>
    <row r="65" spans="1:11" s="175" customFormat="1" x14ac:dyDescent="0.2">
      <c r="A65" s="247"/>
      <c r="B65" s="2227"/>
      <c r="C65" s="2228"/>
      <c r="D65" s="2228"/>
      <c r="E65" s="2228"/>
      <c r="F65" s="2228"/>
      <c r="G65" s="2228"/>
      <c r="H65" s="2228"/>
      <c r="I65" s="2228"/>
      <c r="J65" s="2229"/>
    </row>
    <row r="66" spans="1:11" s="175" customFormat="1" x14ac:dyDescent="0.2">
      <c r="A66" s="247"/>
      <c r="B66" s="2227"/>
      <c r="C66" s="2228"/>
      <c r="D66" s="2228"/>
      <c r="E66" s="2228"/>
      <c r="F66" s="2228"/>
      <c r="G66" s="2228"/>
      <c r="H66" s="2228"/>
      <c r="I66" s="2228"/>
      <c r="J66" s="2229"/>
    </row>
    <row r="67" spans="1:11" s="175" customFormat="1" ht="9" customHeight="1" x14ac:dyDescent="0.2">
      <c r="A67" s="248"/>
      <c r="B67" s="2230"/>
      <c r="C67" s="2231"/>
      <c r="D67" s="2231"/>
      <c r="E67" s="2231"/>
      <c r="F67" s="2231"/>
      <c r="G67" s="2231"/>
      <c r="H67" s="2231"/>
      <c r="I67" s="2231"/>
      <c r="J67" s="223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217" t="s">
        <v>1312</v>
      </c>
      <c r="B70" s="2220"/>
      <c r="C70" s="2220"/>
      <c r="D70" s="2220"/>
      <c r="E70" s="2221"/>
      <c r="F70" s="2221"/>
      <c r="G70" s="2221"/>
      <c r="H70" s="2221"/>
      <c r="I70" s="2221"/>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1988</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1869</v>
      </c>
      <c r="I77" s="1461"/>
      <c r="J77" s="255"/>
    </row>
    <row r="78" spans="1:11" s="175" customFormat="1" ht="6" customHeight="1" x14ac:dyDescent="0.2">
      <c r="A78" s="213"/>
      <c r="B78" s="256"/>
      <c r="C78" s="173"/>
      <c r="D78" s="241"/>
      <c r="E78" s="242"/>
      <c r="F78" s="243"/>
    </row>
    <row r="79" spans="1:11" s="175" customFormat="1" x14ac:dyDescent="0.2">
      <c r="A79" s="213"/>
      <c r="B79" s="256"/>
      <c r="C79" s="173">
        <v>25</v>
      </c>
      <c r="D79" s="241" t="s">
        <v>1987</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222" t="s">
        <v>1309</v>
      </c>
      <c r="B83" s="2222"/>
      <c r="C83" s="2222"/>
      <c r="D83" s="2223"/>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233" t="s">
        <v>1986</v>
      </c>
      <c r="B85" s="2233"/>
      <c r="C85" s="2233"/>
      <c r="D85" s="2234"/>
      <c r="E85" s="1534"/>
      <c r="F85" s="1534"/>
      <c r="G85" s="1534"/>
      <c r="H85" s="1534"/>
      <c r="I85" s="1890"/>
      <c r="J85" s="1717">
        <f>SUM(E85:I85)</f>
        <v>0</v>
      </c>
    </row>
    <row r="86" spans="1:10" s="175" customFormat="1" ht="13.5" customHeight="1" x14ac:dyDescent="0.2">
      <c r="A86" s="265"/>
      <c r="B86" s="266"/>
      <c r="C86" s="267"/>
      <c r="D86" s="268"/>
      <c r="E86" s="263"/>
      <c r="F86" s="263"/>
      <c r="G86" s="263"/>
      <c r="H86" s="263"/>
      <c r="I86" s="264"/>
      <c r="J86" s="1718"/>
    </row>
    <row r="87" spans="1:10" s="175" customFormat="1" ht="13.5" customHeight="1" x14ac:dyDescent="0.2">
      <c r="A87" s="269" t="s">
        <v>1310</v>
      </c>
      <c r="B87" s="270"/>
      <c r="C87" s="271"/>
      <c r="D87" s="268"/>
      <c r="E87" s="263"/>
      <c r="F87" s="263"/>
      <c r="G87" s="263"/>
      <c r="H87" s="263"/>
      <c r="I87" s="264"/>
      <c r="J87" s="1718"/>
    </row>
    <row r="88" spans="1:10" s="175" customFormat="1" ht="13.5" customHeight="1" x14ac:dyDescent="0.2">
      <c r="A88" s="2235" t="s">
        <v>1986</v>
      </c>
      <c r="B88" s="2236"/>
      <c r="C88" s="2236"/>
      <c r="D88" s="2237"/>
      <c r="E88" s="1534"/>
      <c r="F88" s="1534"/>
      <c r="G88" s="1534"/>
      <c r="H88" s="1534"/>
      <c r="I88" s="1890"/>
      <c r="J88" s="1717">
        <f>SUM(E88:I88)</f>
        <v>0</v>
      </c>
    </row>
    <row r="89" spans="1:10" s="175" customFormat="1" ht="13.5" customHeight="1" x14ac:dyDescent="0.2">
      <c r="A89" s="265"/>
      <c r="B89" s="266"/>
      <c r="C89" s="267"/>
      <c r="D89" s="268"/>
      <c r="E89" s="263"/>
      <c r="F89" s="263"/>
      <c r="G89" s="263"/>
      <c r="H89" s="263"/>
      <c r="I89" s="264"/>
      <c r="J89" s="1718"/>
    </row>
    <row r="90" spans="1:10" s="175" customFormat="1" ht="13.5" customHeight="1" x14ac:dyDescent="0.2">
      <c r="A90" s="269" t="s">
        <v>155</v>
      </c>
      <c r="B90" s="270"/>
      <c r="C90" s="271"/>
      <c r="D90" s="272"/>
      <c r="E90" s="1535"/>
      <c r="F90" s="1535"/>
      <c r="G90" s="1535"/>
      <c r="H90" s="1535"/>
      <c r="I90" s="1891"/>
      <c r="J90" s="1719">
        <f>SUM(J85:J89)</f>
        <v>0</v>
      </c>
    </row>
    <row r="91" spans="1:10" s="175" customFormat="1" x14ac:dyDescent="0.2">
      <c r="A91" s="213"/>
      <c r="B91" s="256"/>
      <c r="C91" s="173"/>
      <c r="E91" s="254"/>
      <c r="F91" s="273"/>
      <c r="H91" s="274"/>
    </row>
    <row r="92" spans="1:10" s="175" customFormat="1" x14ac:dyDescent="0.2">
      <c r="A92" s="213"/>
      <c r="B92" s="241" t="s">
        <v>1990</v>
      </c>
      <c r="C92" s="173"/>
      <c r="E92" s="254"/>
      <c r="F92" s="273"/>
      <c r="H92" s="274"/>
    </row>
    <row r="93" spans="1:10" s="175" customFormat="1" ht="16.5" customHeight="1" x14ac:dyDescent="0.2">
      <c r="A93" s="213"/>
      <c r="B93" s="275"/>
      <c r="C93" s="241" t="s">
        <v>1989</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204"/>
      <c r="C102" s="2205"/>
      <c r="D102" s="2205"/>
      <c r="E102" s="2205"/>
      <c r="F102" s="2205"/>
      <c r="G102" s="2205"/>
      <c r="H102" s="2205"/>
      <c r="I102" s="2206"/>
    </row>
    <row r="103" spans="1:9" s="175" customFormat="1" ht="11.25" customHeight="1" x14ac:dyDescent="0.2">
      <c r="A103" s="293"/>
      <c r="B103" s="2207"/>
      <c r="C103" s="2208"/>
      <c r="D103" s="2208"/>
      <c r="E103" s="2208"/>
      <c r="F103" s="2208"/>
      <c r="G103" s="2208"/>
      <c r="H103" s="2208"/>
      <c r="I103" s="2209"/>
    </row>
    <row r="104" spans="1:9" s="175" customFormat="1" ht="11.25" customHeight="1" x14ac:dyDescent="0.2">
      <c r="A104" s="293"/>
      <c r="B104" s="2207"/>
      <c r="C104" s="2208"/>
      <c r="D104" s="2208"/>
      <c r="E104" s="2208"/>
      <c r="F104" s="2208"/>
      <c r="G104" s="2208"/>
      <c r="H104" s="2208"/>
      <c r="I104" s="2209"/>
    </row>
    <row r="105" spans="1:9" s="175" customFormat="1" x14ac:dyDescent="0.2">
      <c r="A105" s="293"/>
      <c r="B105" s="2207"/>
      <c r="C105" s="2208"/>
      <c r="D105" s="2208"/>
      <c r="E105" s="2208"/>
      <c r="F105" s="2208"/>
      <c r="G105" s="2208"/>
      <c r="H105" s="2208"/>
      <c r="I105" s="2209"/>
    </row>
    <row r="106" spans="1:9" s="175" customFormat="1" ht="11.25" customHeight="1" x14ac:dyDescent="0.2">
      <c r="A106" s="293"/>
      <c r="B106" s="2207"/>
      <c r="C106" s="2208"/>
      <c r="D106" s="2208"/>
      <c r="E106" s="2208"/>
      <c r="F106" s="2208"/>
      <c r="G106" s="2208"/>
      <c r="H106" s="2208"/>
      <c r="I106" s="2209"/>
    </row>
    <row r="107" spans="1:9" s="175" customFormat="1" ht="11.25" customHeight="1" x14ac:dyDescent="0.2">
      <c r="A107" s="293"/>
      <c r="B107" s="2207"/>
      <c r="C107" s="2208"/>
      <c r="D107" s="2208"/>
      <c r="E107" s="2208"/>
      <c r="F107" s="2208"/>
      <c r="G107" s="2208"/>
      <c r="H107" s="2208"/>
      <c r="I107" s="2209"/>
    </row>
    <row r="108" spans="1:9" s="175" customFormat="1" ht="11.25" customHeight="1" x14ac:dyDescent="0.2">
      <c r="A108" s="293"/>
      <c r="B108" s="2207"/>
      <c r="C108" s="2208"/>
      <c r="D108" s="2208"/>
      <c r="E108" s="2208"/>
      <c r="F108" s="2208"/>
      <c r="G108" s="2208"/>
      <c r="H108" s="2208"/>
      <c r="I108" s="2209"/>
    </row>
    <row r="109" spans="1:9" s="175" customFormat="1" ht="11.25" customHeight="1" x14ac:dyDescent="0.2">
      <c r="A109" s="293"/>
      <c r="B109" s="2207"/>
      <c r="C109" s="2208"/>
      <c r="D109" s="2208"/>
      <c r="E109" s="2208"/>
      <c r="F109" s="2208"/>
      <c r="G109" s="2208"/>
      <c r="H109" s="2208"/>
      <c r="I109" s="2209"/>
    </row>
    <row r="110" spans="1:9" s="175" customFormat="1" ht="11.25" customHeight="1" x14ac:dyDescent="0.2">
      <c r="A110" s="293"/>
      <c r="B110" s="2207"/>
      <c r="C110" s="2208"/>
      <c r="D110" s="2208"/>
      <c r="E110" s="2208"/>
      <c r="F110" s="2208"/>
      <c r="G110" s="2208"/>
      <c r="H110" s="2208"/>
      <c r="I110" s="2209"/>
    </row>
    <row r="111" spans="1:9" s="175" customFormat="1" ht="11.25" customHeight="1" x14ac:dyDescent="0.2">
      <c r="A111" s="293"/>
      <c r="B111" s="2207"/>
      <c r="C111" s="2208"/>
      <c r="D111" s="2208"/>
      <c r="E111" s="2208"/>
      <c r="F111" s="2208"/>
      <c r="G111" s="2208"/>
      <c r="H111" s="2208"/>
      <c r="I111" s="2209"/>
    </row>
    <row r="112" spans="1:9" s="175" customFormat="1" ht="11.25" customHeight="1" x14ac:dyDescent="0.2">
      <c r="A112" s="293"/>
      <c r="B112" s="2210"/>
      <c r="C112" s="2211"/>
      <c r="D112" s="2211"/>
      <c r="E112" s="2211"/>
      <c r="F112" s="2211"/>
      <c r="G112" s="2211"/>
      <c r="H112" s="2211"/>
      <c r="I112" s="221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213" t="s">
        <v>2060</v>
      </c>
      <c r="D114" s="2213"/>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214" t="s">
        <v>1319</v>
      </c>
      <c r="D117" s="2215"/>
      <c r="E117" s="2216"/>
      <c r="F117" s="2216"/>
      <c r="G117" s="2216"/>
      <c r="H117" s="2216"/>
      <c r="I117" s="281"/>
    </row>
    <row r="118" spans="1:9" s="175" customFormat="1" ht="24" customHeight="1" x14ac:dyDescent="0.2">
      <c r="A118" s="293"/>
      <c r="B118" s="293"/>
      <c r="C118" s="293"/>
      <c r="D118" s="300"/>
      <c r="E118" s="299"/>
      <c r="F118" s="2085" t="s">
        <v>2267</v>
      </c>
      <c r="G118" s="1463"/>
      <c r="H118" s="299"/>
      <c r="I118" s="281"/>
    </row>
    <row r="119" spans="1:9" s="175" customFormat="1" ht="11.25" customHeight="1" x14ac:dyDescent="0.2">
      <c r="A119" s="302"/>
      <c r="B119" s="302"/>
      <c r="C119" s="303"/>
      <c r="D119" s="304" t="s">
        <v>358</v>
      </c>
      <c r="E119" s="287"/>
      <c r="F119" s="1462" t="s">
        <v>1870</v>
      </c>
      <c r="G119" s="305"/>
      <c r="H119" s="305"/>
      <c r="I119" s="281"/>
    </row>
    <row r="120" spans="1:9" x14ac:dyDescent="0.2">
      <c r="A120" s="306"/>
      <c r="B120" s="174"/>
      <c r="C120" s="307"/>
      <c r="D120" s="250"/>
      <c r="E120" s="250"/>
      <c r="F120" s="250"/>
      <c r="G120" s="250"/>
      <c r="H120" s="250"/>
      <c r="I120" s="281"/>
    </row>
    <row r="121" spans="1:9" x14ac:dyDescent="0.2">
      <c r="A121" s="306"/>
      <c r="B121" s="1249"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40"/>
  <sheetViews>
    <sheetView showGridLines="0" zoomScale="120" zoomScaleNormal="120" workbookViewId="0">
      <selection activeCell="H32" sqref="H32"/>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632" t="str">
        <f>'Single Audit Cover'!A7</f>
        <v>Hazel Crest SD 152-5</v>
      </c>
      <c r="B1" s="2632"/>
      <c r="C1" s="2632"/>
      <c r="D1" s="2632"/>
      <c r="E1" s="2632"/>
      <c r="F1" s="2632"/>
    </row>
    <row r="2" spans="1:7" ht="13.5" customHeight="1" x14ac:dyDescent="0.2">
      <c r="A2" s="2615">
        <f>'Single Audit Cover'!E7</f>
        <v>7016152502</v>
      </c>
      <c r="B2" s="2615"/>
      <c r="C2" s="2615"/>
      <c r="D2" s="2615"/>
      <c r="E2" s="2615"/>
      <c r="F2" s="2615"/>
      <c r="G2" s="1050"/>
    </row>
    <row r="3" spans="1:7" ht="15.75" customHeight="1" x14ac:dyDescent="0.2">
      <c r="A3" s="2633" t="s">
        <v>1260</v>
      </c>
      <c r="B3" s="2633"/>
      <c r="C3" s="2633"/>
      <c r="D3" s="2633"/>
      <c r="E3" s="2633"/>
      <c r="F3" s="2633"/>
    </row>
    <row r="4" spans="1:7" ht="13.5" customHeight="1" x14ac:dyDescent="0.2">
      <c r="A4" s="2634" t="str">
        <f>'Single Audit Cover'!A4</f>
        <v>Year Ending June 30, 2020</v>
      </c>
      <c r="B4" s="2634"/>
      <c r="C4" s="2634"/>
      <c r="D4" s="2634"/>
      <c r="E4" s="2634"/>
      <c r="F4" s="2634"/>
    </row>
    <row r="5" spans="1:7" ht="8.25" customHeight="1" x14ac:dyDescent="0.2">
      <c r="C5" s="294"/>
      <c r="D5" s="294"/>
    </row>
    <row r="6" spans="1:7" ht="13.5" customHeight="1" x14ac:dyDescent="0.2">
      <c r="A6" s="1051" t="s">
        <v>1705</v>
      </c>
      <c r="C6" s="294"/>
      <c r="D6" s="294"/>
    </row>
    <row r="7" spans="1:7" ht="60.95" customHeight="1" x14ac:dyDescent="0.2">
      <c r="A7" s="2631" t="s">
        <v>2118</v>
      </c>
      <c r="B7" s="2631"/>
      <c r="C7" s="2631"/>
      <c r="D7" s="2631"/>
      <c r="E7" s="2631"/>
      <c r="F7" s="2631"/>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2048</v>
      </c>
      <c r="F10" s="1055" t="s">
        <v>99</v>
      </c>
      <c r="G10" s="1053"/>
    </row>
    <row r="11" spans="1:7" ht="12" customHeight="1" x14ac:dyDescent="0.2">
      <c r="A11" s="1054"/>
      <c r="B11" s="1055"/>
      <c r="C11" s="1515"/>
      <c r="D11" s="1055"/>
      <c r="E11" s="1515"/>
      <c r="F11" s="1055"/>
      <c r="G11" s="1053"/>
    </row>
    <row r="12" spans="1:7" x14ac:dyDescent="0.2">
      <c r="A12" s="1051" t="s">
        <v>1570</v>
      </c>
      <c r="C12" s="1035"/>
      <c r="D12" s="1035"/>
    </row>
    <row r="13" spans="1:7" ht="15" customHeight="1" x14ac:dyDescent="0.2">
      <c r="A13" s="2631" t="s">
        <v>2119</v>
      </c>
      <c r="B13" s="2631"/>
      <c r="C13" s="2631"/>
      <c r="D13" s="2631"/>
      <c r="E13" s="2631"/>
      <c r="F13" s="2631"/>
    </row>
    <row r="14" spans="1:7" ht="9.75" customHeight="1" x14ac:dyDescent="0.2">
      <c r="C14" s="1035"/>
      <c r="D14" s="1035"/>
    </row>
    <row r="15" spans="1:7" ht="13.5" customHeight="1" x14ac:dyDescent="0.2">
      <c r="C15" s="1466" t="s">
        <v>1259</v>
      </c>
      <c r="D15" s="2623" t="s">
        <v>1258</v>
      </c>
      <c r="E15" s="2623"/>
      <c r="F15" s="2623"/>
    </row>
    <row r="16" spans="1:7" ht="13.5" customHeight="1" x14ac:dyDescent="0.2">
      <c r="A16" s="1057"/>
      <c r="B16" s="1051" t="s">
        <v>1257</v>
      </c>
      <c r="C16" s="1466" t="s">
        <v>1256</v>
      </c>
      <c r="D16" s="2624" t="s">
        <v>1571</v>
      </c>
      <c r="E16" s="2624"/>
      <c r="F16" s="2624"/>
    </row>
    <row r="17" spans="1:6" ht="20.45" customHeight="1" x14ac:dyDescent="0.2">
      <c r="A17" s="1058"/>
      <c r="B17" s="1059" t="s">
        <v>2075</v>
      </c>
      <c r="C17" s="1060"/>
      <c r="D17" s="2625"/>
      <c r="E17" s="2625"/>
      <c r="F17" s="2625"/>
    </row>
    <row r="18" spans="1:6" ht="12" customHeight="1" x14ac:dyDescent="0.2">
      <c r="A18" s="305"/>
      <c r="B18" s="305"/>
      <c r="C18" s="1223"/>
      <c r="D18" s="1516"/>
      <c r="E18" s="1061"/>
    </row>
    <row r="19" spans="1:6" ht="12" customHeight="1" x14ac:dyDescent="0.2">
      <c r="A19" s="1062" t="s">
        <v>1532</v>
      </c>
      <c r="B19" s="305"/>
      <c r="C19" s="1223"/>
      <c r="D19" s="1516"/>
      <c r="E19" s="1061"/>
    </row>
    <row r="20" spans="1:6" ht="30" customHeight="1" x14ac:dyDescent="0.2">
      <c r="A20" s="2627" t="s">
        <v>2120</v>
      </c>
      <c r="B20" s="2627"/>
      <c r="C20" s="2627"/>
      <c r="D20" s="2627"/>
      <c r="E20" s="2627"/>
      <c r="F20" s="2627"/>
    </row>
    <row r="21" spans="1:6" ht="13.5" customHeight="1" x14ac:dyDescent="0.2">
      <c r="A21" s="305" t="s">
        <v>1417</v>
      </c>
      <c r="B21" s="305"/>
      <c r="C21" s="1063">
        <v>26460</v>
      </c>
      <c r="D21" s="1516"/>
      <c r="E21" s="1061"/>
    </row>
    <row r="22" spans="1:6" ht="13.5" customHeight="1" x14ac:dyDescent="0.2">
      <c r="A22" s="305" t="s">
        <v>1808</v>
      </c>
      <c r="B22" s="305"/>
      <c r="C22" s="1064">
        <v>14397</v>
      </c>
      <c r="D22" s="1516" t="s">
        <v>1572</v>
      </c>
      <c r="E22" s="2628">
        <f>+C21+C22</f>
        <v>40857</v>
      </c>
      <c r="F22" s="2629"/>
    </row>
    <row r="23" spans="1:6" ht="12" customHeight="1" x14ac:dyDescent="0.2">
      <c r="A23" s="305"/>
      <c r="B23" s="305"/>
      <c r="C23" s="1517"/>
      <c r="D23" s="1516"/>
      <c r="E23" s="1065"/>
      <c r="F23" s="1066"/>
    </row>
    <row r="24" spans="1:6" ht="13.5" customHeight="1" x14ac:dyDescent="0.2">
      <c r="A24" s="1062" t="s">
        <v>1533</v>
      </c>
      <c r="B24" s="305"/>
      <c r="C24" s="1223"/>
      <c r="D24" s="1516"/>
      <c r="E24" s="1061"/>
    </row>
    <row r="25" spans="1:6" ht="14.25" customHeight="1" x14ac:dyDescent="0.2">
      <c r="A25" s="305" t="s">
        <v>1467</v>
      </c>
      <c r="B25" s="305"/>
      <c r="C25" s="1518"/>
      <c r="D25" s="1516"/>
      <c r="E25" s="1061"/>
    </row>
    <row r="26" spans="1:6" ht="14.25" customHeight="1" x14ac:dyDescent="0.2">
      <c r="A26" s="305"/>
      <c r="B26" s="305" t="s">
        <v>1418</v>
      </c>
      <c r="C26" s="1067">
        <v>0</v>
      </c>
      <c r="D26" s="1516"/>
      <c r="E26" s="1061"/>
    </row>
    <row r="27" spans="1:6" ht="14.25" customHeight="1" x14ac:dyDescent="0.2">
      <c r="A27" s="305"/>
      <c r="B27" s="305" t="s">
        <v>1419</v>
      </c>
      <c r="C27" s="1067">
        <v>0</v>
      </c>
      <c r="D27" s="1516"/>
      <c r="E27" s="1061"/>
    </row>
    <row r="28" spans="1:6" ht="14.25" customHeight="1" x14ac:dyDescent="0.2">
      <c r="A28" s="305"/>
      <c r="B28" s="305" t="s">
        <v>1420</v>
      </c>
      <c r="C28" s="1067">
        <v>0</v>
      </c>
      <c r="D28" s="1516"/>
      <c r="E28" s="1061"/>
    </row>
    <row r="29" spans="1:6" ht="14.25" customHeight="1" x14ac:dyDescent="0.2">
      <c r="A29" s="305"/>
      <c r="B29" s="305" t="s">
        <v>1421</v>
      </c>
      <c r="C29" s="1067">
        <v>0</v>
      </c>
      <c r="D29" s="1516"/>
      <c r="E29" s="1061"/>
    </row>
    <row r="30" spans="1:6" ht="14.25" customHeight="1" x14ac:dyDescent="0.2">
      <c r="A30" s="305" t="s">
        <v>1422</v>
      </c>
      <c r="B30" s="305"/>
      <c r="C30" s="1514" t="s">
        <v>2075</v>
      </c>
      <c r="D30" s="1516"/>
      <c r="E30" s="1061"/>
    </row>
    <row r="31" spans="1:6" ht="14.25" customHeight="1" x14ac:dyDescent="0.2">
      <c r="A31" s="305" t="s">
        <v>1423</v>
      </c>
      <c r="B31" s="305"/>
      <c r="C31" s="1068" t="s">
        <v>380</v>
      </c>
      <c r="D31" s="1516"/>
      <c r="E31" s="1061"/>
    </row>
    <row r="32" spans="1:6" ht="14.25" customHeight="1" x14ac:dyDescent="0.2">
      <c r="A32" s="305"/>
      <c r="B32" s="305"/>
      <c r="C32" s="1518" t="s">
        <v>1424</v>
      </c>
      <c r="D32" s="1516"/>
      <c r="E32" s="1061"/>
    </row>
    <row r="33" spans="1:6" ht="13.5" customHeight="1" x14ac:dyDescent="0.2">
      <c r="B33" s="299"/>
      <c r="C33" s="1069"/>
      <c r="D33" s="1069"/>
    </row>
    <row r="34" spans="1:6" x14ac:dyDescent="0.2">
      <c r="A34" s="1070" t="s">
        <v>1707</v>
      </c>
      <c r="C34" s="294"/>
      <c r="D34" s="294"/>
    </row>
    <row r="35" spans="1:6" s="299" customFormat="1" ht="11.25" customHeight="1" x14ac:dyDescent="0.2">
      <c r="A35" s="1071"/>
      <c r="B35" s="1072"/>
      <c r="C35" s="1072"/>
      <c r="D35" s="1072"/>
      <c r="E35" s="1072"/>
      <c r="F35" s="1072"/>
    </row>
    <row r="36" spans="1:6" s="299" customFormat="1" ht="6" customHeight="1" x14ac:dyDescent="0.2">
      <c r="A36" s="1073"/>
    </row>
    <row r="37" spans="1:6" s="1075" customFormat="1" ht="23.25" customHeight="1" x14ac:dyDescent="0.2">
      <c r="A37" s="1074">
        <v>5</v>
      </c>
      <c r="B37" s="2630" t="s">
        <v>1573</v>
      </c>
      <c r="C37" s="2630"/>
      <c r="D37" s="2630"/>
      <c r="E37" s="1158"/>
    </row>
    <row r="38" spans="1:6" s="1075" customFormat="1" ht="3.75" customHeight="1" x14ac:dyDescent="0.2">
      <c r="A38" s="1074"/>
      <c r="B38" s="1465"/>
      <c r="C38" s="1465"/>
      <c r="D38" s="1465"/>
      <c r="E38" s="1158"/>
    </row>
    <row r="39" spans="1:6" s="1075" customFormat="1" ht="20.25" customHeight="1" x14ac:dyDescent="0.2">
      <c r="A39" s="1076">
        <v>6</v>
      </c>
      <c r="B39" s="2626" t="s">
        <v>1534</v>
      </c>
      <c r="C39" s="2626"/>
      <c r="D39" s="2626"/>
    </row>
    <row r="40" spans="1:6" ht="14.25" customHeight="1" x14ac:dyDescent="0.2">
      <c r="A40" s="1076"/>
      <c r="B40" s="2626"/>
      <c r="C40" s="2626"/>
      <c r="D40" s="2626"/>
    </row>
  </sheetData>
  <mergeCells count="14">
    <mergeCell ref="A13:F13"/>
    <mergeCell ref="A7:F7"/>
    <mergeCell ref="A1:F1"/>
    <mergeCell ref="A2:F2"/>
    <mergeCell ref="A3:F3"/>
    <mergeCell ref="A4:F4"/>
    <mergeCell ref="D15:F15"/>
    <mergeCell ref="D16:F16"/>
    <mergeCell ref="D17:F17"/>
    <mergeCell ref="B39:D39"/>
    <mergeCell ref="B40:D40"/>
    <mergeCell ref="A20:F20"/>
    <mergeCell ref="E22:F22"/>
    <mergeCell ref="B37:D37"/>
  </mergeCells>
  <printOptions horizontalCentered="1"/>
  <pageMargins left="0.5" right="0.5" top="0.43" bottom="0" header="0.26" footer="0.5"/>
  <pageSetup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N31" sqref="N31"/>
    </sheetView>
  </sheetViews>
  <sheetFormatPr defaultColWidth="9.140625" defaultRowHeight="12.75" x14ac:dyDescent="0.2"/>
  <cols>
    <col min="1" max="1" width="1.42578125" style="1075" customWidth="1"/>
    <col min="2" max="2" width="24.42578125" style="1117"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49" t="str">
        <f>'Single Audit Cover'!A7</f>
        <v>Hazel Crest SD 152-5</v>
      </c>
      <c r="C1" s="2650"/>
      <c r="D1" s="2650"/>
      <c r="E1" s="2650"/>
      <c r="F1" s="2650"/>
      <c r="G1" s="2650"/>
      <c r="H1" s="2650"/>
      <c r="I1" s="2650"/>
      <c r="J1" s="1168"/>
    </row>
    <row r="2" spans="2:10" s="294" customFormat="1" ht="12.75" customHeight="1" x14ac:dyDescent="0.2">
      <c r="B2" s="2651">
        <f>'Single Audit Cover'!E7</f>
        <v>7016152502</v>
      </c>
      <c r="C2" s="2652"/>
      <c r="D2" s="2652"/>
      <c r="E2" s="2652"/>
      <c r="F2" s="2652"/>
      <c r="G2" s="2652"/>
      <c r="H2" s="2652"/>
      <c r="I2" s="2652"/>
      <c r="J2" s="1168"/>
    </row>
    <row r="3" spans="2:10" s="294" customFormat="1" ht="12.75" customHeight="1" x14ac:dyDescent="0.2">
      <c r="B3" s="2653" t="s">
        <v>1274</v>
      </c>
      <c r="C3" s="2654"/>
      <c r="D3" s="2654"/>
      <c r="E3" s="2654"/>
      <c r="F3" s="2654"/>
      <c r="G3" s="2654"/>
      <c r="H3" s="2654"/>
      <c r="I3" s="2654"/>
      <c r="J3" s="1169"/>
    </row>
    <row r="4" spans="2:10" s="294" customFormat="1" ht="12.75" customHeight="1" x14ac:dyDescent="0.2">
      <c r="B4" s="2653" t="str">
        <f>'Single Audit Cover'!A4</f>
        <v>Year Ending June 30, 2020</v>
      </c>
      <c r="C4" s="2654"/>
      <c r="D4" s="2654"/>
      <c r="E4" s="2654"/>
      <c r="F4" s="2654"/>
      <c r="G4" s="2654"/>
      <c r="H4" s="2654"/>
      <c r="I4" s="2654"/>
    </row>
    <row r="5" spans="2:10" s="294" customFormat="1" ht="6.2" customHeight="1" x14ac:dyDescent="0.2">
      <c r="B5" s="1170" t="s">
        <v>1159</v>
      </c>
      <c r="C5" s="1069"/>
      <c r="D5" s="1069"/>
      <c r="E5" s="1143"/>
      <c r="F5" s="299"/>
      <c r="G5" s="299"/>
      <c r="H5" s="299"/>
      <c r="I5" s="299"/>
    </row>
    <row r="6" spans="2:10" s="294" customFormat="1" ht="6.2" customHeight="1" x14ac:dyDescent="0.2">
      <c r="B6" s="1171"/>
      <c r="C6" s="1139"/>
      <c r="D6" s="1139"/>
      <c r="E6" s="1140"/>
      <c r="F6" s="1139"/>
      <c r="G6" s="1139"/>
      <c r="H6" s="1139"/>
      <c r="I6" s="1139"/>
    </row>
    <row r="7" spans="2:10" s="294" customFormat="1" ht="13.5" customHeight="1" x14ac:dyDescent="0.2">
      <c r="B7" s="2653" t="s">
        <v>1273</v>
      </c>
      <c r="C7" s="2654"/>
      <c r="D7" s="2654"/>
      <c r="E7" s="2654"/>
      <c r="F7" s="2654"/>
      <c r="G7" s="2654"/>
      <c r="H7" s="2654"/>
      <c r="I7" s="2654"/>
    </row>
    <row r="8" spans="2:10" s="294" customFormat="1" ht="6.2" customHeight="1" x14ac:dyDescent="0.2">
      <c r="B8" s="1172" t="s">
        <v>1159</v>
      </c>
      <c r="C8" s="1173"/>
      <c r="D8" s="1173"/>
      <c r="E8" s="1174"/>
      <c r="F8" s="1173"/>
      <c r="G8" s="1173"/>
      <c r="H8" s="1173"/>
      <c r="I8" s="1173"/>
    </row>
    <row r="9" spans="2:10" s="294" customFormat="1" ht="9" customHeight="1" x14ac:dyDescent="0.2">
      <c r="B9" s="1175"/>
      <c r="C9" s="299"/>
      <c r="D9" s="299"/>
      <c r="E9" s="1143"/>
      <c r="F9" s="299"/>
      <c r="G9" s="299"/>
      <c r="H9" s="299"/>
      <c r="I9" s="299"/>
    </row>
    <row r="10" spans="2:10" s="294" customFormat="1" ht="12.75" customHeight="1" x14ac:dyDescent="0.2">
      <c r="B10" s="1176" t="s">
        <v>1272</v>
      </c>
      <c r="C10" s="1177"/>
      <c r="D10" s="1177"/>
      <c r="E10" s="1033"/>
    </row>
    <row r="11" spans="2:10" s="294" customFormat="1" ht="13.5" customHeight="1" x14ac:dyDescent="0.2">
      <c r="B11" s="1113" t="s">
        <v>1271</v>
      </c>
      <c r="C11" s="2655" t="s">
        <v>1154</v>
      </c>
      <c r="D11" s="2655"/>
      <c r="E11" s="1178"/>
      <c r="F11" s="1178"/>
      <c r="G11" s="1178"/>
    </row>
    <row r="12" spans="2:10" s="294" customFormat="1" ht="11.45" customHeight="1" x14ac:dyDescent="0.2">
      <c r="B12" s="1117"/>
      <c r="C12" s="1179" t="s">
        <v>1425</v>
      </c>
      <c r="D12" s="1180"/>
      <c r="E12" s="1033"/>
    </row>
    <row r="13" spans="2:10" s="294" customFormat="1" ht="12.75" customHeight="1" x14ac:dyDescent="0.2">
      <c r="B13" s="1181"/>
      <c r="C13" s="1146"/>
      <c r="D13" s="1146"/>
      <c r="E13" s="1033"/>
    </row>
    <row r="14" spans="2:10" s="294" customFormat="1" ht="12.75" customHeight="1" x14ac:dyDescent="0.2">
      <c r="B14" s="1128" t="s">
        <v>1270</v>
      </c>
      <c r="C14" s="1057"/>
      <c r="E14" s="1033"/>
    </row>
    <row r="15" spans="2:10" s="294" customFormat="1" ht="13.5" customHeight="1" x14ac:dyDescent="0.2">
      <c r="B15" s="1182" t="s">
        <v>1267</v>
      </c>
      <c r="C15" s="1183"/>
      <c r="D15" s="1157"/>
      <c r="E15" s="1184"/>
      <c r="F15" s="1075" t="s">
        <v>879</v>
      </c>
      <c r="G15" s="1184" t="s">
        <v>2048</v>
      </c>
      <c r="H15" s="1075" t="s">
        <v>1265</v>
      </c>
      <c r="I15" s="1075"/>
    </row>
    <row r="16" spans="2:10" s="294" customFormat="1" ht="8.4499999999999993" customHeight="1" x14ac:dyDescent="0.2">
      <c r="B16" s="1128"/>
      <c r="C16" s="1057"/>
      <c r="E16" s="1143"/>
      <c r="F16" s="1075"/>
      <c r="G16" s="299"/>
      <c r="H16" s="1075"/>
      <c r="I16" s="1075"/>
    </row>
    <row r="17" spans="2:9" s="294" customFormat="1" ht="13.5" customHeight="1" x14ac:dyDescent="0.2">
      <c r="B17" s="1182" t="s">
        <v>1266</v>
      </c>
      <c r="C17" s="1183"/>
      <c r="D17" s="1157"/>
      <c r="E17" s="1185"/>
      <c r="F17" s="1032"/>
      <c r="G17" s="1185"/>
      <c r="H17" s="1075"/>
      <c r="I17" s="1075"/>
    </row>
    <row r="18" spans="2:9" s="294" customFormat="1" ht="12.75" customHeight="1" x14ac:dyDescent="0.2">
      <c r="B18" s="1182" t="s">
        <v>1426</v>
      </c>
      <c r="C18" s="1183"/>
      <c r="D18" s="1157"/>
      <c r="E18" s="1184"/>
      <c r="F18" s="1075" t="s">
        <v>879</v>
      </c>
      <c r="G18" s="1184" t="s">
        <v>2048</v>
      </c>
      <c r="H18" s="1075" t="s">
        <v>1265</v>
      </c>
      <c r="I18" s="1075"/>
    </row>
    <row r="19" spans="2:9" s="294" customFormat="1" ht="8.4499999999999993" customHeight="1" x14ac:dyDescent="0.2">
      <c r="B19" s="1128"/>
      <c r="C19" s="1057"/>
      <c r="E19" s="1143"/>
      <c r="F19" s="1075"/>
      <c r="G19" s="299"/>
      <c r="H19" s="1075"/>
      <c r="I19" s="1075"/>
    </row>
    <row r="20" spans="2:9" s="294" customFormat="1" ht="13.5" customHeight="1" x14ac:dyDescent="0.2">
      <c r="B20" s="1182" t="s">
        <v>1574</v>
      </c>
      <c r="C20" s="1183"/>
      <c r="D20" s="1157"/>
      <c r="E20" s="1184"/>
      <c r="F20" s="1075" t="s">
        <v>879</v>
      </c>
      <c r="G20" s="1184" t="s">
        <v>2048</v>
      </c>
      <c r="H20" s="1075" t="s">
        <v>99</v>
      </c>
      <c r="I20" s="1075"/>
    </row>
    <row r="21" spans="2:9" s="294" customFormat="1" ht="12.75" customHeight="1" x14ac:dyDescent="0.2">
      <c r="B21" s="1128"/>
      <c r="C21" s="1057"/>
      <c r="E21" s="1143"/>
      <c r="F21" s="1075"/>
      <c r="G21" s="299"/>
      <c r="H21" s="1075"/>
      <c r="I21" s="1075"/>
    </row>
    <row r="22" spans="2:9" s="294" customFormat="1" ht="12.75" customHeight="1" x14ac:dyDescent="0.2">
      <c r="B22" s="1176" t="s">
        <v>1269</v>
      </c>
      <c r="C22" s="1186"/>
      <c r="D22" s="1177"/>
      <c r="E22" s="1143"/>
      <c r="F22" s="1075"/>
      <c r="G22" s="299"/>
      <c r="H22" s="1075"/>
      <c r="I22" s="1075"/>
    </row>
    <row r="23" spans="2:9" s="294" customFormat="1" ht="12.75" customHeight="1" x14ac:dyDescent="0.2">
      <c r="B23" s="1128" t="s">
        <v>1268</v>
      </c>
      <c r="C23" s="1057"/>
      <c r="E23" s="1143"/>
      <c r="F23" s="1075"/>
      <c r="G23" s="299"/>
      <c r="H23" s="1075"/>
      <c r="I23" s="1075"/>
    </row>
    <row r="24" spans="2:9" s="294" customFormat="1" ht="13.5" customHeight="1" x14ac:dyDescent="0.2">
      <c r="B24" s="1182" t="s">
        <v>1267</v>
      </c>
      <c r="C24" s="1183"/>
      <c r="D24" s="1157"/>
      <c r="E24" s="1184"/>
      <c r="F24" s="1075" t="s">
        <v>879</v>
      </c>
      <c r="G24" s="1184" t="s">
        <v>2048</v>
      </c>
      <c r="H24" s="1075" t="s">
        <v>1265</v>
      </c>
      <c r="I24" s="1075"/>
    </row>
    <row r="25" spans="2:9" s="294" customFormat="1" ht="8.4499999999999993" customHeight="1" x14ac:dyDescent="0.2">
      <c r="B25" s="1128"/>
      <c r="C25" s="1057"/>
      <c r="E25" s="1143"/>
      <c r="F25" s="1075"/>
      <c r="G25" s="299"/>
      <c r="H25" s="1075"/>
      <c r="I25" s="1075"/>
    </row>
    <row r="26" spans="2:9" s="294" customFormat="1" ht="13.5" customHeight="1" x14ac:dyDescent="0.2">
      <c r="B26" s="1182" t="s">
        <v>1266</v>
      </c>
      <c r="C26" s="1183"/>
      <c r="D26" s="1157"/>
      <c r="E26" s="1185"/>
      <c r="F26" s="1032"/>
      <c r="G26" s="1185"/>
      <c r="H26" s="1075"/>
      <c r="I26" s="1075"/>
    </row>
    <row r="27" spans="2:9" s="294" customFormat="1" ht="12.75" customHeight="1" x14ac:dyDescent="0.2">
      <c r="B27" s="1182" t="s">
        <v>1426</v>
      </c>
      <c r="C27" s="1183"/>
      <c r="D27" s="1157"/>
      <c r="E27" s="1184"/>
      <c r="F27" s="1075" t="s">
        <v>879</v>
      </c>
      <c r="G27" s="1184" t="s">
        <v>2048</v>
      </c>
      <c r="H27" s="1075" t="s">
        <v>1265</v>
      </c>
      <c r="I27" s="1075"/>
    </row>
    <row r="28" spans="2:9" s="294" customFormat="1" ht="12.75" customHeight="1" x14ac:dyDescent="0.2">
      <c r="B28" s="1128"/>
      <c r="C28" s="1057"/>
      <c r="E28" s="1033"/>
    </row>
    <row r="29" spans="2:9" s="294" customFormat="1" ht="12.75" customHeight="1" x14ac:dyDescent="0.2">
      <c r="B29" s="1128" t="s">
        <v>1264</v>
      </c>
      <c r="C29" s="1057"/>
      <c r="D29" s="2656" t="s">
        <v>2121</v>
      </c>
      <c r="E29" s="2656"/>
      <c r="F29" s="2656"/>
      <c r="G29" s="2656"/>
      <c r="H29" s="2656"/>
      <c r="I29" s="2656"/>
    </row>
    <row r="30" spans="2:9" s="294" customFormat="1" x14ac:dyDescent="0.2">
      <c r="B30" s="1128"/>
      <c r="C30" s="299"/>
      <c r="D30" s="1179" t="s">
        <v>1722</v>
      </c>
      <c r="E30" s="1180"/>
      <c r="F30" s="1180"/>
      <c r="G30" s="1180"/>
      <c r="H30" s="1180"/>
      <c r="I30" s="1180"/>
    </row>
    <row r="31" spans="2:9" s="294" customFormat="1" ht="9.9499999999999993" customHeight="1" x14ac:dyDescent="0.2">
      <c r="B31" s="1128"/>
      <c r="E31" s="1033"/>
    </row>
    <row r="32" spans="2:9" s="294" customFormat="1" x14ac:dyDescent="0.2">
      <c r="B32" s="1128" t="s">
        <v>1263</v>
      </c>
      <c r="C32" s="1057"/>
      <c r="E32" s="1033"/>
    </row>
    <row r="33" spans="2:9" ht="13.5" customHeight="1" x14ac:dyDescent="0.2">
      <c r="B33" s="1128" t="s">
        <v>1535</v>
      </c>
      <c r="C33" s="1057"/>
      <c r="E33" s="1184"/>
      <c r="F33" s="1075" t="s">
        <v>879</v>
      </c>
      <c r="G33" s="1184" t="s">
        <v>2048</v>
      </c>
      <c r="H33" s="1075" t="s">
        <v>99</v>
      </c>
    </row>
    <row r="35" spans="2:9" x14ac:dyDescent="0.2">
      <c r="B35" s="1187" t="s">
        <v>1723</v>
      </c>
      <c r="C35" s="1188"/>
      <c r="D35" s="1042"/>
    </row>
    <row r="36" spans="2:9" ht="6" customHeight="1" x14ac:dyDescent="0.2">
      <c r="B36" s="1187"/>
      <c r="C36" s="1188"/>
      <c r="D36" s="1042"/>
    </row>
    <row r="37" spans="2:9" x14ac:dyDescent="0.2">
      <c r="B37" s="1189" t="s">
        <v>1724</v>
      </c>
      <c r="C37" s="2657" t="s">
        <v>1725</v>
      </c>
      <c r="D37" s="2658"/>
      <c r="E37" s="2658"/>
      <c r="F37" s="2659"/>
      <c r="G37" s="2657" t="s">
        <v>1575</v>
      </c>
      <c r="H37" s="2658"/>
      <c r="I37" s="2659"/>
    </row>
    <row r="38" spans="2:9" x14ac:dyDescent="0.2">
      <c r="B38" s="1190" t="s">
        <v>2123</v>
      </c>
      <c r="C38" s="2638" t="s">
        <v>2122</v>
      </c>
      <c r="D38" s="2639"/>
      <c r="E38" s="2639"/>
      <c r="F38" s="2640"/>
      <c r="G38" s="2635">
        <f>+' SEFA (2)'!I12+' SEFA (2)'!I13+' SEFA (2)'!I14+' SEFA (2)'!I15+' SEFA (2)'!I18+' SEFA (2)'!I20+' SEFA (2)'!I22</f>
        <v>685430</v>
      </c>
      <c r="H38" s="2636"/>
      <c r="I38" s="2637"/>
    </row>
    <row r="39" spans="2:9" x14ac:dyDescent="0.2">
      <c r="B39" s="1190"/>
      <c r="C39" s="2638"/>
      <c r="D39" s="2639"/>
      <c r="E39" s="2639"/>
      <c r="F39" s="2640"/>
      <c r="G39" s="2635"/>
      <c r="H39" s="2636"/>
      <c r="I39" s="2637"/>
    </row>
    <row r="40" spans="2:9" x14ac:dyDescent="0.2">
      <c r="B40" s="1190"/>
      <c r="C40" s="2638"/>
      <c r="D40" s="2639"/>
      <c r="E40" s="2639"/>
      <c r="F40" s="2640"/>
      <c r="G40" s="2635"/>
      <c r="H40" s="2636"/>
      <c r="I40" s="2637"/>
    </row>
    <row r="41" spans="2:9" x14ac:dyDescent="0.2">
      <c r="B41" s="1190"/>
      <c r="C41" s="2638"/>
      <c r="D41" s="2639"/>
      <c r="E41" s="2639"/>
      <c r="F41" s="2640"/>
      <c r="G41" s="2648"/>
      <c r="H41" s="2648"/>
      <c r="I41" s="2648"/>
    </row>
    <row r="42" spans="2:9" x14ac:dyDescent="0.2">
      <c r="B42" s="1190"/>
      <c r="C42" s="2638"/>
      <c r="D42" s="2639"/>
      <c r="E42" s="2639"/>
      <c r="F42" s="2640"/>
      <c r="G42" s="2648"/>
      <c r="H42" s="2648"/>
      <c r="I42" s="2648"/>
    </row>
    <row r="43" spans="2:9" x14ac:dyDescent="0.2">
      <c r="B43" s="1190"/>
      <c r="C43" s="2641" t="s">
        <v>1576</v>
      </c>
      <c r="D43" s="2642"/>
      <c r="E43" s="2642"/>
      <c r="F43" s="2643"/>
      <c r="G43" s="2644">
        <f>SUM(G38:I42)</f>
        <v>685430</v>
      </c>
      <c r="H43" s="2644"/>
      <c r="I43" s="2644"/>
    </row>
    <row r="44" spans="2:9" ht="12.75" customHeight="1" x14ac:dyDescent="0.2"/>
    <row r="45" spans="2:9" ht="12.75" customHeight="1" x14ac:dyDescent="0.2">
      <c r="B45" s="1903" t="str">
        <f>"Total Federal Expenditures for 7/1/"&amp;MID('AFR20'!E2,3,2)-1&amp;"-6/30/"&amp;MID('AFR20'!E2,3,2)</f>
        <v>Total Federal Expenditures for 7/1/19-6/30/20</v>
      </c>
      <c r="C45" s="1904"/>
      <c r="D45" s="2645">
        <f>+' SEFA (2)'!I30</f>
        <v>1613308</v>
      </c>
      <c r="E45" s="2646"/>
    </row>
    <row r="46" spans="2:9" ht="5.25" customHeight="1" x14ac:dyDescent="0.2">
      <c r="B46" s="1191"/>
      <c r="D46" s="1192"/>
      <c r="E46" s="1193"/>
    </row>
    <row r="47" spans="2:9" ht="12.75" customHeight="1" x14ac:dyDescent="0.2">
      <c r="B47" s="1075" t="s">
        <v>1577</v>
      </c>
      <c r="C47" s="1075"/>
      <c r="D47" s="1194">
        <f>+G43/D45</f>
        <v>0.4248599771401369</v>
      </c>
      <c r="E47" s="1195"/>
      <c r="F47" s="1196"/>
      <c r="I47" s="1197"/>
    </row>
    <row r="48" spans="2:9" ht="9.9499999999999993" customHeight="1" x14ac:dyDescent="0.2"/>
    <row r="49" spans="1:9" x14ac:dyDescent="0.2">
      <c r="B49" s="1128" t="s">
        <v>1262</v>
      </c>
      <c r="C49" s="1057"/>
      <c r="D49" s="1057"/>
      <c r="E49" s="2647">
        <v>750000</v>
      </c>
      <c r="F49" s="2647"/>
      <c r="G49" s="2647"/>
      <c r="H49" s="299"/>
    </row>
    <row r="51" spans="1:9" ht="13.5" customHeight="1" x14ac:dyDescent="0.2">
      <c r="B51" s="1128" t="s">
        <v>1261</v>
      </c>
      <c r="C51" s="1057"/>
      <c r="E51" s="1184"/>
      <c r="F51" s="1075" t="s">
        <v>879</v>
      </c>
      <c r="G51" s="1184" t="s">
        <v>2048</v>
      </c>
      <c r="H51" s="1075" t="s">
        <v>99</v>
      </c>
    </row>
    <row r="52" spans="1:9" x14ac:dyDescent="0.2">
      <c r="B52" s="1120"/>
      <c r="C52" s="1072"/>
      <c r="D52" s="1198"/>
      <c r="E52" s="1199"/>
      <c r="F52" s="1200"/>
      <c r="G52" s="1200"/>
      <c r="H52" s="1200"/>
      <c r="I52" s="1200"/>
    </row>
    <row r="53" spans="1:9" ht="6" customHeight="1" x14ac:dyDescent="0.2">
      <c r="B53" s="1175"/>
      <c r="C53" s="299"/>
      <c r="D53" s="1201"/>
      <c r="E53" s="1202"/>
      <c r="F53" s="1203"/>
      <c r="G53" s="1203"/>
      <c r="H53" s="1203"/>
      <c r="I53" s="1203"/>
    </row>
    <row r="54" spans="1:9" s="1207" customFormat="1" ht="14.25" x14ac:dyDescent="0.2">
      <c r="A54" s="1204"/>
      <c r="B54" s="1205" t="s">
        <v>1726</v>
      </c>
      <c r="C54" s="1206"/>
      <c r="D54" s="1206"/>
    </row>
    <row r="55" spans="1:9" s="1207" customFormat="1" ht="12.75" customHeight="1" x14ac:dyDescent="0.2">
      <c r="A55" s="1204"/>
      <c r="B55" s="1208" t="s">
        <v>1578</v>
      </c>
      <c r="C55" s="1204"/>
      <c r="D55" s="1204"/>
    </row>
    <row r="56" spans="1:9" s="1207" customFormat="1" ht="12.75" customHeight="1" x14ac:dyDescent="0.2">
      <c r="A56" s="1204"/>
      <c r="B56" s="1208" t="s">
        <v>1579</v>
      </c>
      <c r="C56" s="1204"/>
      <c r="D56" s="1204"/>
    </row>
    <row r="57" spans="1:9" s="1207" customFormat="1" ht="3.95" customHeight="1" x14ac:dyDescent="0.2">
      <c r="A57" s="1204"/>
      <c r="B57" s="1208"/>
      <c r="C57" s="1204"/>
      <c r="D57" s="1204"/>
    </row>
    <row r="58" spans="1:9" s="1207" customFormat="1" ht="13.5" customHeight="1" x14ac:dyDescent="0.2">
      <c r="A58" s="1204"/>
      <c r="B58" s="1209" t="s">
        <v>1727</v>
      </c>
      <c r="C58" s="1210"/>
      <c r="D58" s="1210"/>
    </row>
    <row r="59" spans="1:9" s="1207" customFormat="1" ht="3.95" customHeight="1" x14ac:dyDescent="0.2">
      <c r="A59" s="1204"/>
      <c r="B59" s="1209"/>
      <c r="C59" s="1210"/>
      <c r="D59" s="1210"/>
    </row>
    <row r="60" spans="1:9" s="1207" customFormat="1" ht="13.5" customHeight="1" x14ac:dyDescent="0.2">
      <c r="A60" s="1204"/>
      <c r="B60" s="1209" t="s">
        <v>1728</v>
      </c>
      <c r="C60" s="1210"/>
      <c r="D60" s="1210"/>
    </row>
    <row r="61" spans="1:9" s="1207" customFormat="1" ht="3.95" customHeight="1" x14ac:dyDescent="0.2">
      <c r="A61" s="1204"/>
      <c r="B61" s="1209"/>
      <c r="C61" s="1210"/>
      <c r="D61" s="1210"/>
    </row>
    <row r="62" spans="1:9" s="1207" customFormat="1" ht="12.75" customHeight="1" x14ac:dyDescent="0.2">
      <c r="A62" s="1204"/>
      <c r="B62" s="1209" t="s">
        <v>1729</v>
      </c>
      <c r="C62" s="1210"/>
      <c r="D62" s="1210"/>
    </row>
    <row r="63" spans="1:9" s="1207" customFormat="1" ht="13.5" customHeight="1" x14ac:dyDescent="0.2">
      <c r="A63" s="1204"/>
      <c r="B63" s="1208" t="s">
        <v>1580</v>
      </c>
      <c r="C63" s="1204"/>
      <c r="D63" s="120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E49:G49"/>
    <mergeCell ref="C41:F41"/>
    <mergeCell ref="G41:I41"/>
    <mergeCell ref="C42:F42"/>
    <mergeCell ref="G42:I42"/>
    <mergeCell ref="G40:I40"/>
    <mergeCell ref="C40:F40"/>
    <mergeCell ref="C43:F43"/>
    <mergeCell ref="G43:I43"/>
    <mergeCell ref="D45:E45"/>
  </mergeCells>
  <printOptions horizontalCentered="1"/>
  <pageMargins left="0.25" right="0.25"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F16" sqref="F1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49" t="str">
        <f>'Single Audit Cover'!A7</f>
        <v>Hazel Crest SD 152-5</v>
      </c>
      <c r="C1" s="2649"/>
      <c r="D1" s="2649"/>
      <c r="E1" s="2649"/>
      <c r="F1" s="2649"/>
      <c r="G1" s="2649"/>
      <c r="H1" s="2649"/>
      <c r="I1" s="2649"/>
      <c r="J1" s="2649"/>
      <c r="K1" s="2649"/>
      <c r="L1" s="1134"/>
      <c r="M1" s="1134"/>
    </row>
    <row r="2" spans="1:13" ht="12" customHeight="1" x14ac:dyDescent="0.2">
      <c r="B2" s="2651">
        <f>'Single Audit Cover'!E7</f>
        <v>7016152502</v>
      </c>
      <c r="C2" s="2651"/>
      <c r="D2" s="2651"/>
      <c r="E2" s="2651"/>
      <c r="F2" s="2651"/>
      <c r="G2" s="2651"/>
      <c r="H2" s="2651"/>
      <c r="I2" s="2651"/>
      <c r="J2" s="2651"/>
      <c r="K2" s="2651"/>
      <c r="L2" s="1135"/>
      <c r="M2" s="1136"/>
    </row>
    <row r="3" spans="1:13" ht="10.35" customHeight="1" x14ac:dyDescent="0.2">
      <c r="B3" s="2662" t="s">
        <v>1274</v>
      </c>
      <c r="C3" s="2662"/>
      <c r="D3" s="2662"/>
      <c r="E3" s="2662"/>
      <c r="F3" s="2662"/>
      <c r="G3" s="2662"/>
      <c r="H3" s="2662"/>
      <c r="I3" s="2662"/>
      <c r="J3" s="2662"/>
      <c r="K3" s="2662"/>
      <c r="L3" s="1137"/>
      <c r="M3" s="1137"/>
    </row>
    <row r="4" spans="1:13" ht="14.25" customHeight="1" x14ac:dyDescent="0.2">
      <c r="B4" s="2663" t="str">
        <f>'Single Audit Cover'!A4</f>
        <v>Year Ending June 30, 2020</v>
      </c>
      <c r="C4" s="2663"/>
      <c r="D4" s="2663"/>
      <c r="E4" s="2663"/>
      <c r="F4" s="2663"/>
      <c r="G4" s="2663"/>
      <c r="H4" s="2663"/>
      <c r="I4" s="2663"/>
      <c r="J4" s="2663"/>
      <c r="K4" s="2663"/>
      <c r="L4" s="290"/>
      <c r="M4" s="290"/>
    </row>
    <row r="5" spans="1:13" ht="7.5" customHeight="1" x14ac:dyDescent="0.2">
      <c r="B5" s="1035" t="s">
        <v>1159</v>
      </c>
      <c r="C5" s="1035"/>
    </row>
    <row r="6" spans="1:13" ht="7.5" customHeight="1" x14ac:dyDescent="0.2">
      <c r="B6" s="1138"/>
      <c r="C6" s="1138"/>
      <c r="D6" s="1139"/>
      <c r="E6" s="1139"/>
      <c r="F6" s="1139"/>
      <c r="G6" s="1140"/>
      <c r="H6" s="1139"/>
      <c r="I6" s="1140"/>
      <c r="J6" s="1139"/>
      <c r="K6" s="1139"/>
      <c r="L6" s="1141"/>
    </row>
    <row r="7" spans="1:13" ht="12.75" customHeight="1" x14ac:dyDescent="0.2">
      <c r="A7" s="1057"/>
      <c r="B7" s="2663" t="s">
        <v>1285</v>
      </c>
      <c r="C7" s="2663"/>
      <c r="D7" s="2664"/>
      <c r="E7" s="2664"/>
      <c r="F7" s="2664"/>
      <c r="G7" s="2664"/>
      <c r="H7" s="2664"/>
      <c r="I7" s="2664"/>
      <c r="J7" s="2664"/>
      <c r="K7" s="2664"/>
      <c r="L7" s="1142"/>
    </row>
    <row r="8" spans="1:13" ht="7.5" customHeight="1" x14ac:dyDescent="0.2">
      <c r="B8" s="299"/>
      <c r="C8" s="299"/>
      <c r="D8" s="299"/>
      <c r="E8" s="299"/>
      <c r="F8" s="299"/>
      <c r="G8" s="1143"/>
      <c r="H8" s="299"/>
      <c r="I8" s="1143"/>
      <c r="J8" s="299"/>
      <c r="K8" s="299"/>
      <c r="L8" s="1141"/>
    </row>
    <row r="9" spans="1:13" ht="9.6" customHeight="1" x14ac:dyDescent="0.2">
      <c r="B9" s="1139"/>
      <c r="C9" s="1139"/>
      <c r="D9" s="1139"/>
      <c r="E9" s="1139"/>
      <c r="F9" s="1139"/>
      <c r="G9" s="1140"/>
      <c r="H9" s="1139"/>
      <c r="I9" s="1140"/>
      <c r="J9" s="1139"/>
      <c r="K9" s="1139"/>
      <c r="L9" s="1141"/>
    </row>
    <row r="10" spans="1:13" ht="16.5" customHeight="1" x14ac:dyDescent="0.2">
      <c r="B10" s="1144" t="s">
        <v>1716</v>
      </c>
      <c r="C10" s="1905" t="str">
        <f>'AFR20'!$E$2&amp;"-"</f>
        <v>2020-</v>
      </c>
      <c r="D10" s="1145" t="s">
        <v>2124</v>
      </c>
      <c r="E10" s="299"/>
      <c r="F10" s="1146" t="s">
        <v>1284</v>
      </c>
      <c r="G10" s="1147"/>
      <c r="H10" s="1148" t="s">
        <v>1283</v>
      </c>
      <c r="I10" s="1147"/>
      <c r="J10" s="1149" t="s">
        <v>1282</v>
      </c>
      <c r="K10" s="299"/>
      <c r="L10" s="1141"/>
    </row>
    <row r="11" spans="1:13" ht="13.5" customHeight="1" x14ac:dyDescent="0.2">
      <c r="B11" s="299"/>
      <c r="C11" s="299"/>
      <c r="D11" s="299"/>
      <c r="E11" s="299"/>
      <c r="F11" s="299"/>
      <c r="G11" s="1143"/>
      <c r="H11" s="299"/>
      <c r="I11" s="1150" t="s">
        <v>1281</v>
      </c>
      <c r="J11" s="299"/>
      <c r="K11" s="1151"/>
      <c r="L11" s="1141"/>
    </row>
    <row r="12" spans="1:13" ht="13.5" customHeight="1" x14ac:dyDescent="0.2">
      <c r="B12" s="1069"/>
      <c r="C12" s="1069"/>
      <c r="D12" s="299"/>
      <c r="E12" s="299"/>
      <c r="F12" s="299"/>
      <c r="G12" s="1143"/>
      <c r="H12" s="299"/>
      <c r="I12" s="1143"/>
      <c r="J12" s="299"/>
      <c r="L12" s="1141"/>
    </row>
    <row r="13" spans="1:13" s="1057" customFormat="1" ht="13.5" customHeight="1" x14ac:dyDescent="0.2">
      <c r="B13" s="1152" t="s">
        <v>1280</v>
      </c>
      <c r="C13" s="1152"/>
      <c r="D13" s="1153"/>
      <c r="E13" s="1153"/>
      <c r="F13" s="1153"/>
      <c r="G13" s="1154"/>
      <c r="H13" s="1153"/>
      <c r="I13" s="1154"/>
      <c r="J13" s="1153"/>
      <c r="K13" s="1153"/>
      <c r="L13" s="1155"/>
    </row>
    <row r="14" spans="1:13" ht="45.75" customHeight="1" x14ac:dyDescent="0.2">
      <c r="B14" s="2661"/>
      <c r="C14" s="2661"/>
      <c r="D14" s="2661"/>
      <c r="E14" s="2661"/>
      <c r="F14" s="2661"/>
      <c r="G14" s="2661"/>
      <c r="H14" s="2661"/>
      <c r="I14" s="2661"/>
      <c r="J14" s="2661"/>
      <c r="K14" s="2661"/>
      <c r="L14" s="1156"/>
    </row>
    <row r="15" spans="1:13" ht="4.5" customHeight="1" x14ac:dyDescent="0.2">
      <c r="B15" s="1157"/>
      <c r="C15" s="1157"/>
      <c r="D15" s="1158"/>
      <c r="E15" s="1158"/>
      <c r="F15" s="1158"/>
      <c r="H15" s="1158"/>
      <c r="J15" s="1158"/>
      <c r="K15" s="1158"/>
      <c r="L15" s="1156"/>
    </row>
    <row r="16" spans="1:13" s="1057" customFormat="1" ht="13.5" customHeight="1" x14ac:dyDescent="0.2">
      <c r="B16" s="1152" t="s">
        <v>1279</v>
      </c>
      <c r="C16" s="1152"/>
      <c r="D16" s="1153"/>
      <c r="E16" s="1153"/>
      <c r="F16" s="1153"/>
      <c r="G16" s="1154"/>
      <c r="H16" s="1153"/>
      <c r="I16" s="1154"/>
      <c r="J16" s="1153"/>
      <c r="K16" s="1153"/>
      <c r="L16" s="1155"/>
    </row>
    <row r="17" spans="2:12" ht="45.75" customHeight="1" x14ac:dyDescent="0.2">
      <c r="B17" s="2661"/>
      <c r="C17" s="2661"/>
      <c r="D17" s="2661"/>
      <c r="E17" s="2661"/>
      <c r="F17" s="2661"/>
      <c r="G17" s="2661"/>
      <c r="H17" s="2661"/>
      <c r="I17" s="2661"/>
      <c r="J17" s="2661"/>
      <c r="K17" s="2661"/>
      <c r="L17" s="1141"/>
    </row>
    <row r="18" spans="2:12" ht="4.5" customHeight="1" x14ac:dyDescent="0.2">
      <c r="B18" s="1157"/>
      <c r="C18" s="1157"/>
      <c r="L18" s="1141"/>
    </row>
    <row r="19" spans="2:12" s="1057" customFormat="1" ht="13.5" customHeight="1" x14ac:dyDescent="0.2">
      <c r="B19" s="1152" t="s">
        <v>1717</v>
      </c>
      <c r="C19" s="1152"/>
      <c r="D19" s="1153"/>
      <c r="E19" s="1153"/>
      <c r="F19" s="1153"/>
      <c r="G19" s="1154"/>
      <c r="H19" s="1153"/>
      <c r="I19" s="1154"/>
      <c r="J19" s="1153"/>
      <c r="K19" s="1153"/>
      <c r="L19" s="1155"/>
    </row>
    <row r="20" spans="2:12" ht="45.75" customHeight="1" x14ac:dyDescent="0.2">
      <c r="B20" s="2665"/>
      <c r="C20" s="2665"/>
      <c r="D20" s="2661"/>
      <c r="E20" s="2661"/>
      <c r="F20" s="2661"/>
      <c r="G20" s="2661"/>
      <c r="H20" s="2661"/>
      <c r="I20" s="2661"/>
      <c r="J20" s="2661"/>
      <c r="K20" s="2661"/>
      <c r="L20" s="1141"/>
    </row>
    <row r="21" spans="2:12" ht="4.5" customHeight="1" x14ac:dyDescent="0.2">
      <c r="B21" s="1159"/>
      <c r="C21" s="1159"/>
      <c r="L21" s="1141"/>
    </row>
    <row r="22" spans="2:12" ht="13.5" customHeight="1" x14ac:dyDescent="0.2">
      <c r="B22" s="1152" t="s">
        <v>1278</v>
      </c>
      <c r="C22" s="1152"/>
      <c r="D22" s="1139"/>
      <c r="E22" s="1139"/>
      <c r="F22" s="1139"/>
      <c r="G22" s="1140"/>
      <c r="H22" s="1139"/>
      <c r="I22" s="1140"/>
      <c r="J22" s="1139"/>
      <c r="K22" s="1139"/>
      <c r="L22" s="1141"/>
    </row>
    <row r="23" spans="2:12" ht="45" customHeight="1" x14ac:dyDescent="0.2">
      <c r="B23" s="2661"/>
      <c r="C23" s="2661"/>
      <c r="D23" s="2661"/>
      <c r="E23" s="2661"/>
      <c r="F23" s="2661"/>
      <c r="G23" s="2661"/>
      <c r="H23" s="2661"/>
      <c r="I23" s="2661"/>
      <c r="J23" s="2661"/>
      <c r="K23" s="2661"/>
      <c r="L23" s="1141"/>
    </row>
    <row r="24" spans="2:12" ht="4.5" customHeight="1" x14ac:dyDescent="0.2">
      <c r="B24" s="1157"/>
      <c r="C24" s="1157"/>
      <c r="L24" s="1141"/>
    </row>
    <row r="25" spans="2:12" ht="13.5" customHeight="1" x14ac:dyDescent="0.2">
      <c r="B25" s="1152" t="s">
        <v>1277</v>
      </c>
      <c r="C25" s="1152"/>
      <c r="D25" s="1139"/>
      <c r="E25" s="1139"/>
      <c r="F25" s="1139"/>
      <c r="G25" s="1140"/>
      <c r="H25" s="1139"/>
      <c r="I25" s="1140"/>
      <c r="J25" s="1139"/>
      <c r="K25" s="1139"/>
      <c r="L25" s="1141"/>
    </row>
    <row r="26" spans="2:12" ht="45.75" customHeight="1" x14ac:dyDescent="0.2">
      <c r="B26" s="2661"/>
      <c r="C26" s="2661"/>
      <c r="D26" s="2661"/>
      <c r="E26" s="2661"/>
      <c r="F26" s="2661"/>
      <c r="G26" s="2661"/>
      <c r="H26" s="2661"/>
      <c r="I26" s="2661"/>
      <c r="J26" s="2661"/>
      <c r="K26" s="2661"/>
      <c r="L26" s="1141"/>
    </row>
    <row r="27" spans="2:12" ht="4.5" customHeight="1" x14ac:dyDescent="0.2">
      <c r="B27" s="1157"/>
      <c r="C27" s="1157"/>
      <c r="L27" s="1141"/>
    </row>
    <row r="28" spans="2:12" ht="13.5" customHeight="1" x14ac:dyDescent="0.2">
      <c r="B28" s="1160" t="s">
        <v>1276</v>
      </c>
      <c r="C28" s="1160"/>
      <c r="D28" s="1139"/>
      <c r="E28" s="1139"/>
      <c r="F28" s="1139"/>
      <c r="G28" s="1140"/>
      <c r="H28" s="1139"/>
      <c r="I28" s="1140"/>
      <c r="J28" s="1139"/>
      <c r="K28" s="1139"/>
      <c r="L28" s="1141"/>
    </row>
    <row r="29" spans="2:12" ht="45.75" customHeight="1" x14ac:dyDescent="0.2">
      <c r="B29" s="2660"/>
      <c r="C29" s="2660"/>
      <c r="D29" s="2661"/>
      <c r="E29" s="2661"/>
      <c r="F29" s="2661"/>
      <c r="G29" s="2661"/>
      <c r="H29" s="2661"/>
      <c r="I29" s="2661"/>
      <c r="J29" s="2661"/>
      <c r="K29" s="2661"/>
      <c r="L29" s="1141"/>
    </row>
    <row r="30" spans="2:12" ht="4.5" customHeight="1" x14ac:dyDescent="0.2">
      <c r="B30" s="1161"/>
      <c r="C30" s="1161"/>
      <c r="D30" s="299"/>
      <c r="E30" s="299"/>
      <c r="F30" s="299"/>
      <c r="G30" s="1143"/>
      <c r="H30" s="299"/>
      <c r="I30" s="1143"/>
      <c r="J30" s="299"/>
      <c r="K30" s="299"/>
      <c r="L30" s="1141"/>
    </row>
    <row r="31" spans="2:12" s="299" customFormat="1" ht="13.5" customHeight="1" x14ac:dyDescent="0.2">
      <c r="B31" s="1162" t="s">
        <v>1718</v>
      </c>
      <c r="C31" s="1162"/>
      <c r="D31" s="1138"/>
      <c r="E31" s="1139"/>
      <c r="F31" s="1139"/>
      <c r="G31" s="1140"/>
      <c r="H31" s="1139"/>
      <c r="I31" s="1140"/>
      <c r="J31" s="1139"/>
      <c r="K31" s="1139"/>
      <c r="L31" s="1141"/>
    </row>
    <row r="32" spans="2:12" s="299" customFormat="1" ht="44.25" customHeight="1" x14ac:dyDescent="0.2">
      <c r="B32" s="2660"/>
      <c r="C32" s="2660"/>
      <c r="D32" s="2661"/>
      <c r="E32" s="2661"/>
      <c r="F32" s="2661"/>
      <c r="G32" s="2661"/>
      <c r="H32" s="2661"/>
      <c r="I32" s="2661"/>
      <c r="J32" s="2661"/>
      <c r="K32" s="2661"/>
      <c r="L32" s="1141"/>
    </row>
    <row r="33" spans="1:13" s="299" customFormat="1" ht="4.5" customHeight="1" x14ac:dyDescent="0.2">
      <c r="B33" s="1161"/>
      <c r="C33" s="1161"/>
      <c r="G33" s="1143"/>
      <c r="I33" s="1143"/>
      <c r="L33" s="1141"/>
    </row>
    <row r="34" spans="1:13" s="299" customFormat="1" x14ac:dyDescent="0.2">
      <c r="A34" s="1072"/>
      <c r="B34" s="1163"/>
      <c r="C34" s="1163"/>
      <c r="D34" s="1163"/>
      <c r="E34" s="1163"/>
      <c r="F34" s="1163"/>
      <c r="G34" s="1164"/>
      <c r="H34" s="1163"/>
      <c r="I34" s="1164"/>
      <c r="J34" s="1163"/>
      <c r="K34" s="1163"/>
      <c r="L34" s="1141"/>
    </row>
    <row r="35" spans="1:13" ht="11.85" customHeight="1" x14ac:dyDescent="0.2">
      <c r="B35" s="1165" t="s">
        <v>1719</v>
      </c>
      <c r="C35" s="1165"/>
      <c r="D35" s="299"/>
      <c r="E35" s="299"/>
      <c r="F35" s="299"/>
      <c r="L35" s="1141"/>
    </row>
    <row r="36" spans="1:13" ht="9.6" customHeight="1" x14ac:dyDescent="0.2">
      <c r="B36" s="1075" t="s">
        <v>1810</v>
      </c>
      <c r="C36" s="1075"/>
      <c r="L36" s="1141"/>
    </row>
    <row r="37" spans="1:13" ht="9.6" customHeight="1" x14ac:dyDescent="0.2">
      <c r="B37" s="1075" t="s">
        <v>1811</v>
      </c>
      <c r="C37" s="1075"/>
    </row>
    <row r="38" spans="1:13" ht="11.85" customHeight="1" x14ac:dyDescent="0.2">
      <c r="B38" s="1166" t="s">
        <v>1720</v>
      </c>
      <c r="C38" s="1166"/>
    </row>
    <row r="39" spans="1:13" ht="9.6" customHeight="1" x14ac:dyDescent="0.2">
      <c r="B39" s="1075" t="s">
        <v>1275</v>
      </c>
      <c r="C39" s="1075"/>
      <c r="M39" s="1167"/>
    </row>
    <row r="40" spans="1:13" ht="12.6" customHeight="1" x14ac:dyDescent="0.2">
      <c r="B40" s="1166" t="s">
        <v>1721</v>
      </c>
      <c r="C40" s="1166"/>
      <c r="M40" s="1167"/>
    </row>
    <row r="41" spans="1:13" ht="9.6" customHeight="1" x14ac:dyDescent="0.2">
      <c r="B41" s="1075"/>
      <c r="C41" s="1075"/>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25" right="0.25"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Q20" sqref="Q20"/>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69" t="str">
        <f>'Single Audit Cover'!A7</f>
        <v>Hazel Crest SD 152-5</v>
      </c>
      <c r="C1" s="2669"/>
      <c r="D1" s="2669"/>
      <c r="E1" s="2669"/>
      <c r="F1" s="2669"/>
      <c r="G1" s="2669"/>
      <c r="H1" s="2669"/>
      <c r="I1" s="2669"/>
      <c r="J1" s="2669"/>
      <c r="K1" s="2669"/>
      <c r="L1" s="1211"/>
    </row>
    <row r="2" spans="1:12" ht="12.75" customHeight="1" x14ac:dyDescent="0.2">
      <c r="B2" s="2670">
        <f>'Single Audit Cover'!E7</f>
        <v>7016152502</v>
      </c>
      <c r="C2" s="2670"/>
      <c r="D2" s="2670"/>
      <c r="E2" s="2670"/>
      <c r="F2" s="2670"/>
      <c r="G2" s="2670"/>
      <c r="H2" s="2670"/>
      <c r="I2" s="2670"/>
      <c r="J2" s="2670"/>
      <c r="K2" s="2670"/>
      <c r="L2" s="1212"/>
    </row>
    <row r="3" spans="1:12" ht="12.75" customHeight="1" x14ac:dyDescent="0.2">
      <c r="B3" s="2662" t="s">
        <v>1274</v>
      </c>
      <c r="C3" s="2662"/>
      <c r="D3" s="2662"/>
      <c r="E3" s="2662"/>
      <c r="F3" s="2662"/>
      <c r="G3" s="2662"/>
      <c r="H3" s="2662"/>
      <c r="I3" s="2662"/>
      <c r="J3" s="2662"/>
      <c r="K3" s="2662"/>
      <c r="L3" s="1137"/>
    </row>
    <row r="4" spans="1:12" ht="12.75" customHeight="1" x14ac:dyDescent="0.2">
      <c r="B4" s="2662" t="str">
        <f>'Single Audit Cover'!A4</f>
        <v>Year Ending June 30, 2020</v>
      </c>
      <c r="C4" s="2662"/>
      <c r="D4" s="2662"/>
      <c r="E4" s="2662"/>
      <c r="F4" s="2662"/>
      <c r="G4" s="2662"/>
      <c r="H4" s="2662"/>
      <c r="I4" s="2662"/>
      <c r="J4" s="2662"/>
      <c r="K4" s="2662"/>
      <c r="L4" s="1137"/>
    </row>
    <row r="5" spans="1:12" ht="5.25" customHeight="1" x14ac:dyDescent="0.2">
      <c r="B5" s="1035" t="s">
        <v>1159</v>
      </c>
      <c r="C5" s="1035"/>
      <c r="L5" s="299"/>
    </row>
    <row r="6" spans="1:12" ht="30.75" customHeight="1" x14ac:dyDescent="0.2">
      <c r="A6" s="299"/>
      <c r="B6" s="2671" t="s">
        <v>1297</v>
      </c>
      <c r="C6" s="2671"/>
      <c r="D6" s="2671"/>
      <c r="E6" s="2671"/>
      <c r="F6" s="2671"/>
      <c r="G6" s="2671"/>
      <c r="H6" s="2671"/>
      <c r="I6" s="2671"/>
      <c r="J6" s="2671"/>
      <c r="K6" s="2671"/>
      <c r="L6" s="299"/>
    </row>
    <row r="7" spans="1:12" ht="4.5" customHeight="1" x14ac:dyDescent="0.2">
      <c r="B7" s="1139"/>
      <c r="C7" s="1139"/>
      <c r="D7" s="1139"/>
      <c r="E7" s="1139"/>
      <c r="F7" s="1139"/>
      <c r="G7" s="1140"/>
      <c r="H7" s="1139"/>
      <c r="I7" s="1140"/>
      <c r="J7" s="1139"/>
      <c r="K7" s="1139"/>
      <c r="L7" s="299"/>
    </row>
    <row r="8" spans="1:12" ht="13.5" customHeight="1" x14ac:dyDescent="0.2">
      <c r="B8" s="1146" t="s">
        <v>1730</v>
      </c>
      <c r="C8" s="1905" t="str">
        <f>'AFR20'!$E$2&amp;"-"</f>
        <v>2020-</v>
      </c>
      <c r="D8" s="1213" t="s">
        <v>2124</v>
      </c>
      <c r="E8" s="299"/>
      <c r="F8" s="1144" t="s">
        <v>1284</v>
      </c>
      <c r="G8" s="1214"/>
      <c r="H8" s="1215" t="s">
        <v>1296</v>
      </c>
      <c r="I8" s="1214"/>
      <c r="J8" s="1216" t="s">
        <v>1295</v>
      </c>
      <c r="L8" s="299"/>
    </row>
    <row r="9" spans="1:12" ht="13.5" customHeight="1" x14ac:dyDescent="0.2">
      <c r="D9" s="299"/>
      <c r="E9" s="299"/>
      <c r="F9" s="299"/>
      <c r="G9" s="1143"/>
      <c r="H9" s="299"/>
      <c r="I9" s="1217" t="s">
        <v>1281</v>
      </c>
      <c r="J9" s="299"/>
      <c r="K9" s="1218"/>
      <c r="L9" s="299"/>
    </row>
    <row r="10" spans="1:12" ht="4.5" customHeight="1" x14ac:dyDescent="0.2">
      <c r="B10" s="1219"/>
      <c r="C10" s="1219"/>
      <c r="D10" s="1173"/>
      <c r="E10" s="1173"/>
      <c r="F10" s="1173"/>
      <c r="G10" s="1174"/>
      <c r="H10" s="1173"/>
      <c r="I10" s="1174"/>
      <c r="J10" s="1173"/>
      <c r="K10" s="1173"/>
      <c r="L10" s="299"/>
    </row>
    <row r="11" spans="1:12" ht="5.25" customHeight="1" x14ac:dyDescent="0.2">
      <c r="B11" s="299"/>
      <c r="C11" s="299"/>
      <c r="D11" s="281"/>
      <c r="E11" s="299"/>
      <c r="F11" s="299"/>
      <c r="G11" s="1143"/>
      <c r="H11" s="299"/>
      <c r="I11" s="1143"/>
      <c r="J11" s="299"/>
      <c r="K11" s="1178"/>
      <c r="L11" s="299"/>
    </row>
    <row r="12" spans="1:12" ht="13.5" customHeight="1" x14ac:dyDescent="0.2">
      <c r="B12" s="1144" t="s">
        <v>1294</v>
      </c>
      <c r="C12" s="1144"/>
      <c r="D12" s="281"/>
      <c r="E12" s="299"/>
      <c r="F12" s="2656"/>
      <c r="G12" s="2656"/>
      <c r="H12" s="2656"/>
      <c r="I12" s="2656"/>
      <c r="J12" s="2656"/>
      <c r="K12" s="2656"/>
      <c r="L12" s="299"/>
    </row>
    <row r="13" spans="1:12" ht="9.6" customHeight="1" x14ac:dyDescent="0.2">
      <c r="B13" s="1032"/>
      <c r="C13" s="1032"/>
      <c r="D13" s="281"/>
      <c r="E13" s="299"/>
      <c r="F13" s="299"/>
      <c r="G13" s="1143"/>
      <c r="H13" s="299"/>
      <c r="I13" s="1143"/>
      <c r="J13" s="299"/>
      <c r="K13" s="1178"/>
      <c r="L13" s="299"/>
    </row>
    <row r="14" spans="1:12" ht="13.5" customHeight="1" x14ac:dyDescent="0.2">
      <c r="B14" s="1146" t="s">
        <v>1293</v>
      </c>
      <c r="C14" s="1146"/>
      <c r="D14" s="2666"/>
      <c r="E14" s="2666"/>
      <c r="F14" s="2666"/>
      <c r="H14" s="1220" t="s">
        <v>1292</v>
      </c>
      <c r="I14" s="2667"/>
      <c r="J14" s="2667"/>
      <c r="K14" s="2667"/>
      <c r="L14" s="299"/>
    </row>
    <row r="15" spans="1:12" ht="9.4" customHeight="1" x14ac:dyDescent="0.2">
      <c r="B15" s="1146"/>
      <c r="C15" s="1146"/>
      <c r="D15" s="1133"/>
      <c r="E15" s="1035"/>
      <c r="F15" s="1035"/>
      <c r="G15" s="1061"/>
      <c r="H15" s="1035"/>
      <c r="I15" s="1221"/>
      <c r="J15" s="1069"/>
      <c r="K15" s="1066"/>
      <c r="L15" s="299"/>
    </row>
    <row r="16" spans="1:12" ht="13.5" customHeight="1" x14ac:dyDescent="0.2">
      <c r="B16" s="1146" t="s">
        <v>1291</v>
      </c>
      <c r="C16" s="1146"/>
      <c r="D16" s="2667"/>
      <c r="E16" s="2667"/>
      <c r="F16" s="2667"/>
      <c r="G16" s="2667"/>
      <c r="H16" s="2667"/>
      <c r="I16" s="2667"/>
      <c r="J16" s="2667"/>
      <c r="K16" s="2667"/>
      <c r="L16" s="299"/>
    </row>
    <row r="17" spans="2:12" ht="13.5" customHeight="1" x14ac:dyDescent="0.2">
      <c r="B17" s="1146" t="s">
        <v>1290</v>
      </c>
      <c r="C17" s="1146"/>
      <c r="D17" s="2668"/>
      <c r="E17" s="2668"/>
      <c r="F17" s="2668"/>
      <c r="G17" s="2668"/>
      <c r="H17" s="2668"/>
      <c r="I17" s="2668"/>
      <c r="J17" s="2668"/>
      <c r="K17" s="2668"/>
      <c r="L17" s="299"/>
    </row>
    <row r="18" spans="2:12" ht="9.4" customHeight="1" x14ac:dyDescent="0.2">
      <c r="B18" s="1173"/>
      <c r="C18" s="1173"/>
      <c r="D18" s="1173"/>
      <c r="E18" s="1173"/>
      <c r="F18" s="1173"/>
      <c r="G18" s="1174"/>
      <c r="H18" s="1173"/>
      <c r="I18" s="1174"/>
      <c r="J18" s="1173"/>
      <c r="K18" s="1173"/>
      <c r="L18" s="299"/>
    </row>
    <row r="19" spans="2:12" ht="13.5" customHeight="1" x14ac:dyDescent="0.2">
      <c r="B19" s="1222" t="s">
        <v>1289</v>
      </c>
      <c r="C19" s="1222"/>
      <c r="D19" s="305"/>
      <c r="E19" s="305"/>
      <c r="F19" s="305"/>
      <c r="G19" s="1223"/>
      <c r="H19" s="305"/>
      <c r="I19" s="1223"/>
      <c r="J19" s="299"/>
      <c r="K19" s="299"/>
      <c r="L19" s="299"/>
    </row>
    <row r="20" spans="2:12" ht="35.25" customHeight="1" x14ac:dyDescent="0.2">
      <c r="B20" s="2661"/>
      <c r="C20" s="2661"/>
      <c r="D20" s="2661"/>
      <c r="E20" s="2661"/>
      <c r="F20" s="2661"/>
      <c r="G20" s="2661"/>
      <c r="H20" s="2661"/>
      <c r="I20" s="2661"/>
      <c r="J20" s="2661"/>
      <c r="K20" s="2661"/>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1731</v>
      </c>
      <c r="C22" s="1222"/>
      <c r="D22" s="299"/>
      <c r="E22" s="299"/>
      <c r="F22" s="299"/>
      <c r="G22" s="1143"/>
      <c r="H22" s="299"/>
      <c r="I22" s="1143"/>
      <c r="J22" s="299"/>
      <c r="K22" s="299"/>
      <c r="L22" s="299"/>
    </row>
    <row r="23" spans="2:12" ht="37.5" customHeight="1" x14ac:dyDescent="0.2">
      <c r="B23" s="2661"/>
      <c r="C23" s="2661"/>
      <c r="D23" s="2661"/>
      <c r="E23" s="2661"/>
      <c r="F23" s="2661"/>
      <c r="G23" s="2661"/>
      <c r="H23" s="2661"/>
      <c r="I23" s="2661"/>
      <c r="J23" s="2661"/>
      <c r="K23" s="2661"/>
      <c r="L23" s="299"/>
    </row>
    <row r="24" spans="2:12" ht="4.5" customHeight="1" x14ac:dyDescent="0.2">
      <c r="B24" s="1224"/>
      <c r="C24" s="1224"/>
      <c r="D24" s="1173"/>
      <c r="E24" s="1173"/>
      <c r="F24" s="1173"/>
      <c r="G24" s="1174"/>
      <c r="H24" s="1173"/>
      <c r="I24" s="1174"/>
      <c r="J24" s="1173"/>
      <c r="K24" s="1173"/>
      <c r="L24" s="299"/>
    </row>
    <row r="25" spans="2:12" ht="13.5" customHeight="1" x14ac:dyDescent="0.2">
      <c r="B25" s="1222" t="s">
        <v>1732</v>
      </c>
      <c r="C25" s="1222"/>
      <c r="D25" s="299"/>
      <c r="E25" s="299"/>
      <c r="F25" s="299"/>
      <c r="G25" s="1143"/>
      <c r="H25" s="299"/>
      <c r="I25" s="1143"/>
      <c r="J25" s="299"/>
      <c r="K25" s="299"/>
      <c r="L25" s="299"/>
    </row>
    <row r="26" spans="2:12" ht="37.5" customHeight="1" x14ac:dyDescent="0.2">
      <c r="B26" s="2661"/>
      <c r="C26" s="2661"/>
      <c r="D26" s="2661"/>
      <c r="E26" s="2661"/>
      <c r="F26" s="2661"/>
      <c r="G26" s="2661"/>
      <c r="H26" s="2661"/>
      <c r="I26" s="2661"/>
      <c r="J26" s="2661"/>
      <c r="K26" s="2661"/>
      <c r="L26" s="299"/>
    </row>
    <row r="27" spans="2:12" ht="4.5" customHeight="1" x14ac:dyDescent="0.2">
      <c r="B27" s="1226"/>
      <c r="C27" s="1226"/>
      <c r="D27" s="1226"/>
      <c r="E27" s="1173"/>
      <c r="F27" s="1173"/>
      <c r="G27" s="1174"/>
      <c r="H27" s="1173"/>
      <c r="I27" s="1174"/>
      <c r="J27" s="1173"/>
      <c r="K27" s="1173"/>
      <c r="L27" s="299"/>
    </row>
    <row r="28" spans="2:12" ht="13.5" customHeight="1" x14ac:dyDescent="0.2">
      <c r="B28" s="1222" t="s">
        <v>1733</v>
      </c>
      <c r="C28" s="1222"/>
      <c r="D28" s="299"/>
      <c r="E28" s="299"/>
      <c r="F28" s="299"/>
      <c r="G28" s="1143"/>
      <c r="H28" s="299"/>
      <c r="I28" s="1143"/>
      <c r="J28" s="299"/>
      <c r="K28" s="299"/>
      <c r="L28" s="299"/>
    </row>
    <row r="29" spans="2:12" ht="37.5" customHeight="1" x14ac:dyDescent="0.2">
      <c r="B29" s="2661"/>
      <c r="C29" s="2661"/>
      <c r="D29" s="2661"/>
      <c r="E29" s="2661"/>
      <c r="F29" s="2661"/>
      <c r="G29" s="2661"/>
      <c r="H29" s="2661"/>
      <c r="I29" s="2661"/>
      <c r="J29" s="2661"/>
      <c r="K29" s="2661"/>
      <c r="L29" s="299"/>
    </row>
    <row r="30" spans="2:12" ht="4.5" customHeight="1" x14ac:dyDescent="0.2">
      <c r="B30" s="1224"/>
      <c r="C30" s="1224"/>
      <c r="D30" s="1173"/>
      <c r="E30" s="1173"/>
      <c r="F30" s="1173"/>
      <c r="G30" s="1174"/>
      <c r="H30" s="1173"/>
      <c r="I30" s="1174"/>
      <c r="J30" s="1173"/>
      <c r="K30" s="1173"/>
      <c r="L30" s="299"/>
    </row>
    <row r="31" spans="2:12" ht="13.5" customHeight="1" x14ac:dyDescent="0.2">
      <c r="B31" s="1222" t="s">
        <v>1288</v>
      </c>
      <c r="C31" s="1222"/>
      <c r="D31" s="299"/>
      <c r="E31" s="299"/>
      <c r="F31" s="299"/>
      <c r="G31" s="1143"/>
      <c r="H31" s="299"/>
      <c r="I31" s="1143"/>
      <c r="J31" s="299"/>
      <c r="K31" s="299"/>
      <c r="L31" s="299"/>
    </row>
    <row r="32" spans="2:12" ht="37.5" customHeight="1" x14ac:dyDescent="0.2">
      <c r="B32" s="2661"/>
      <c r="C32" s="2661"/>
      <c r="D32" s="2661"/>
      <c r="E32" s="2661"/>
      <c r="F32" s="2661"/>
      <c r="G32" s="2661"/>
      <c r="H32" s="2661"/>
      <c r="I32" s="2661"/>
      <c r="J32" s="2661"/>
      <c r="K32" s="2661"/>
      <c r="L32" s="299"/>
    </row>
    <row r="33" spans="2:12" ht="4.5" customHeight="1" x14ac:dyDescent="0.2">
      <c r="B33" s="1224"/>
      <c r="C33" s="1224"/>
      <c r="D33" s="1173"/>
      <c r="E33" s="1173"/>
      <c r="F33" s="1173"/>
      <c r="G33" s="1174"/>
      <c r="H33" s="1173"/>
      <c r="I33" s="1174"/>
      <c r="J33" s="1173"/>
      <c r="K33" s="1173"/>
      <c r="L33" s="299"/>
    </row>
    <row r="34" spans="2:12" ht="13.5" customHeight="1" x14ac:dyDescent="0.2">
      <c r="B34" s="1144" t="s">
        <v>1287</v>
      </c>
      <c r="C34" s="1144"/>
      <c r="D34" s="299"/>
      <c r="E34" s="299"/>
      <c r="F34" s="299"/>
      <c r="G34" s="1143"/>
      <c r="H34" s="299"/>
      <c r="I34" s="1143"/>
      <c r="J34" s="299"/>
      <c r="K34" s="299"/>
      <c r="L34" s="299"/>
    </row>
    <row r="35" spans="2:12" ht="37.5" customHeight="1" x14ac:dyDescent="0.2">
      <c r="B35" s="2661"/>
      <c r="C35" s="2661"/>
      <c r="D35" s="2661"/>
      <c r="E35" s="2661"/>
      <c r="F35" s="2661"/>
      <c r="G35" s="2661"/>
      <c r="H35" s="2661"/>
      <c r="I35" s="2661"/>
      <c r="J35" s="2661"/>
      <c r="K35" s="2661"/>
      <c r="L35" s="299"/>
    </row>
    <row r="36" spans="2:12" ht="4.5" customHeight="1" x14ac:dyDescent="0.2">
      <c r="B36" s="1224"/>
      <c r="C36" s="1224"/>
      <c r="D36" s="1173"/>
      <c r="E36" s="1173"/>
      <c r="F36" s="1173"/>
      <c r="G36" s="1174"/>
      <c r="H36" s="1173"/>
      <c r="I36" s="1174"/>
      <c r="J36" s="1173"/>
      <c r="K36" s="1173"/>
      <c r="L36" s="299"/>
    </row>
    <row r="37" spans="2:12" ht="13.5" customHeight="1" x14ac:dyDescent="0.2">
      <c r="B37" s="1144" t="s">
        <v>1286</v>
      </c>
      <c r="C37" s="1144"/>
      <c r="D37" s="299"/>
      <c r="E37" s="299"/>
      <c r="F37" s="299"/>
      <c r="G37" s="1143"/>
      <c r="H37" s="299"/>
      <c r="I37" s="1143"/>
      <c r="J37" s="299"/>
      <c r="K37" s="299"/>
      <c r="L37" s="299"/>
    </row>
    <row r="38" spans="2:12" ht="35.25" customHeight="1" x14ac:dyDescent="0.2">
      <c r="B38" s="2661"/>
      <c r="C38" s="2661"/>
      <c r="D38" s="2661"/>
      <c r="E38" s="2661"/>
      <c r="F38" s="2661"/>
      <c r="G38" s="2661"/>
      <c r="H38" s="2661"/>
      <c r="I38" s="2661"/>
      <c r="J38" s="2661"/>
      <c r="K38" s="2661"/>
      <c r="L38" s="299"/>
    </row>
    <row r="39" spans="2:12" ht="4.5" customHeight="1" x14ac:dyDescent="0.2">
      <c r="B39" s="1161"/>
      <c r="C39" s="1161"/>
      <c r="D39" s="299"/>
      <c r="E39" s="299"/>
      <c r="F39" s="299"/>
      <c r="G39" s="1143"/>
      <c r="H39" s="299"/>
      <c r="I39" s="1143"/>
      <c r="J39" s="299"/>
      <c r="K39" s="299"/>
      <c r="L39" s="299"/>
    </row>
    <row r="40" spans="2:12" s="299" customFormat="1" ht="13.5" customHeight="1" x14ac:dyDescent="0.2">
      <c r="B40" s="1162" t="s">
        <v>1734</v>
      </c>
      <c r="C40" s="1162"/>
      <c r="D40" s="1138"/>
      <c r="E40" s="1139"/>
      <c r="F40" s="1139"/>
      <c r="G40" s="1140"/>
      <c r="H40" s="1139"/>
      <c r="I40" s="1140"/>
      <c r="J40" s="1139"/>
      <c r="K40" s="1139"/>
    </row>
    <row r="41" spans="2:12" s="299" customFormat="1" ht="33.75" customHeight="1" x14ac:dyDescent="0.2">
      <c r="B41" s="2661"/>
      <c r="C41" s="2661"/>
      <c r="D41" s="2661"/>
      <c r="E41" s="2661"/>
      <c r="F41" s="2661"/>
      <c r="G41" s="2661"/>
      <c r="H41" s="2661"/>
      <c r="I41" s="2661"/>
      <c r="J41" s="2661"/>
      <c r="K41" s="2661"/>
    </row>
    <row r="42" spans="2:12" s="299"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1735</v>
      </c>
      <c r="C44" s="1165"/>
      <c r="D44" s="299"/>
      <c r="E44" s="299"/>
      <c r="F44" s="299"/>
    </row>
    <row r="45" spans="2:12" ht="10.5" customHeight="1" x14ac:dyDescent="0.2">
      <c r="B45" s="1166" t="s">
        <v>1736</v>
      </c>
      <c r="C45" s="1166"/>
      <c r="G45" s="294"/>
      <c r="I45" s="294"/>
    </row>
    <row r="46" spans="2:12" ht="11.1" customHeight="1" x14ac:dyDescent="0.2">
      <c r="B46" s="1166" t="s">
        <v>1737</v>
      </c>
      <c r="C46" s="1166"/>
      <c r="G46" s="294"/>
      <c r="I46" s="294"/>
    </row>
    <row r="47" spans="2:12" ht="11.1" customHeight="1" x14ac:dyDescent="0.2">
      <c r="B47" s="1166" t="s">
        <v>1738</v>
      </c>
      <c r="C47" s="1166"/>
      <c r="G47" s="294"/>
      <c r="I47" s="294"/>
    </row>
    <row r="48" spans="2:12" ht="11.1" customHeight="1" x14ac:dyDescent="0.2">
      <c r="B48" s="1166" t="s">
        <v>1739</v>
      </c>
      <c r="C48" s="1166"/>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25" right="0.25"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18" sqref="D18"/>
    </sheetView>
  </sheetViews>
  <sheetFormatPr defaultColWidth="9.140625" defaultRowHeight="12.75" x14ac:dyDescent="0.2"/>
  <cols>
    <col min="1" max="1" width="1.5703125" style="294" customWidth="1"/>
    <col min="2" max="2" width="14.7109375" style="294" customWidth="1"/>
    <col min="3" max="3" width="42.855468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49" t="str">
        <f>'Single Audit Cover'!A7</f>
        <v>Hazel Crest SD 152-5</v>
      </c>
      <c r="C1" s="2649"/>
      <c r="D1" s="2649"/>
      <c r="E1" s="1230"/>
    </row>
    <row r="2" spans="2:5" s="1057" customFormat="1" ht="12.75" customHeight="1" x14ac:dyDescent="0.2">
      <c r="B2" s="2651">
        <f>'Single Audit Cover'!E7</f>
        <v>7016152502</v>
      </c>
      <c r="C2" s="2651"/>
      <c r="D2" s="2651"/>
      <c r="E2" s="1231"/>
    </row>
    <row r="3" spans="2:5" ht="12.75" customHeight="1" x14ac:dyDescent="0.2">
      <c r="B3" s="2662" t="s">
        <v>1740</v>
      </c>
      <c r="C3" s="2662"/>
      <c r="D3" s="2662"/>
      <c r="E3" s="1049"/>
    </row>
    <row r="4" spans="2:5" s="1057" customFormat="1" ht="12.75" customHeight="1" x14ac:dyDescent="0.2">
      <c r="B4" s="2672" t="str">
        <f>'Single Audit Cover'!A4</f>
        <v>Year Ending June 30, 2020</v>
      </c>
      <c r="C4" s="2672"/>
      <c r="D4" s="2672"/>
      <c r="E4" s="1232"/>
    </row>
    <row r="5" spans="2:5" s="1057" customFormat="1" ht="40.15" customHeight="1" x14ac:dyDescent="0.2">
      <c r="B5" s="1233" t="s">
        <v>1741</v>
      </c>
      <c r="C5" s="305"/>
      <c r="D5" s="305"/>
      <c r="E5" s="305"/>
    </row>
    <row r="6" spans="2:5" s="1057" customFormat="1" ht="13.5" customHeight="1" x14ac:dyDescent="0.2">
      <c r="B6" s="1234" t="s">
        <v>1304</v>
      </c>
      <c r="C6" s="1234" t="s">
        <v>1303</v>
      </c>
      <c r="D6" s="1234" t="s">
        <v>1742</v>
      </c>
    </row>
    <row r="7" spans="2:5" ht="13.5" customHeight="1" x14ac:dyDescent="0.2">
      <c r="B7" s="2076" t="s">
        <v>2125</v>
      </c>
      <c r="C7" s="2077" t="s">
        <v>2126</v>
      </c>
      <c r="D7" s="2077" t="s">
        <v>2132</v>
      </c>
      <c r="E7" s="301"/>
    </row>
    <row r="8" spans="2:5" ht="13.5" customHeight="1" x14ac:dyDescent="0.2">
      <c r="B8" s="1235"/>
      <c r="C8" s="2077" t="s">
        <v>2127</v>
      </c>
      <c r="D8" s="2077" t="s">
        <v>2269</v>
      </c>
      <c r="E8" s="301"/>
    </row>
    <row r="9" spans="2:5" ht="13.5" customHeight="1" x14ac:dyDescent="0.2">
      <c r="B9" s="1236"/>
      <c r="C9" s="2078" t="s">
        <v>2128</v>
      </c>
      <c r="D9" s="2078" t="s">
        <v>2272</v>
      </c>
      <c r="E9" s="300"/>
    </row>
    <row r="10" spans="2:5" ht="13.5" customHeight="1" x14ac:dyDescent="0.2">
      <c r="B10" s="1235"/>
      <c r="C10" s="2078" t="s">
        <v>2129</v>
      </c>
      <c r="D10" s="2078" t="s">
        <v>2270</v>
      </c>
      <c r="E10" s="300"/>
    </row>
    <row r="11" spans="2:5" ht="13.5" customHeight="1" x14ac:dyDescent="0.2">
      <c r="B11" s="1235"/>
      <c r="C11" s="2078" t="s">
        <v>2130</v>
      </c>
      <c r="D11" s="2078" t="s">
        <v>2271</v>
      </c>
      <c r="E11" s="300"/>
    </row>
    <row r="12" spans="2:5" ht="13.5" customHeight="1" x14ac:dyDescent="0.2">
      <c r="B12" s="1235"/>
      <c r="C12" s="2078" t="s">
        <v>2131</v>
      </c>
      <c r="D12" s="2078"/>
      <c r="E12" s="300"/>
    </row>
    <row r="13" spans="2:5" ht="13.5" customHeight="1" x14ac:dyDescent="0.2">
      <c r="B13" s="1235"/>
      <c r="C13" s="2078"/>
      <c r="D13" s="300"/>
      <c r="E13" s="300"/>
    </row>
    <row r="14" spans="2:5" ht="13.5" customHeight="1" x14ac:dyDescent="0.2">
      <c r="B14" s="1235"/>
      <c r="C14" s="2078"/>
      <c r="D14" s="300"/>
      <c r="E14" s="300"/>
    </row>
    <row r="15" spans="2:5" ht="13.5" customHeight="1" x14ac:dyDescent="0.2">
      <c r="B15" s="1235"/>
      <c r="C15" s="2078"/>
      <c r="D15" s="300"/>
      <c r="E15" s="300"/>
    </row>
    <row r="16" spans="2:5" ht="13.5" customHeight="1" x14ac:dyDescent="0.2">
      <c r="B16" s="1235"/>
      <c r="C16" s="300"/>
      <c r="D16" s="300"/>
      <c r="E16" s="300"/>
    </row>
    <row r="17" spans="2:5" ht="13.5" customHeight="1" x14ac:dyDescent="0.2">
      <c r="B17" s="1235"/>
      <c r="C17" s="300"/>
      <c r="D17" s="300"/>
      <c r="E17" s="300"/>
    </row>
    <row r="18" spans="2:5" ht="13.5" customHeight="1" x14ac:dyDescent="0.2">
      <c r="B18" s="1235"/>
      <c r="C18" s="300"/>
      <c r="D18" s="300"/>
      <c r="E18" s="300"/>
    </row>
    <row r="19" spans="2:5" ht="13.5" customHeight="1" x14ac:dyDescent="0.2">
      <c r="B19" s="1235"/>
      <c r="C19" s="300"/>
      <c r="D19" s="300"/>
      <c r="E19" s="300"/>
    </row>
    <row r="20" spans="2:5" ht="13.5" customHeight="1" x14ac:dyDescent="0.2">
      <c r="B20" s="1235"/>
      <c r="C20" s="300"/>
      <c r="D20" s="300"/>
      <c r="E20" s="300"/>
    </row>
    <row r="21" spans="2:5" ht="13.5" customHeight="1" x14ac:dyDescent="0.2">
      <c r="B21" s="1235"/>
      <c r="C21" s="300"/>
      <c r="D21" s="300"/>
      <c r="E21" s="300"/>
    </row>
    <row r="22" spans="2:5" ht="13.5" customHeight="1" x14ac:dyDescent="0.2">
      <c r="B22" s="1235"/>
      <c r="C22" s="300"/>
      <c r="D22" s="300"/>
      <c r="E22" s="300"/>
    </row>
    <row r="23" spans="2:5" ht="13.5" customHeight="1" x14ac:dyDescent="0.2">
      <c r="B23" s="1235"/>
      <c r="C23" s="300"/>
      <c r="D23" s="300"/>
      <c r="E23" s="300"/>
    </row>
    <row r="24" spans="2:5" ht="13.5" customHeight="1" x14ac:dyDescent="0.2">
      <c r="B24" s="1235"/>
      <c r="C24" s="300"/>
      <c r="D24" s="300"/>
      <c r="E24" s="300"/>
    </row>
    <row r="25" spans="2:5" ht="13.5" customHeight="1" x14ac:dyDescent="0.2">
      <c r="B25" s="1235"/>
      <c r="C25" s="300"/>
      <c r="D25" s="300"/>
      <c r="E25" s="300"/>
    </row>
    <row r="26" spans="2:5" ht="13.5" customHeight="1" x14ac:dyDescent="0.2">
      <c r="B26" s="1235"/>
      <c r="C26" s="300"/>
      <c r="D26" s="300"/>
      <c r="E26" s="300"/>
    </row>
    <row r="27" spans="2:5" ht="13.5" customHeight="1" x14ac:dyDescent="0.2">
      <c r="B27" s="1235"/>
      <c r="C27" s="300"/>
      <c r="D27" s="300"/>
      <c r="E27" s="300"/>
    </row>
    <row r="28" spans="2:5" ht="13.5" customHeight="1" x14ac:dyDescent="0.2">
      <c r="B28" s="1235"/>
      <c r="C28" s="300"/>
      <c r="D28" s="300"/>
      <c r="E28" s="300"/>
    </row>
    <row r="29" spans="2:5" ht="13.5" customHeight="1" x14ac:dyDescent="0.2">
      <c r="B29" s="1235"/>
      <c r="C29" s="300"/>
      <c r="D29" s="300"/>
      <c r="E29" s="300"/>
    </row>
    <row r="30" spans="2:5" ht="13.5" customHeight="1" x14ac:dyDescent="0.2">
      <c r="B30" s="1235"/>
      <c r="C30" s="300"/>
      <c r="D30" s="300"/>
      <c r="E30" s="300"/>
    </row>
    <row r="31" spans="2:5" ht="13.5" customHeight="1" x14ac:dyDescent="0.2">
      <c r="B31" s="1235"/>
      <c r="C31" s="300"/>
      <c r="D31" s="300"/>
      <c r="E31" s="300"/>
    </row>
    <row r="32" spans="2:5" ht="13.5" customHeight="1" x14ac:dyDescent="0.2">
      <c r="B32" s="1237"/>
      <c r="C32" s="300"/>
      <c r="D32" s="300"/>
      <c r="E32" s="300"/>
    </row>
    <row r="33" spans="2:5" ht="13.5" customHeight="1" x14ac:dyDescent="0.2">
      <c r="B33" s="1238"/>
      <c r="C33" s="300"/>
      <c r="D33" s="300"/>
      <c r="E33" s="300"/>
    </row>
    <row r="34" spans="2:5" ht="13.5" customHeight="1" x14ac:dyDescent="0.2">
      <c r="B34" s="1239"/>
      <c r="C34" s="300"/>
      <c r="D34" s="300"/>
      <c r="E34" s="300"/>
    </row>
    <row r="35" spans="2:5" ht="13.5" customHeight="1" x14ac:dyDescent="0.2">
      <c r="B35" s="1238"/>
      <c r="C35" s="300"/>
      <c r="D35" s="300"/>
      <c r="E35" s="300"/>
    </row>
    <row r="36" spans="2:5" ht="13.5" customHeight="1" x14ac:dyDescent="0.2">
      <c r="B36" s="1239"/>
      <c r="C36" s="300"/>
      <c r="D36" s="300"/>
      <c r="E36" s="300"/>
    </row>
    <row r="37" spans="2:5" ht="13.5" customHeight="1" x14ac:dyDescent="0.2">
      <c r="B37" s="1239"/>
      <c r="C37" s="300"/>
      <c r="D37" s="300"/>
      <c r="E37" s="300"/>
    </row>
    <row r="38" spans="2:5" ht="13.5" customHeight="1" x14ac:dyDescent="0.2">
      <c r="B38" s="1238"/>
      <c r="C38" s="300"/>
      <c r="D38" s="300"/>
      <c r="E38" s="300"/>
    </row>
    <row r="39" spans="2:5" ht="13.5" customHeight="1" x14ac:dyDescent="0.2">
      <c r="B39" s="1239"/>
      <c r="C39" s="300"/>
      <c r="D39" s="300"/>
      <c r="E39" s="300"/>
    </row>
    <row r="40" spans="2:5" ht="13.5" customHeight="1" x14ac:dyDescent="0.2">
      <c r="B40" s="1238"/>
      <c r="C40" s="300"/>
      <c r="D40" s="300"/>
      <c r="E40" s="300"/>
    </row>
    <row r="41" spans="2:5" ht="13.5" customHeight="1" x14ac:dyDescent="0.2">
      <c r="B41" s="1240"/>
      <c r="C41" s="300"/>
      <c r="D41" s="300"/>
      <c r="E41" s="300"/>
    </row>
    <row r="42" spans="2:5" ht="13.5" customHeight="1" x14ac:dyDescent="0.2">
      <c r="B42" s="1241"/>
      <c r="C42" s="300"/>
      <c r="D42" s="300"/>
      <c r="E42" s="300"/>
    </row>
    <row r="43" spans="2:5" ht="12.75" customHeight="1" x14ac:dyDescent="0.2">
      <c r="B43" s="1242"/>
      <c r="C43" s="1243"/>
      <c r="D43" s="1243"/>
      <c r="E43" s="300"/>
    </row>
    <row r="44" spans="2:5" ht="12.2" customHeight="1" x14ac:dyDescent="0.2">
      <c r="B44" s="1032" t="s">
        <v>1302</v>
      </c>
      <c r="C44" s="299"/>
    </row>
    <row r="45" spans="2:5" ht="12.2" customHeight="1" x14ac:dyDescent="0.2">
      <c r="B45" s="1244" t="s">
        <v>1743</v>
      </c>
    </row>
    <row r="46" spans="2:5" ht="12.2" customHeight="1" x14ac:dyDescent="0.2">
      <c r="B46" s="1244" t="s">
        <v>1744</v>
      </c>
    </row>
    <row r="47" spans="2:5" ht="12.2" customHeight="1" x14ac:dyDescent="0.2">
      <c r="B47" s="1245" t="s">
        <v>1301</v>
      </c>
    </row>
    <row r="48" spans="2:5" ht="12.2" customHeight="1" x14ac:dyDescent="0.2">
      <c r="B48" s="1245" t="s">
        <v>1300</v>
      </c>
    </row>
    <row r="49" spans="2:5" ht="12.2" customHeight="1" x14ac:dyDescent="0.2">
      <c r="B49" s="1245" t="s">
        <v>1299</v>
      </c>
    </row>
    <row r="50" spans="2:5" ht="12.2" customHeight="1" x14ac:dyDescent="0.2">
      <c r="B50" s="1245"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65"/>
    </row>
    <row r="68" spans="2:2" x14ac:dyDescent="0.2">
      <c r="B68" s="1075"/>
    </row>
    <row r="69" spans="2:2" x14ac:dyDescent="0.2">
      <c r="B69" s="1075"/>
    </row>
    <row r="70" spans="2:2" x14ac:dyDescent="0.2">
      <c r="B70" s="1166"/>
    </row>
    <row r="71" spans="2:2" x14ac:dyDescent="0.2">
      <c r="B71" s="1166"/>
    </row>
    <row r="72" spans="2:2" x14ac:dyDescent="0.2">
      <c r="B72" s="1166"/>
    </row>
    <row r="73" spans="2:2" x14ac:dyDescent="0.2">
      <c r="B73" s="1075"/>
    </row>
  </sheetData>
  <mergeCells count="4">
    <mergeCell ref="B1:D1"/>
    <mergeCell ref="B2:D2"/>
    <mergeCell ref="B3:D3"/>
    <mergeCell ref="B4:D4"/>
  </mergeCells>
  <printOptions horizontalCentered="1"/>
  <pageMargins left="0.25" right="0.25"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S10" sqref="S10"/>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38" t="s">
        <v>383</v>
      </c>
      <c r="B1" s="2238"/>
      <c r="C1" s="2238"/>
      <c r="D1" s="2238"/>
      <c r="E1" s="2238"/>
      <c r="F1" s="2238"/>
      <c r="G1" s="2238"/>
      <c r="H1" s="2238"/>
      <c r="I1" s="2238"/>
      <c r="J1" s="2238"/>
      <c r="K1" s="2238"/>
      <c r="L1" s="2238"/>
      <c r="M1" s="223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29" t="str">
        <f>"Tax Year "&amp;'AFR20'!E2-1</f>
        <v>Tax Year 2019</v>
      </c>
      <c r="E7" s="216"/>
      <c r="F7" s="328" t="s">
        <v>270</v>
      </c>
      <c r="G7" s="216"/>
      <c r="H7" s="216"/>
      <c r="I7" s="216"/>
      <c r="J7" s="1540">
        <v>95020959</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4.4206000000000002E-2</v>
      </c>
      <c r="E10" s="332" t="s">
        <v>998</v>
      </c>
      <c r="F10" s="331">
        <v>4.4990000000000004E-3</v>
      </c>
      <c r="G10" s="332" t="s">
        <v>998</v>
      </c>
      <c r="H10" s="331">
        <v>1.2311000000000001E-2</v>
      </c>
      <c r="I10" s="332" t="s">
        <v>999</v>
      </c>
      <c r="J10" s="1414">
        <f>ROUND(D10+F10+H10,5)</f>
        <v>6.1019999999999998E-2</v>
      </c>
      <c r="K10" s="216"/>
      <c r="L10" s="331">
        <v>4.0900000000000002E-4</v>
      </c>
      <c r="M10" s="216"/>
    </row>
    <row r="11" spans="1:14" ht="7.5" customHeight="1" x14ac:dyDescent="0.2">
      <c r="B11" s="216"/>
      <c r="C11" s="216"/>
      <c r="D11" s="2248" t="str">
        <f>IF(SUM(J10)&lt;=0.0999999,"","Enter the Tax Rates by moving the decimal two places to the left.")</f>
        <v/>
      </c>
      <c r="E11" s="2249"/>
      <c r="F11" s="2249"/>
      <c r="G11" s="2249"/>
      <c r="H11" s="2249"/>
      <c r="I11" s="2249"/>
      <c r="J11" s="224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36">
        <f>SUM('Acct Summary 7-8'!C8,'Acct Summary 7-8'!D8,'Acct Summary 7-8'!F8,'Acct Summary 7-8'!I8)</f>
        <v>15732491</v>
      </c>
      <c r="E16" s="1537"/>
      <c r="F16" s="1536">
        <f>SUM('Acct Summary 7-8'!C17,'Acct Summary 7-8'!D17,'Acct Summary 7-8'!F17)</f>
        <v>13551368</v>
      </c>
      <c r="G16" s="1537"/>
      <c r="H16" s="1536">
        <f>SUM(D16-F16)</f>
        <v>2181123</v>
      </c>
      <c r="I16" s="1538"/>
      <c r="J16" s="1536">
        <f>SUM('Acct Summary 7-8'!C81,'Acct Summary 7-8'!D81,'Acct Summary 7-8'!F81,'Acct Summary 7-8'!I81)</f>
        <v>7674297</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2002</v>
      </c>
      <c r="M21" s="216"/>
    </row>
    <row r="22" spans="1:13" ht="13.35" customHeight="1" x14ac:dyDescent="0.2">
      <c r="A22" s="326"/>
      <c r="B22" s="216"/>
      <c r="C22" s="216"/>
      <c r="D22" s="1536">
        <f>'Short-Term Long-Term Debt 24'!F4</f>
        <v>0</v>
      </c>
      <c r="E22" s="1537" t="s">
        <v>998</v>
      </c>
      <c r="F22" s="1536">
        <f>'Short-Term Long-Term Debt 24'!F15</f>
        <v>0</v>
      </c>
      <c r="G22" s="1537" t="s">
        <v>998</v>
      </c>
      <c r="H22" s="1536">
        <f>'Short-Term Long-Term Debt 24'!F21</f>
        <v>0</v>
      </c>
      <c r="I22" s="1537" t="s">
        <v>998</v>
      </c>
      <c r="J22" s="1536">
        <f>'Short-Term Long-Term Debt 24'!F23</f>
        <v>0</v>
      </c>
      <c r="K22" s="1537" t="s">
        <v>998</v>
      </c>
      <c r="L22" s="1536">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36">
        <f>'Short-Term Long-Term Debt 24'!F27</f>
        <v>0</v>
      </c>
      <c r="E24" s="1537" t="s">
        <v>999</v>
      </c>
      <c r="F24" s="1539">
        <f>SUM(D22,F22,H22,J22,L22, D24)</f>
        <v>0</v>
      </c>
      <c r="G24" s="216"/>
      <c r="H24" s="216"/>
      <c r="I24" s="216"/>
      <c r="J24" s="216"/>
      <c r="K24" s="216"/>
      <c r="L24" s="216"/>
      <c r="M24" s="216"/>
    </row>
    <row r="25" spans="1:13" ht="11.25" customHeight="1" x14ac:dyDescent="0.2">
      <c r="A25" s="326"/>
      <c r="B25" s="175" t="s">
        <v>9</v>
      </c>
      <c r="C25" s="231" t="s">
        <v>1962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2048</v>
      </c>
      <c r="C31" s="343" t="s">
        <v>582</v>
      </c>
      <c r="D31" s="231" t="s">
        <v>1063</v>
      </c>
      <c r="E31" s="216"/>
      <c r="F31" s="216"/>
      <c r="G31" s="339"/>
      <c r="H31" s="1415">
        <f>IF(B31="X",(J7*0.069),IF(B32="X",(J7*0.138),"Enter x in a.or b."))</f>
        <v>6556446.1710000001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39">
        <f>'Assets-Liab 5-6'!N36</f>
        <v>3778028</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239"/>
      <c r="C54" s="2240"/>
      <c r="D54" s="2240"/>
      <c r="E54" s="2240"/>
      <c r="F54" s="2240"/>
      <c r="G54" s="2240"/>
      <c r="H54" s="2240"/>
      <c r="I54" s="2240"/>
      <c r="J54" s="2240"/>
      <c r="K54" s="2240"/>
      <c r="L54" s="2241"/>
      <c r="M54" s="356"/>
    </row>
    <row r="55" spans="1:13" ht="12.75" customHeight="1" x14ac:dyDescent="0.2">
      <c r="B55" s="2242"/>
      <c r="C55" s="2243"/>
      <c r="D55" s="2243"/>
      <c r="E55" s="2243"/>
      <c r="F55" s="2243"/>
      <c r="G55" s="2243"/>
      <c r="H55" s="2243"/>
      <c r="I55" s="2243"/>
      <c r="J55" s="2243"/>
      <c r="K55" s="2243"/>
      <c r="L55" s="2244"/>
      <c r="M55" s="356"/>
    </row>
    <row r="56" spans="1:13" ht="12.75" customHeight="1" x14ac:dyDescent="0.2">
      <c r="B56" s="2242"/>
      <c r="C56" s="2243"/>
      <c r="D56" s="2243"/>
      <c r="E56" s="2243"/>
      <c r="F56" s="2243"/>
      <c r="G56" s="2243"/>
      <c r="H56" s="2243"/>
      <c r="I56" s="2243"/>
      <c r="J56" s="2243"/>
      <c r="K56" s="2243"/>
      <c r="L56" s="2244"/>
      <c r="M56" s="216"/>
    </row>
    <row r="57" spans="1:13" ht="12.75" customHeight="1" x14ac:dyDescent="0.2">
      <c r="B57" s="2242"/>
      <c r="C57" s="2243"/>
      <c r="D57" s="2243"/>
      <c r="E57" s="2243"/>
      <c r="F57" s="2243"/>
      <c r="G57" s="2243"/>
      <c r="H57" s="2243"/>
      <c r="I57" s="2243"/>
      <c r="J57" s="2243"/>
      <c r="K57" s="2243"/>
      <c r="L57" s="2244"/>
      <c r="M57" s="216"/>
    </row>
    <row r="58" spans="1:13" x14ac:dyDescent="0.2">
      <c r="B58" s="2245"/>
      <c r="C58" s="2246"/>
      <c r="D58" s="2246"/>
      <c r="E58" s="2246"/>
      <c r="F58" s="2246"/>
      <c r="G58" s="2246"/>
      <c r="H58" s="2246"/>
      <c r="I58" s="2246"/>
      <c r="J58" s="2246"/>
      <c r="K58" s="2246"/>
      <c r="L58" s="224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50"/>
      <c r="D61" s="225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S18" sqref="S18"/>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53"/>
      <c r="B1" s="2254"/>
      <c r="C1" s="2254"/>
      <c r="D1" s="360"/>
      <c r="E1" s="360"/>
      <c r="F1" s="360"/>
      <c r="G1" s="360"/>
      <c r="H1" s="360"/>
      <c r="I1" s="360"/>
      <c r="J1" s="360"/>
      <c r="K1" s="360"/>
      <c r="L1" s="360"/>
      <c r="M1" s="360"/>
      <c r="N1" s="360"/>
      <c r="O1" s="2253"/>
      <c r="P1" s="2254"/>
      <c r="Q1" s="2254"/>
    </row>
    <row r="2" spans="1:18" ht="15" x14ac:dyDescent="0.2">
      <c r="A2" s="2257" t="s">
        <v>552</v>
      </c>
      <c r="B2" s="2257"/>
      <c r="C2" s="2257"/>
      <c r="D2" s="2257"/>
      <c r="E2" s="2257"/>
      <c r="F2" s="2257"/>
      <c r="G2" s="2257"/>
      <c r="H2" s="2257"/>
      <c r="I2" s="2257"/>
      <c r="J2" s="2257"/>
      <c r="K2" s="2257"/>
      <c r="L2" s="2257"/>
      <c r="M2" s="2257"/>
      <c r="N2" s="2257"/>
      <c r="O2" s="2257"/>
      <c r="P2" s="2257"/>
      <c r="Q2" s="2257"/>
      <c r="R2" s="2257"/>
    </row>
    <row r="3" spans="1:18" ht="12.75" x14ac:dyDescent="0.2">
      <c r="A3" s="2258" t="s">
        <v>1396</v>
      </c>
      <c r="B3" s="2258"/>
      <c r="C3" s="2258"/>
      <c r="D3" s="2258"/>
      <c r="E3" s="2258"/>
      <c r="F3" s="2258"/>
      <c r="G3" s="2258"/>
      <c r="H3" s="2258"/>
      <c r="I3" s="2258"/>
      <c r="J3" s="2258"/>
      <c r="K3" s="2258"/>
      <c r="L3" s="2258"/>
      <c r="M3" s="2258"/>
      <c r="N3" s="2258"/>
      <c r="O3" s="2258"/>
      <c r="P3" s="2258"/>
      <c r="Q3" s="2258"/>
      <c r="R3" s="2258"/>
    </row>
    <row r="4" spans="1:18" x14ac:dyDescent="0.2">
      <c r="A4" s="2259" t="s">
        <v>1537</v>
      </c>
      <c r="B4" s="2259"/>
      <c r="C4" s="2259"/>
      <c r="D4" s="2259"/>
      <c r="E4" s="2259"/>
      <c r="F4" s="2259"/>
      <c r="G4" s="2259"/>
      <c r="H4" s="2259"/>
      <c r="I4" s="2259"/>
      <c r="J4" s="2259"/>
      <c r="K4" s="2259"/>
      <c r="L4" s="2259"/>
      <c r="M4" s="2259"/>
      <c r="N4" s="2259"/>
      <c r="O4" s="2259"/>
      <c r="P4" s="2259"/>
      <c r="Q4" s="2259"/>
      <c r="R4" s="225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Hazel Crest SD 152-5</v>
      </c>
      <c r="E7" s="367"/>
      <c r="G7" s="246"/>
      <c r="H7" s="363"/>
      <c r="I7" s="363"/>
      <c r="J7" s="363"/>
      <c r="K7" s="363"/>
      <c r="L7" s="306"/>
      <c r="M7" s="306"/>
      <c r="N7" s="306"/>
      <c r="O7" s="306"/>
      <c r="P7" s="306"/>
    </row>
    <row r="8" spans="1:18" ht="12.75" x14ac:dyDescent="0.2">
      <c r="A8" s="306"/>
      <c r="B8" s="306"/>
      <c r="C8" s="365" t="s">
        <v>1115</v>
      </c>
      <c r="D8" s="368">
        <f>COVER!A13</f>
        <v>7016152502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51" t="str">
        <f>IF(K12&gt;0.24999,"4",IF(K12&gt;0.09999,"3",IF(K12&gt;=0,"2",1)))</f>
        <v>4</v>
      </c>
      <c r="P11" s="210"/>
      <c r="Q11" s="210"/>
    </row>
    <row r="12" spans="1:18" s="381" customFormat="1" ht="11.25" x14ac:dyDescent="0.2">
      <c r="A12" s="212"/>
      <c r="B12" s="376"/>
      <c r="C12" s="212" t="s">
        <v>1349</v>
      </c>
      <c r="D12" s="212"/>
      <c r="E12" s="212"/>
      <c r="F12" s="212" t="s">
        <v>1082</v>
      </c>
      <c r="G12" s="377"/>
      <c r="H12" s="1541">
        <f>SUM('Acct Summary 7-8'!C81+'Acct Summary 7-8'!D81+'Acct Summary 7-8'!F81+'Acct Summary 7-8'!I81+IF('Acct Summary 7-8'!G81&lt;0,'Acct Summary 7-8'!G81,"0")+IF('Acct Summary 7-8'!J81&lt;0,'Acct Summary 7-8'!J81,"0"))</f>
        <v>7674297</v>
      </c>
      <c r="I12" s="379"/>
      <c r="J12" s="379"/>
      <c r="K12" s="1549">
        <f>TRUNC((H12/H13*100000),5)/100000</f>
        <v>0.48779923020000004</v>
      </c>
      <c r="L12" s="380"/>
      <c r="M12" s="336" t="s">
        <v>1134</v>
      </c>
      <c r="N12" s="336"/>
      <c r="O12" s="1552">
        <v>0.35</v>
      </c>
      <c r="P12" s="212"/>
      <c r="Q12" s="212"/>
    </row>
    <row r="13" spans="1:18" s="381" customFormat="1" ht="12.75" x14ac:dyDescent="0.2">
      <c r="A13" s="212"/>
      <c r="B13" s="376"/>
      <c r="C13" s="2255" t="s">
        <v>1313</v>
      </c>
      <c r="D13" s="2256"/>
      <c r="E13" s="212"/>
      <c r="F13" s="382" t="s">
        <v>788</v>
      </c>
      <c r="G13" s="377"/>
      <c r="H13" s="1541">
        <f>SUM('Acct Summary 7-8'!C8+'Acct Summary 7-8'!D8+'Acct Summary 7-8'!F8+'Acct Summary 7-8'!I8)+H14</f>
        <v>15732491</v>
      </c>
      <c r="I13" s="379"/>
      <c r="J13" s="379"/>
      <c r="K13" s="1548"/>
      <c r="L13" s="212"/>
      <c r="M13" s="336" t="s">
        <v>1135</v>
      </c>
      <c r="N13" s="336"/>
      <c r="O13" s="1553">
        <f>(O11*O12)</f>
        <v>1.4</v>
      </c>
      <c r="P13" s="212"/>
      <c r="Q13" s="212"/>
      <c r="R13" s="384"/>
    </row>
    <row r="14" spans="1:18" s="381" customFormat="1" ht="12.75" x14ac:dyDescent="0.2">
      <c r="A14" s="212"/>
      <c r="B14" s="376"/>
      <c r="C14" s="234" t="s">
        <v>1380</v>
      </c>
      <c r="D14" s="385"/>
      <c r="E14" s="212"/>
      <c r="F14" s="382" t="s">
        <v>790</v>
      </c>
      <c r="G14" s="377"/>
      <c r="H14" s="1541">
        <f>-SUM('Acct Summary 7-8'!C54:D56,'Acct Summary 7-8'!C58:D60,'Acct Summary 7-8'!C62:D64,'Acct Summary 7-8'!C66:D68,'Acct Summary 7-8'!C70:D72,'Acct Summary 7-8'!C74:D74)</f>
        <v>0</v>
      </c>
      <c r="I14" s="379"/>
      <c r="J14" s="379"/>
      <c r="K14" s="1548"/>
      <c r="L14" s="212"/>
      <c r="M14" s="336"/>
      <c r="N14" s="336"/>
      <c r="O14" s="1553"/>
      <c r="P14" s="212"/>
      <c r="Q14" s="212"/>
      <c r="R14" s="384"/>
    </row>
    <row r="15" spans="1:18" ht="11.45" customHeight="1" x14ac:dyDescent="0.2">
      <c r="A15" s="210"/>
      <c r="B15" s="372"/>
      <c r="C15" s="212" t="s">
        <v>1394</v>
      </c>
      <c r="D15" s="210"/>
      <c r="E15" s="210"/>
      <c r="F15" s="212"/>
      <c r="G15" s="386"/>
      <c r="H15" s="1542"/>
      <c r="I15" s="210"/>
      <c r="J15" s="210"/>
      <c r="K15" s="1542"/>
      <c r="L15" s="210"/>
      <c r="M15" s="387"/>
      <c r="N15" s="387"/>
      <c r="O15" s="1554"/>
      <c r="P15" s="210"/>
      <c r="Q15" s="210"/>
      <c r="R15" s="360"/>
    </row>
    <row r="16" spans="1:18" ht="12.75" x14ac:dyDescent="0.2">
      <c r="A16" s="210"/>
      <c r="B16" s="373" t="s">
        <v>977</v>
      </c>
      <c r="C16" s="374" t="s">
        <v>1136</v>
      </c>
      <c r="D16" s="210"/>
      <c r="E16" s="210"/>
      <c r="F16" s="210"/>
      <c r="G16" s="210"/>
      <c r="H16" s="1543" t="s">
        <v>155</v>
      </c>
      <c r="I16" s="313"/>
      <c r="J16" s="313"/>
      <c r="K16" s="1550" t="s">
        <v>1132</v>
      </c>
      <c r="L16" s="313"/>
      <c r="M16" s="313" t="s">
        <v>1133</v>
      </c>
      <c r="N16" s="313"/>
      <c r="O16" s="1551">
        <f>IF(K17&gt;1.2,"1",IF(K17&gt;1.1,"2",IF(K17&gt;1,"3",4)))</f>
        <v>4</v>
      </c>
      <c r="P16" s="210"/>
      <c r="R16" s="360"/>
    </row>
    <row r="17" spans="1:18" s="381" customFormat="1" ht="11.25" x14ac:dyDescent="0.2">
      <c r="A17" s="212"/>
      <c r="B17" s="376"/>
      <c r="C17" s="212" t="s">
        <v>792</v>
      </c>
      <c r="D17" s="212"/>
      <c r="E17" s="212"/>
      <c r="F17" s="212" t="s">
        <v>441</v>
      </c>
      <c r="G17" s="377"/>
      <c r="H17" s="1541">
        <f>SUM('Acct Summary 7-8'!C17+'Acct Summary 7-8'!D17+'Acct Summary 7-8'!F17)</f>
        <v>13551368</v>
      </c>
      <c r="I17" s="379"/>
      <c r="J17" s="388"/>
      <c r="K17" s="1549">
        <f>TRUNC((H17/H18*100000),5)/100000</f>
        <v>0.8613618784</v>
      </c>
      <c r="L17" s="380"/>
      <c r="M17" s="389" t="s">
        <v>1161</v>
      </c>
      <c r="O17" s="1555" t="str">
        <f>IF(AND(O16="2", J20 &gt; 2),"1",IF(AND(O16 = "1", J20 &gt; 2),"2",IF(AND(O16="1", J20 &gt;1),"1","0")))</f>
        <v>0</v>
      </c>
      <c r="P17" s="212"/>
    </row>
    <row r="18" spans="1:18" s="381" customFormat="1" ht="11.25" x14ac:dyDescent="0.2">
      <c r="A18" s="212"/>
      <c r="B18" s="376"/>
      <c r="C18" s="2255" t="s">
        <v>1306</v>
      </c>
      <c r="D18" s="2256"/>
      <c r="E18" s="212"/>
      <c r="F18" s="390" t="s">
        <v>789</v>
      </c>
      <c r="G18" s="377"/>
      <c r="H18" s="1541">
        <f>SUM('Acct Summary 7-8'!C8+'Acct Summary 7-8'!D8+'Acct Summary 7-8'!F8+'Acct Summary 7-8'!I8)+H19</f>
        <v>15732491</v>
      </c>
      <c r="I18" s="379"/>
      <c r="J18" s="379"/>
      <c r="K18" s="1548"/>
      <c r="L18" s="212"/>
      <c r="M18" s="336" t="s">
        <v>1134</v>
      </c>
      <c r="N18" s="336"/>
      <c r="O18" s="1548">
        <v>0.35</v>
      </c>
      <c r="P18" s="212"/>
    </row>
    <row r="19" spans="1:18" s="381" customFormat="1" ht="11.25" x14ac:dyDescent="0.2">
      <c r="A19" s="212"/>
      <c r="B19" s="376"/>
      <c r="C19" s="234" t="s">
        <v>1380</v>
      </c>
      <c r="D19" s="385"/>
      <c r="E19" s="212"/>
      <c r="F19" s="390" t="s">
        <v>790</v>
      </c>
      <c r="G19" s="377"/>
      <c r="H19" s="1541">
        <f>-SUM('Acct Summary 7-8'!C54:D56,'Acct Summary 7-8'!C58:D60,'Acct Summary 7-8'!C62:D64,'Acct Summary 7-8'!C66:D68,'Acct Summary 7-8'!C70:D72,'Acct Summary 7-8'!C74:D74)</f>
        <v>0</v>
      </c>
      <c r="I19" s="379"/>
      <c r="J19" s="379"/>
      <c r="K19" s="1548"/>
      <c r="L19" s="212"/>
      <c r="M19" s="336"/>
      <c r="N19" s="336"/>
      <c r="O19" s="1548"/>
      <c r="P19" s="212"/>
    </row>
    <row r="20" spans="1:18" s="381" customFormat="1" ht="12.75" x14ac:dyDescent="0.2">
      <c r="A20" s="212"/>
      <c r="B20" s="376"/>
      <c r="C20" s="212" t="s">
        <v>1394</v>
      </c>
      <c r="D20" s="212"/>
      <c r="E20" s="212"/>
      <c r="F20" s="212"/>
      <c r="G20" s="377"/>
      <c r="H20" s="1544"/>
      <c r="I20" s="379"/>
      <c r="J20" s="392" t="str">
        <f>IF(K17&lt;=1,"0",TRUNC(((K12-0.1)/(K17-1)*100),5)/100)</f>
        <v>0</v>
      </c>
      <c r="K20" s="1549" t="str">
        <f>IF(K17&lt;=1,"0",IF(AND(O16="2", J20 &gt; 2),TRUNC(((K12-0.1)/(K17-1)*100),5)/100,IF(AND(O16 = "1", J20 &gt; 2),TRUNC(((K12-0.1)/(K17-1)*100),5)/100,IF(AND(O16="1", J20 &gt;1),TRUNC(((K12-0.1)/(K17-1)*100),5)/100,""))))</f>
        <v>0</v>
      </c>
      <c r="L20" s="212"/>
      <c r="M20" s="336" t="s">
        <v>1135</v>
      </c>
      <c r="N20" s="336"/>
      <c r="O20" s="1553">
        <f>(O16+O17)*O18</f>
        <v>1.4</v>
      </c>
      <c r="P20" s="212"/>
      <c r="R20" s="384"/>
    </row>
    <row r="21" spans="1:18" ht="11.45" customHeight="1" x14ac:dyDescent="0.2">
      <c r="A21" s="210"/>
      <c r="B21" s="372"/>
      <c r="C21" s="212" t="s">
        <v>472</v>
      </c>
      <c r="D21" s="210"/>
      <c r="E21" s="210"/>
      <c r="F21" s="210"/>
      <c r="G21" s="386"/>
      <c r="H21" s="1542"/>
      <c r="I21" s="210"/>
      <c r="J21" s="210"/>
      <c r="K21" s="1542"/>
      <c r="L21" s="210"/>
      <c r="M21" s="387"/>
      <c r="N21" s="387"/>
      <c r="O21" s="1554"/>
      <c r="P21" s="210"/>
      <c r="R21" s="360"/>
    </row>
    <row r="22" spans="1:18" ht="11.45" customHeight="1" x14ac:dyDescent="0.2">
      <c r="A22" s="210"/>
      <c r="B22" s="372"/>
      <c r="C22" s="212"/>
      <c r="D22" s="210"/>
      <c r="E22" s="210"/>
      <c r="F22" s="210"/>
      <c r="G22" s="386"/>
      <c r="H22" s="1542"/>
      <c r="I22" s="210"/>
      <c r="J22" s="210"/>
      <c r="K22" s="1542"/>
      <c r="L22" s="210"/>
      <c r="M22" s="387"/>
      <c r="N22" s="387"/>
      <c r="O22" s="1554"/>
      <c r="P22" s="210"/>
      <c r="R22" s="360"/>
    </row>
    <row r="23" spans="1:18" ht="12.75" x14ac:dyDescent="0.2">
      <c r="A23" s="210"/>
      <c r="B23" s="373" t="s">
        <v>602</v>
      </c>
      <c r="C23" s="374" t="s">
        <v>1137</v>
      </c>
      <c r="D23" s="210"/>
      <c r="E23" s="210"/>
      <c r="F23" s="210"/>
      <c r="G23" s="210"/>
      <c r="H23" s="1543" t="s">
        <v>155</v>
      </c>
      <c r="I23" s="313"/>
      <c r="J23" s="313"/>
      <c r="K23" s="1550" t="s">
        <v>1138</v>
      </c>
      <c r="L23" s="313"/>
      <c r="M23" s="313" t="s">
        <v>1133</v>
      </c>
      <c r="N23" s="313"/>
      <c r="O23" s="1551" t="str">
        <f>IF(K24&gt;=180,"4",IF(K24&gt;=90,"3",IF(K24&gt;=30,"2",1)))</f>
        <v>4</v>
      </c>
      <c r="P23" s="210"/>
      <c r="R23" s="360"/>
    </row>
    <row r="24" spans="1:18" s="381" customFormat="1" ht="11.25" x14ac:dyDescent="0.2">
      <c r="A24" s="212"/>
      <c r="B24" s="376"/>
      <c r="C24" s="2252" t="s">
        <v>1395</v>
      </c>
      <c r="D24" s="2252"/>
      <c r="E24" s="212"/>
      <c r="F24" s="212" t="s">
        <v>442</v>
      </c>
      <c r="G24" s="377"/>
      <c r="H24" s="1541">
        <f>SUM('Assets-Liab 5-6'!C4+'Assets-Liab 5-6'!D4+'Assets-Liab 5-6'!F4+'Assets-Liab 5-6'!I4+'Assets-Liab 5-6'!C5+'Assets-Liab 5-6'!D5+'Assets-Liab 5-6'!F5+'Assets-Liab 5-6'!I5)</f>
        <v>7698057</v>
      </c>
      <c r="I24" s="393"/>
      <c r="J24" s="393"/>
      <c r="K24" s="1545">
        <f>TRUNC(((H24/H25*100000)/100000),2)</f>
        <v>204.5</v>
      </c>
      <c r="L24" s="394"/>
      <c r="M24" s="336" t="s">
        <v>1134</v>
      </c>
      <c r="N24" s="336"/>
      <c r="O24" s="1553">
        <v>0.1</v>
      </c>
      <c r="P24" s="212"/>
    </row>
    <row r="25" spans="1:18" s="381" customFormat="1" ht="12.75" x14ac:dyDescent="0.2">
      <c r="A25" s="212"/>
      <c r="B25" s="376"/>
      <c r="C25" s="212" t="s">
        <v>793</v>
      </c>
      <c r="D25" s="212"/>
      <c r="E25" s="212"/>
      <c r="F25" s="212" t="s">
        <v>443</v>
      </c>
      <c r="G25" s="377"/>
      <c r="H25" s="1545">
        <f>ROUND((H17/360),5)</f>
        <v>37642.688889999998</v>
      </c>
      <c r="I25" s="395"/>
      <c r="J25" s="395"/>
      <c r="K25" s="1548"/>
      <c r="L25" s="212"/>
      <c r="M25" s="336" t="s">
        <v>1135</v>
      </c>
      <c r="N25" s="336"/>
      <c r="O25" s="1553">
        <f>O23*O24</f>
        <v>0.4</v>
      </c>
      <c r="P25" s="212"/>
      <c r="R25" s="384"/>
    </row>
    <row r="26" spans="1:18" ht="12.2" customHeight="1" x14ac:dyDescent="0.2">
      <c r="A26" s="210"/>
      <c r="B26" s="372"/>
      <c r="C26" s="210"/>
      <c r="D26" s="210"/>
      <c r="E26" s="210"/>
      <c r="F26" s="210"/>
      <c r="G26" s="210"/>
      <c r="H26" s="1542"/>
      <c r="I26" s="210"/>
      <c r="J26" s="210"/>
      <c r="K26" s="1542"/>
      <c r="L26" s="210"/>
      <c r="M26" s="387"/>
      <c r="N26" s="387"/>
      <c r="O26" s="1554"/>
      <c r="P26" s="210"/>
    </row>
    <row r="27" spans="1:18" ht="12.75" x14ac:dyDescent="0.2">
      <c r="A27" s="210"/>
      <c r="B27" s="373" t="s">
        <v>487</v>
      </c>
      <c r="C27" s="374"/>
      <c r="D27" s="210"/>
      <c r="E27" s="210"/>
      <c r="F27" s="210"/>
      <c r="G27" s="210"/>
      <c r="H27" s="1543" t="s">
        <v>155</v>
      </c>
      <c r="I27" s="313"/>
      <c r="J27" s="313"/>
      <c r="K27" s="1550" t="s">
        <v>488</v>
      </c>
      <c r="L27" s="313"/>
      <c r="M27" s="313" t="s">
        <v>1133</v>
      </c>
      <c r="N27" s="313"/>
      <c r="O27" s="1556" t="str">
        <f>IF(K28&gt;=75,"4",IF(K28&gt;=50,"3",IF(K28&gt;=25,"2",1)))</f>
        <v>4</v>
      </c>
      <c r="P27" s="210"/>
    </row>
    <row r="28" spans="1:18" s="381" customFormat="1" ht="11.25" x14ac:dyDescent="0.2">
      <c r="A28" s="212"/>
      <c r="B28" s="376"/>
      <c r="C28" s="212" t="s">
        <v>1890</v>
      </c>
      <c r="D28" s="212"/>
      <c r="E28" s="212"/>
      <c r="F28" s="212" t="s">
        <v>441</v>
      </c>
      <c r="G28" s="377"/>
      <c r="H28" s="1546">
        <f>SUM('Short-Term Long-Term Debt 24'!F6,'Short-Term Long-Term Debt 24'!F7,'Short-Term Long-Term Debt 24'!F11)</f>
        <v>0</v>
      </c>
      <c r="I28" s="396"/>
      <c r="J28" s="396"/>
      <c r="K28" s="1545">
        <f>TRUNC(100-((((H28/H29*100))*100)/100),2)</f>
        <v>100</v>
      </c>
      <c r="L28" s="397"/>
      <c r="M28" s="336" t="s">
        <v>1134</v>
      </c>
      <c r="N28" s="336"/>
      <c r="O28" s="1557">
        <v>0.1</v>
      </c>
      <c r="P28" s="212"/>
    </row>
    <row r="29" spans="1:18" s="381" customFormat="1" ht="11.25" x14ac:dyDescent="0.2">
      <c r="A29" s="212"/>
      <c r="B29" s="376"/>
      <c r="C29" s="212" t="s">
        <v>791</v>
      </c>
      <c r="D29" s="212"/>
      <c r="E29" s="212"/>
      <c r="F29" s="212" t="s">
        <v>795</v>
      </c>
      <c r="G29" s="377"/>
      <c r="H29" s="1547">
        <f>ROUND((0.85*'FP Info 3'!J7*'FP Info 3'!J10),5)</f>
        <v>4928452.0804500002</v>
      </c>
      <c r="I29" s="396"/>
      <c r="J29" s="396"/>
      <c r="K29" s="1548"/>
      <c r="L29" s="212"/>
      <c r="M29" s="336" t="s">
        <v>1135</v>
      </c>
      <c r="N29" s="336"/>
      <c r="O29" s="1553">
        <f>O27*O28</f>
        <v>0.4</v>
      </c>
      <c r="P29" s="212"/>
    </row>
    <row r="30" spans="1:18" s="381" customFormat="1" ht="11.25" x14ac:dyDescent="0.2">
      <c r="A30" s="212"/>
      <c r="B30" s="376"/>
      <c r="C30" s="212"/>
      <c r="D30" s="212"/>
      <c r="E30" s="212"/>
      <c r="F30" s="398"/>
      <c r="G30" s="377"/>
      <c r="H30" s="1548"/>
      <c r="I30" s="383"/>
      <c r="J30" s="383"/>
      <c r="K30" s="1548"/>
      <c r="L30" s="212"/>
      <c r="M30" s="399"/>
      <c r="N30" s="399"/>
      <c r="O30" s="1548"/>
      <c r="P30" s="212"/>
    </row>
    <row r="31" spans="1:18" ht="12.75" x14ac:dyDescent="0.2">
      <c r="A31" s="210"/>
      <c r="B31" s="373" t="s">
        <v>558</v>
      </c>
      <c r="C31" s="374"/>
      <c r="D31" s="210"/>
      <c r="E31" s="210"/>
      <c r="F31" s="210"/>
      <c r="G31" s="386"/>
      <c r="H31" s="1543" t="s">
        <v>155</v>
      </c>
      <c r="I31" s="313"/>
      <c r="J31" s="313"/>
      <c r="K31" s="1550" t="s">
        <v>488</v>
      </c>
      <c r="L31" s="313"/>
      <c r="M31" s="313" t="s">
        <v>1133</v>
      </c>
      <c r="N31" s="313"/>
      <c r="O31" s="1551" t="str">
        <f>IF(K32&gt;=75,"4",IF(K32&gt;=50,"3",IF(K32&gt;=25,"2",1)))</f>
        <v>2</v>
      </c>
      <c r="P31" s="210"/>
    </row>
    <row r="32" spans="1:18" s="381" customFormat="1" ht="11.25" x14ac:dyDescent="0.2">
      <c r="A32" s="212"/>
      <c r="B32" s="376"/>
      <c r="C32" s="212" t="s">
        <v>842</v>
      </c>
      <c r="D32" s="212"/>
      <c r="E32" s="212"/>
      <c r="F32" s="212"/>
      <c r="G32" s="377"/>
      <c r="H32" s="1541">
        <f>'FP Info 3'!H37</f>
        <v>3778028</v>
      </c>
      <c r="I32" s="391"/>
      <c r="J32" s="391"/>
      <c r="K32" s="1545">
        <f>TRUNC(100-((((H32/H33*100))*100)/100),2)</f>
        <v>42.37</v>
      </c>
      <c r="L32" s="380"/>
      <c r="M32" s="336" t="s">
        <v>1134</v>
      </c>
      <c r="N32" s="336"/>
      <c r="O32" s="1558">
        <v>0.1</v>
      </c>
    </row>
    <row r="33" spans="1:17" s="381" customFormat="1" ht="11.25" x14ac:dyDescent="0.2">
      <c r="A33" s="212"/>
      <c r="B33" s="376"/>
      <c r="C33" s="212" t="s">
        <v>794</v>
      </c>
      <c r="D33" s="212"/>
      <c r="E33" s="212"/>
      <c r="F33" s="212"/>
      <c r="G33" s="377"/>
      <c r="H33" s="378">
        <f>IF('FP Info 3'!H31="Enter X in a or b"," ",'FP Info 3'!H31)</f>
        <v>6556446.1710000001</v>
      </c>
      <c r="I33" s="391"/>
      <c r="J33" s="391"/>
      <c r="K33" s="378"/>
      <c r="L33" s="212"/>
      <c r="M33" s="400" t="s">
        <v>1135</v>
      </c>
      <c r="N33" s="400"/>
      <c r="O33" s="1558">
        <f>(O31*O32)</f>
        <v>0.2</v>
      </c>
    </row>
    <row r="34" spans="1:17" ht="12.2" customHeight="1" x14ac:dyDescent="0.2">
      <c r="A34" s="210"/>
      <c r="B34" s="372"/>
      <c r="C34" s="210"/>
      <c r="D34" s="210"/>
      <c r="E34" s="210"/>
      <c r="F34" s="210"/>
      <c r="G34" s="210"/>
      <c r="H34" s="371"/>
      <c r="I34" s="210"/>
      <c r="J34" s="210"/>
      <c r="K34" s="371"/>
      <c r="L34" s="210"/>
      <c r="M34" s="387"/>
      <c r="N34" s="387"/>
      <c r="O34" s="1542"/>
    </row>
    <row r="35" spans="1:17" ht="14.25" customHeight="1" x14ac:dyDescent="0.25">
      <c r="A35" s="210"/>
      <c r="B35" s="372"/>
      <c r="C35" s="210"/>
      <c r="D35" s="210"/>
      <c r="E35" s="210"/>
      <c r="F35" s="210"/>
      <c r="G35" s="210"/>
      <c r="H35" s="401"/>
      <c r="I35" s="386"/>
      <c r="J35" s="386"/>
      <c r="K35" s="210"/>
      <c r="L35" s="402"/>
      <c r="M35" s="403" t="s">
        <v>292</v>
      </c>
      <c r="N35" s="386"/>
      <c r="O35" s="1559">
        <f>(O13+O20+O25+O29+O33)</f>
        <v>3.8</v>
      </c>
      <c r="P35" s="404" t="s">
        <v>194</v>
      </c>
    </row>
    <row r="36" spans="1:17" x14ac:dyDescent="0.2">
      <c r="A36" s="210"/>
      <c r="B36" s="372"/>
      <c r="C36" s="210"/>
      <c r="D36" s="210"/>
      <c r="E36" s="210"/>
      <c r="F36" s="210"/>
      <c r="G36" s="210"/>
      <c r="H36" s="401"/>
      <c r="I36" s="386"/>
      <c r="J36" s="386"/>
      <c r="K36" s="401"/>
      <c r="L36" s="386"/>
      <c r="M36" s="405"/>
      <c r="N36" s="405"/>
      <c r="O36" s="1560"/>
    </row>
    <row r="37" spans="1:17" ht="12.75" x14ac:dyDescent="0.2">
      <c r="A37" s="210"/>
      <c r="B37" s="372"/>
      <c r="C37" s="210"/>
      <c r="D37" s="210"/>
      <c r="E37" s="210"/>
      <c r="F37" s="386"/>
      <c r="G37" s="386"/>
      <c r="H37" s="386"/>
      <c r="I37" s="386"/>
      <c r="J37" s="386"/>
      <c r="K37" s="401"/>
      <c r="L37" s="386"/>
      <c r="M37" s="1830" t="str">
        <f>"Estimated "&amp;'AFR20'!E2+1&amp;" Financial Profile Designation:"</f>
        <v>Estimated 2021 Financial Profile Designation:</v>
      </c>
      <c r="N37" s="386"/>
      <c r="O37" s="1561"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G31" sqref="G31"/>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60"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61"/>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62" t="s">
        <v>967</v>
      </c>
      <c r="B3" s="2263"/>
      <c r="C3" s="1296"/>
      <c r="D3" s="1297"/>
      <c r="E3" s="1297"/>
      <c r="F3" s="1297"/>
      <c r="G3" s="1297"/>
      <c r="H3" s="1297"/>
      <c r="I3" s="1297"/>
      <c r="J3" s="1297"/>
      <c r="K3" s="1297"/>
      <c r="L3" s="1297"/>
      <c r="M3" s="1298"/>
      <c r="N3" s="1299"/>
    </row>
    <row r="4" spans="1:14" ht="13.5" customHeight="1" x14ac:dyDescent="0.2">
      <c r="A4" s="426" t="s">
        <v>1632</v>
      </c>
      <c r="B4" s="427"/>
      <c r="C4" s="1562">
        <v>7250</v>
      </c>
      <c r="D4" s="1563"/>
      <c r="E4" s="1563">
        <v>171037</v>
      </c>
      <c r="F4" s="1563"/>
      <c r="G4" s="1563"/>
      <c r="H4" s="1563"/>
      <c r="I4" s="1563"/>
      <c r="J4" s="1564"/>
      <c r="K4" s="1563"/>
      <c r="L4" s="1563">
        <v>18872</v>
      </c>
      <c r="M4" s="1565"/>
      <c r="N4" s="1566"/>
    </row>
    <row r="5" spans="1:14" x14ac:dyDescent="0.2">
      <c r="A5" s="426" t="s">
        <v>985</v>
      </c>
      <c r="B5" s="428">
        <v>120</v>
      </c>
      <c r="C5" s="1562">
        <v>5763252</v>
      </c>
      <c r="D5" s="1563">
        <v>25739</v>
      </c>
      <c r="E5" s="1563">
        <v>-624973</v>
      </c>
      <c r="F5" s="1563">
        <v>1844727</v>
      </c>
      <c r="G5" s="1563">
        <v>2641728</v>
      </c>
      <c r="H5" s="1563">
        <v>905</v>
      </c>
      <c r="I5" s="1563">
        <v>57089</v>
      </c>
      <c r="J5" s="1564">
        <v>617707</v>
      </c>
      <c r="K5" s="1567">
        <v>8835</v>
      </c>
      <c r="L5" s="1568"/>
      <c r="M5" s="1565"/>
      <c r="N5" s="1566"/>
    </row>
    <row r="6" spans="1:14" ht="13.5" customHeight="1" x14ac:dyDescent="0.2">
      <c r="A6" s="429" t="s">
        <v>414</v>
      </c>
      <c r="B6" s="428">
        <v>130</v>
      </c>
      <c r="C6" s="1562"/>
      <c r="D6" s="1563"/>
      <c r="E6" s="1563"/>
      <c r="F6" s="1563"/>
      <c r="G6" s="1567"/>
      <c r="H6" s="1567"/>
      <c r="I6" s="1563"/>
      <c r="J6" s="1569"/>
      <c r="K6" s="1567"/>
      <c r="L6" s="1570"/>
      <c r="M6" s="1565"/>
      <c r="N6" s="1566"/>
    </row>
    <row r="7" spans="1:14" ht="13.5" customHeight="1" x14ac:dyDescent="0.2">
      <c r="A7" s="429" t="s">
        <v>415</v>
      </c>
      <c r="B7" s="428">
        <v>140</v>
      </c>
      <c r="C7" s="1571"/>
      <c r="D7" s="1564"/>
      <c r="E7" s="1564"/>
      <c r="F7" s="1564"/>
      <c r="G7" s="1564"/>
      <c r="H7" s="1564"/>
      <c r="I7" s="1564"/>
      <c r="J7" s="1564"/>
      <c r="K7" s="1564"/>
      <c r="L7" s="1572"/>
      <c r="M7" s="1565"/>
      <c r="N7" s="1566"/>
    </row>
    <row r="8" spans="1:14" ht="13.5" customHeight="1" x14ac:dyDescent="0.2">
      <c r="A8" s="429" t="s">
        <v>267</v>
      </c>
      <c r="B8" s="428">
        <v>150</v>
      </c>
      <c r="C8" s="1571"/>
      <c r="D8" s="1564"/>
      <c r="E8" s="1564"/>
      <c r="F8" s="1564"/>
      <c r="G8" s="1573"/>
      <c r="H8" s="1564"/>
      <c r="I8" s="1569"/>
      <c r="J8" s="1569"/>
      <c r="K8" s="1574"/>
      <c r="L8" s="1575"/>
      <c r="M8" s="1565"/>
      <c r="N8" s="1566"/>
    </row>
    <row r="9" spans="1:14" ht="13.5" customHeight="1" x14ac:dyDescent="0.2">
      <c r="A9" s="429" t="s">
        <v>268</v>
      </c>
      <c r="B9" s="428">
        <v>160</v>
      </c>
      <c r="C9" s="1571"/>
      <c r="D9" s="1564"/>
      <c r="E9" s="1564"/>
      <c r="F9" s="1564"/>
      <c r="G9" s="1564"/>
      <c r="H9" s="1573"/>
      <c r="I9" s="1564"/>
      <c r="J9" s="1564"/>
      <c r="K9" s="1564"/>
      <c r="L9" s="1564"/>
      <c r="M9" s="1565"/>
      <c r="N9" s="1566"/>
    </row>
    <row r="10" spans="1:14" ht="13.5" customHeight="1" x14ac:dyDescent="0.2">
      <c r="A10" s="429" t="s">
        <v>984</v>
      </c>
      <c r="B10" s="428">
        <v>170</v>
      </c>
      <c r="C10" s="1562"/>
      <c r="D10" s="1563"/>
      <c r="E10" s="1564"/>
      <c r="F10" s="1563"/>
      <c r="G10" s="1573"/>
      <c r="H10" s="1576"/>
      <c r="I10" s="1564"/>
      <c r="J10" s="1564"/>
      <c r="K10" s="1576"/>
      <c r="L10" s="1576"/>
      <c r="M10" s="1566"/>
      <c r="N10" s="1566"/>
    </row>
    <row r="11" spans="1:14" ht="13.5" customHeight="1" x14ac:dyDescent="0.2">
      <c r="A11" s="429" t="s">
        <v>269</v>
      </c>
      <c r="B11" s="428">
        <v>180</v>
      </c>
      <c r="C11" s="1571"/>
      <c r="D11" s="1564"/>
      <c r="E11" s="1564"/>
      <c r="F11" s="1564"/>
      <c r="G11" s="1564"/>
      <c r="H11" s="1564"/>
      <c r="I11" s="1573"/>
      <c r="J11" s="1573"/>
      <c r="K11" s="1564"/>
      <c r="L11" s="1564"/>
      <c r="M11" s="1566"/>
      <c r="N11" s="1566"/>
    </row>
    <row r="12" spans="1:14" ht="13.5" customHeight="1" x14ac:dyDescent="0.2">
      <c r="A12" s="429" t="s">
        <v>416</v>
      </c>
      <c r="B12" s="428">
        <v>190</v>
      </c>
      <c r="C12" s="1562"/>
      <c r="D12" s="1563"/>
      <c r="E12" s="1563"/>
      <c r="F12" s="1563"/>
      <c r="G12" s="1563"/>
      <c r="H12" s="1563"/>
      <c r="I12" s="1563"/>
      <c r="J12" s="1564"/>
      <c r="K12" s="1563"/>
      <c r="L12" s="1563"/>
      <c r="M12" s="1566"/>
      <c r="N12" s="1566"/>
    </row>
    <row r="13" spans="1:14" ht="13.5" customHeight="1" thickBot="1" x14ac:dyDescent="0.25">
      <c r="A13" s="1416" t="s">
        <v>639</v>
      </c>
      <c r="B13" s="1397"/>
      <c r="C13" s="1577">
        <f>SUM(C4:C12)</f>
        <v>5770502</v>
      </c>
      <c r="D13" s="1577">
        <f t="shared" ref="D13:L13" si="0">SUM(D4:D12)</f>
        <v>25739</v>
      </c>
      <c r="E13" s="1577">
        <f t="shared" si="0"/>
        <v>-453936</v>
      </c>
      <c r="F13" s="1577">
        <f t="shared" si="0"/>
        <v>1844727</v>
      </c>
      <c r="G13" s="1577">
        <f t="shared" si="0"/>
        <v>2641728</v>
      </c>
      <c r="H13" s="1577">
        <f t="shared" si="0"/>
        <v>905</v>
      </c>
      <c r="I13" s="1577">
        <f t="shared" si="0"/>
        <v>57089</v>
      </c>
      <c r="J13" s="1577">
        <f t="shared" si="0"/>
        <v>617707</v>
      </c>
      <c r="K13" s="1577">
        <f t="shared" si="0"/>
        <v>8835</v>
      </c>
      <c r="L13" s="1577">
        <f t="shared" si="0"/>
        <v>18872</v>
      </c>
      <c r="M13" s="1565"/>
      <c r="N13" s="1566"/>
    </row>
    <row r="14" spans="1:14" ht="18" customHeight="1" thickTop="1" x14ac:dyDescent="0.2">
      <c r="A14" s="2264" t="s">
        <v>146</v>
      </c>
      <c r="B14" s="2265"/>
      <c r="C14" s="1578"/>
      <c r="D14" s="1579"/>
      <c r="E14" s="1579"/>
      <c r="F14" s="1579"/>
      <c r="G14" s="1579"/>
      <c r="H14" s="1579"/>
      <c r="I14" s="1579"/>
      <c r="J14" s="1579"/>
      <c r="K14" s="1579"/>
      <c r="L14" s="1579"/>
      <c r="M14" s="1580"/>
      <c r="N14" s="1581"/>
    </row>
    <row r="15" spans="1:14" s="432" customFormat="1" ht="12.75" customHeight="1" x14ac:dyDescent="0.2">
      <c r="A15" s="430" t="s">
        <v>1384</v>
      </c>
      <c r="B15" s="431">
        <v>210</v>
      </c>
      <c r="C15" s="1572"/>
      <c r="D15" s="1572"/>
      <c r="E15" s="1572"/>
      <c r="F15" s="1572"/>
      <c r="G15" s="1572"/>
      <c r="H15" s="1572"/>
      <c r="I15" s="1572"/>
      <c r="J15" s="1572"/>
      <c r="K15" s="1572"/>
      <c r="L15" s="1572"/>
      <c r="M15" s="1573"/>
      <c r="N15" s="1582"/>
    </row>
    <row r="16" spans="1:14" s="432" customFormat="1" ht="12.75" customHeight="1" x14ac:dyDescent="0.2">
      <c r="A16" s="430" t="s">
        <v>1385</v>
      </c>
      <c r="B16" s="431">
        <v>220</v>
      </c>
      <c r="C16" s="1572"/>
      <c r="D16" s="1572"/>
      <c r="E16" s="1572"/>
      <c r="F16" s="1572"/>
      <c r="G16" s="1572"/>
      <c r="H16" s="1572"/>
      <c r="I16" s="1572"/>
      <c r="J16" s="1572"/>
      <c r="K16" s="1572"/>
      <c r="L16" s="1572"/>
      <c r="M16" s="1564">
        <v>280244</v>
      </c>
      <c r="N16" s="1582"/>
    </row>
    <row r="17" spans="1:14" s="432" customFormat="1" ht="12.75" customHeight="1" x14ac:dyDescent="0.2">
      <c r="A17" s="430" t="s">
        <v>1386</v>
      </c>
      <c r="B17" s="431">
        <v>230</v>
      </c>
      <c r="C17" s="1572"/>
      <c r="D17" s="1572"/>
      <c r="E17" s="1572"/>
      <c r="F17" s="1572"/>
      <c r="G17" s="1572"/>
      <c r="H17" s="1572"/>
      <c r="I17" s="1572"/>
      <c r="J17" s="1572"/>
      <c r="K17" s="1572"/>
      <c r="L17" s="1572"/>
      <c r="M17" s="1564">
        <v>50238471</v>
      </c>
      <c r="N17" s="1582"/>
    </row>
    <row r="18" spans="1:14" s="432" customFormat="1" ht="12.75" customHeight="1" x14ac:dyDescent="0.2">
      <c r="A18" s="430" t="s">
        <v>1387</v>
      </c>
      <c r="B18" s="431">
        <v>240</v>
      </c>
      <c r="C18" s="1572"/>
      <c r="D18" s="1572"/>
      <c r="E18" s="1572"/>
      <c r="F18" s="1572"/>
      <c r="G18" s="1572"/>
      <c r="H18" s="1572"/>
      <c r="I18" s="1572"/>
      <c r="J18" s="1572"/>
      <c r="K18" s="1572"/>
      <c r="L18" s="1572"/>
      <c r="M18" s="1564">
        <v>626100</v>
      </c>
      <c r="N18" s="1582"/>
    </row>
    <row r="19" spans="1:14" s="432" customFormat="1" ht="12.75" customHeight="1" x14ac:dyDescent="0.2">
      <c r="A19" s="430" t="s">
        <v>1388</v>
      </c>
      <c r="B19" s="431">
        <v>250</v>
      </c>
      <c r="C19" s="1572"/>
      <c r="D19" s="1572"/>
      <c r="E19" s="1572"/>
      <c r="F19" s="1572"/>
      <c r="G19" s="1572"/>
      <c r="H19" s="1572"/>
      <c r="I19" s="1572"/>
      <c r="J19" s="1572"/>
      <c r="K19" s="1572"/>
      <c r="L19" s="1572"/>
      <c r="M19" s="1564">
        <v>1484546</v>
      </c>
      <c r="N19" s="1582"/>
    </row>
    <row r="20" spans="1:14" s="432" customFormat="1" ht="12.75" customHeight="1" x14ac:dyDescent="0.2">
      <c r="A20" s="430" t="s">
        <v>1389</v>
      </c>
      <c r="B20" s="431">
        <v>260</v>
      </c>
      <c r="C20" s="1572"/>
      <c r="D20" s="1572"/>
      <c r="E20" s="1572"/>
      <c r="F20" s="1572"/>
      <c r="G20" s="1572"/>
      <c r="H20" s="1572"/>
      <c r="I20" s="1572"/>
      <c r="J20" s="1572"/>
      <c r="K20" s="1572"/>
      <c r="L20" s="1572"/>
      <c r="M20" s="1564"/>
      <c r="N20" s="1582"/>
    </row>
    <row r="21" spans="1:14" s="432" customFormat="1" ht="12.75" customHeight="1" x14ac:dyDescent="0.2">
      <c r="A21" s="430" t="s">
        <v>1390</v>
      </c>
      <c r="B21" s="431">
        <v>340</v>
      </c>
      <c r="C21" s="1572"/>
      <c r="D21" s="1572"/>
      <c r="E21" s="1572"/>
      <c r="F21" s="1572"/>
      <c r="G21" s="1572"/>
      <c r="H21" s="1572"/>
      <c r="I21" s="1572"/>
      <c r="J21" s="1572"/>
      <c r="K21" s="1572"/>
      <c r="L21" s="1572"/>
      <c r="M21" s="1583"/>
      <c r="N21" s="1564"/>
    </row>
    <row r="22" spans="1:14" s="432" customFormat="1" ht="12.75" customHeight="1" x14ac:dyDescent="0.2">
      <c r="A22" s="430" t="s">
        <v>1391</v>
      </c>
      <c r="B22" s="431">
        <v>350</v>
      </c>
      <c r="C22" s="1572"/>
      <c r="D22" s="1572"/>
      <c r="E22" s="1572"/>
      <c r="F22" s="1572"/>
      <c r="G22" s="1572"/>
      <c r="H22" s="1572"/>
      <c r="I22" s="1572"/>
      <c r="J22" s="1572"/>
      <c r="K22" s="1572"/>
      <c r="L22" s="1572"/>
      <c r="M22" s="1583"/>
      <c r="N22" s="1597">
        <f>'Short-Term Long-Term Debt 24'!J49</f>
        <v>3778028</v>
      </c>
    </row>
    <row r="23" spans="1:14" ht="13.5" customHeight="1" thickBot="1" x14ac:dyDescent="0.25">
      <c r="A23" s="1416" t="s">
        <v>638</v>
      </c>
      <c r="B23" s="1419"/>
      <c r="C23" s="1565"/>
      <c r="D23" s="1565"/>
      <c r="E23" s="1565"/>
      <c r="F23" s="1565"/>
      <c r="G23" s="1565"/>
      <c r="H23" s="1565"/>
      <c r="I23" s="1565"/>
      <c r="J23" s="1565"/>
      <c r="K23" s="1565"/>
      <c r="L23" s="1565"/>
      <c r="M23" s="1584">
        <f>SUM(M15:M22)</f>
        <v>52629361</v>
      </c>
      <c r="N23" s="1584">
        <f>SUM(N21:N22)</f>
        <v>3778028</v>
      </c>
    </row>
    <row r="24" spans="1:14" ht="18" customHeight="1" thickTop="1" x14ac:dyDescent="0.2">
      <c r="A24" s="2266" t="s">
        <v>594</v>
      </c>
      <c r="B24" s="2267"/>
      <c r="C24" s="1585"/>
      <c r="D24" s="1580"/>
      <c r="E24" s="1580"/>
      <c r="F24" s="1580"/>
      <c r="G24" s="1580"/>
      <c r="H24" s="1580"/>
      <c r="I24" s="1580"/>
      <c r="J24" s="1580"/>
      <c r="K24" s="1580"/>
      <c r="L24" s="1580"/>
      <c r="M24" s="1579"/>
      <c r="N24" s="1586"/>
    </row>
    <row r="25" spans="1:14" x14ac:dyDescent="0.2">
      <c r="A25" s="429" t="s">
        <v>640</v>
      </c>
      <c r="B25" s="428">
        <v>410</v>
      </c>
      <c r="C25" s="1573"/>
      <c r="D25" s="1573"/>
      <c r="E25" s="1573"/>
      <c r="F25" s="1573"/>
      <c r="G25" s="1573"/>
      <c r="H25" s="1574"/>
      <c r="I25" s="1565"/>
      <c r="J25" s="1573"/>
      <c r="K25" s="1573"/>
      <c r="L25" s="1565"/>
      <c r="M25" s="1565"/>
      <c r="N25" s="1565"/>
    </row>
    <row r="26" spans="1:14" x14ac:dyDescent="0.2">
      <c r="A26" s="429" t="s">
        <v>641</v>
      </c>
      <c r="B26" s="428">
        <v>420</v>
      </c>
      <c r="C26" s="1564"/>
      <c r="D26" s="1564"/>
      <c r="E26" s="1564"/>
      <c r="F26" s="1564"/>
      <c r="G26" s="1564"/>
      <c r="H26" s="1564"/>
      <c r="I26" s="1564"/>
      <c r="J26" s="1569"/>
      <c r="K26" s="1564"/>
      <c r="L26" s="1565"/>
      <c r="M26" s="1565"/>
      <c r="N26" s="1565"/>
    </row>
    <row r="27" spans="1:14" ht="13.5" customHeight="1" x14ac:dyDescent="0.2">
      <c r="A27" s="429" t="s">
        <v>642</v>
      </c>
      <c r="B27" s="428">
        <v>430</v>
      </c>
      <c r="C27" s="1564"/>
      <c r="D27" s="1564"/>
      <c r="E27" s="1564"/>
      <c r="F27" s="1564"/>
      <c r="G27" s="1564"/>
      <c r="H27" s="1564"/>
      <c r="I27" s="1564"/>
      <c r="J27" s="1564"/>
      <c r="K27" s="1564"/>
      <c r="L27" s="1565"/>
      <c r="M27" s="1565"/>
      <c r="N27" s="1565"/>
    </row>
    <row r="28" spans="1:14" ht="13.5" customHeight="1" x14ac:dyDescent="0.2">
      <c r="A28" s="429" t="s">
        <v>643</v>
      </c>
      <c r="B28" s="428">
        <v>440</v>
      </c>
      <c r="C28" s="1564"/>
      <c r="D28" s="1564"/>
      <c r="E28" s="1569"/>
      <c r="F28" s="1564"/>
      <c r="G28" s="1569"/>
      <c r="H28" s="1569"/>
      <c r="I28" s="1564"/>
      <c r="J28" s="1564"/>
      <c r="K28" s="1574"/>
      <c r="L28" s="1565"/>
      <c r="M28" s="1565"/>
      <c r="N28" s="1565"/>
    </row>
    <row r="29" spans="1:14" ht="13.5" customHeight="1" x14ac:dyDescent="0.2">
      <c r="A29" s="429" t="s">
        <v>644</v>
      </c>
      <c r="B29" s="428">
        <v>460</v>
      </c>
      <c r="C29" s="1587"/>
      <c r="D29" s="1588"/>
      <c r="E29" s="1569"/>
      <c r="F29" s="1564"/>
      <c r="G29" s="1569"/>
      <c r="H29" s="1569"/>
      <c r="I29" s="1569"/>
      <c r="J29" s="1569"/>
      <c r="K29" s="1564"/>
      <c r="L29" s="1565"/>
      <c r="M29" s="1565"/>
      <c r="N29" s="1565"/>
    </row>
    <row r="30" spans="1:14" ht="13.5" customHeight="1" x14ac:dyDescent="0.2">
      <c r="A30" s="429" t="s">
        <v>645</v>
      </c>
      <c r="B30" s="428">
        <v>470</v>
      </c>
      <c r="C30" s="1564"/>
      <c r="D30" s="1569"/>
      <c r="E30" s="1564"/>
      <c r="F30" s="1564"/>
      <c r="G30" s="1564"/>
      <c r="H30" s="1564"/>
      <c r="I30" s="1564"/>
      <c r="J30" s="1564"/>
      <c r="K30" s="1573"/>
      <c r="L30" s="1565"/>
      <c r="M30" s="1565"/>
      <c r="N30" s="1565"/>
    </row>
    <row r="31" spans="1:14" ht="13.5" customHeight="1" x14ac:dyDescent="0.2">
      <c r="A31" s="429" t="s">
        <v>646</v>
      </c>
      <c r="B31" s="428">
        <v>480</v>
      </c>
      <c r="C31" s="1563">
        <v>16390</v>
      </c>
      <c r="D31" s="1564">
        <v>7370</v>
      </c>
      <c r="E31" s="1564"/>
      <c r="F31" s="1563"/>
      <c r="G31" s="1564">
        <v>-92</v>
      </c>
      <c r="H31" s="1564"/>
      <c r="I31" s="1564"/>
      <c r="J31" s="1564"/>
      <c r="K31" s="1564"/>
      <c r="L31" s="1565"/>
      <c r="M31" s="1565"/>
      <c r="N31" s="1565"/>
    </row>
    <row r="32" spans="1:14" ht="13.5" customHeight="1" x14ac:dyDescent="0.2">
      <c r="A32" s="433" t="s">
        <v>647</v>
      </c>
      <c r="B32" s="434">
        <v>490</v>
      </c>
      <c r="C32" s="1589"/>
      <c r="D32" s="1589"/>
      <c r="E32" s="1569"/>
      <c r="F32" s="1569"/>
      <c r="G32" s="1569"/>
      <c r="H32" s="1569"/>
      <c r="I32" s="1569"/>
      <c r="J32" s="1569"/>
      <c r="K32" s="1574"/>
      <c r="L32" s="1565"/>
      <c r="M32" s="1565"/>
      <c r="N32" s="1565"/>
    </row>
    <row r="33" spans="1:14" ht="13.5" customHeight="1" x14ac:dyDescent="0.2">
      <c r="A33" s="435" t="s">
        <v>300</v>
      </c>
      <c r="B33" s="434">
        <v>493</v>
      </c>
      <c r="C33" s="1564"/>
      <c r="D33" s="1564"/>
      <c r="E33" s="1564"/>
      <c r="F33" s="1564"/>
      <c r="G33" s="1564"/>
      <c r="H33" s="1564"/>
      <c r="I33" s="1564"/>
      <c r="J33" s="1564"/>
      <c r="K33" s="1564"/>
      <c r="L33" s="1564">
        <v>18872</v>
      </c>
      <c r="M33" s="1565"/>
      <c r="N33" s="1566"/>
    </row>
    <row r="34" spans="1:14" ht="13.5" customHeight="1" thickBot="1" x14ac:dyDescent="0.25">
      <c r="A34" s="1417" t="s">
        <v>649</v>
      </c>
      <c r="B34" s="1418"/>
      <c r="C34" s="1590">
        <f>SUM(C25:C33)</f>
        <v>16390</v>
      </c>
      <c r="D34" s="1590">
        <f t="shared" ref="D34:K34" si="1">SUM(D25:D33)</f>
        <v>7370</v>
      </c>
      <c r="E34" s="1590">
        <f t="shared" si="1"/>
        <v>0</v>
      </c>
      <c r="F34" s="1590">
        <f t="shared" si="1"/>
        <v>0</v>
      </c>
      <c r="G34" s="1590">
        <f t="shared" si="1"/>
        <v>-92</v>
      </c>
      <c r="H34" s="1590">
        <f t="shared" si="1"/>
        <v>0</v>
      </c>
      <c r="I34" s="1590">
        <f t="shared" si="1"/>
        <v>0</v>
      </c>
      <c r="J34" s="1590">
        <f t="shared" si="1"/>
        <v>0</v>
      </c>
      <c r="K34" s="1590">
        <f t="shared" si="1"/>
        <v>0</v>
      </c>
      <c r="L34" s="1591">
        <f>SUM(L33)</f>
        <v>18872</v>
      </c>
      <c r="M34" s="1565"/>
      <c r="N34" s="1575"/>
    </row>
    <row r="35" spans="1:14" ht="18" customHeight="1" thickTop="1" x14ac:dyDescent="0.2">
      <c r="A35" s="2268" t="s">
        <v>526</v>
      </c>
      <c r="B35" s="2269"/>
      <c r="C35" s="1592"/>
      <c r="D35" s="1593"/>
      <c r="E35" s="1593"/>
      <c r="F35" s="1593"/>
      <c r="G35" s="1593"/>
      <c r="H35" s="1593"/>
      <c r="I35" s="1593"/>
      <c r="J35" s="1593"/>
      <c r="K35" s="1593"/>
      <c r="L35" s="1593"/>
      <c r="M35" s="1580"/>
      <c r="N35" s="1586"/>
    </row>
    <row r="36" spans="1:14" x14ac:dyDescent="0.2">
      <c r="A36" s="436" t="s">
        <v>1</v>
      </c>
      <c r="B36" s="428">
        <v>511</v>
      </c>
      <c r="C36" s="1572"/>
      <c r="D36" s="1572"/>
      <c r="E36" s="1572"/>
      <c r="F36" s="1572"/>
      <c r="G36" s="1572"/>
      <c r="H36" s="1572"/>
      <c r="I36" s="1572"/>
      <c r="J36" s="1572"/>
      <c r="K36" s="1572"/>
      <c r="L36" s="1565"/>
      <c r="M36" s="1565"/>
      <c r="N36" s="1596">
        <f>'Short-Term Long-Term Debt 24'!I49</f>
        <v>3778028</v>
      </c>
    </row>
    <row r="37" spans="1:14" ht="13.5" thickBot="1" x14ac:dyDescent="0.25">
      <c r="A37" s="1416" t="s">
        <v>648</v>
      </c>
      <c r="B37" s="1419"/>
      <c r="C37" s="1572"/>
      <c r="D37" s="1572"/>
      <c r="E37" s="1572"/>
      <c r="F37" s="1572"/>
      <c r="G37" s="1572"/>
      <c r="H37" s="1572"/>
      <c r="I37" s="1572"/>
      <c r="J37" s="1572"/>
      <c r="K37" s="1572"/>
      <c r="L37" s="1575"/>
      <c r="M37" s="1565"/>
      <c r="N37" s="1584">
        <f>SUM(N36:N36)</f>
        <v>3778028</v>
      </c>
    </row>
    <row r="38" spans="1:14" s="306" customFormat="1" ht="13.5" customHeight="1" thickTop="1" x14ac:dyDescent="0.2">
      <c r="A38" s="437" t="s">
        <v>417</v>
      </c>
      <c r="B38" s="431">
        <v>714</v>
      </c>
      <c r="C38" s="1563"/>
      <c r="D38" s="1563"/>
      <c r="E38" s="1563"/>
      <c r="F38" s="1563"/>
      <c r="G38" s="1563"/>
      <c r="H38" s="1563"/>
      <c r="I38" s="1563"/>
      <c r="J38" s="1564"/>
      <c r="K38" s="1563"/>
      <c r="L38" s="1576"/>
      <c r="M38" s="1594"/>
      <c r="N38" s="1594"/>
    </row>
    <row r="39" spans="1:14" s="306" customFormat="1" ht="13.5" customHeight="1" x14ac:dyDescent="0.2">
      <c r="A39" s="437" t="s">
        <v>339</v>
      </c>
      <c r="B39" s="431">
        <v>730</v>
      </c>
      <c r="C39" s="1563">
        <f>+'Acct Summary 7-8'!C81-'Assets-Liab 5-6'!C38</f>
        <v>5754112</v>
      </c>
      <c r="D39" s="1563">
        <f>+'Acct Summary 7-8'!D81</f>
        <v>18369</v>
      </c>
      <c r="E39" s="1563">
        <f>+'Acct Summary 7-8'!E81</f>
        <v>-453936</v>
      </c>
      <c r="F39" s="1563">
        <f>+'Acct Summary 7-8'!F81</f>
        <v>1844727</v>
      </c>
      <c r="G39" s="1563">
        <f>+'Acct Summary 7-8'!G81</f>
        <v>2641820</v>
      </c>
      <c r="H39" s="1563">
        <f>+'Acct Summary 7-8'!H81</f>
        <v>905</v>
      </c>
      <c r="I39" s="1563">
        <f>+'Acct Summary 7-8'!I81</f>
        <v>57089</v>
      </c>
      <c r="J39" s="1564">
        <f>+'Acct Summary 7-8'!J81</f>
        <v>617707</v>
      </c>
      <c r="K39" s="1563">
        <f>+'Acct Summary 7-8'!K81</f>
        <v>8835</v>
      </c>
      <c r="L39" s="1563"/>
      <c r="M39" s="1594"/>
      <c r="N39" s="1594"/>
    </row>
    <row r="40" spans="1:14" s="306" customFormat="1" ht="13.5" customHeight="1" x14ac:dyDescent="0.2">
      <c r="A40" s="438" t="s">
        <v>147</v>
      </c>
      <c r="B40" s="439"/>
      <c r="C40" s="1595"/>
      <c r="D40" s="1595"/>
      <c r="E40" s="1595"/>
      <c r="F40" s="1595"/>
      <c r="G40" s="1595"/>
      <c r="H40" s="1595"/>
      <c r="I40" s="1595"/>
      <c r="J40" s="1595"/>
      <c r="K40" s="1595"/>
      <c r="L40" s="1595"/>
      <c r="M40" s="1564">
        <v>52629361</v>
      </c>
      <c r="N40" s="1594"/>
    </row>
    <row r="41" spans="1:14" ht="13.5" customHeight="1" thickBot="1" x14ac:dyDescent="0.25">
      <c r="A41" s="1416" t="s">
        <v>650</v>
      </c>
      <c r="B41" s="1395"/>
      <c r="C41" s="1584">
        <f>(SUM(C34,C37,C38,C39))</f>
        <v>5770502</v>
      </c>
      <c r="D41" s="1584">
        <f t="shared" ref="D41:L41" si="2">SUM(D34,D37,D38:D39)</f>
        <v>25739</v>
      </c>
      <c r="E41" s="1584">
        <f t="shared" si="2"/>
        <v>-453936</v>
      </c>
      <c r="F41" s="1584">
        <f t="shared" si="2"/>
        <v>1844727</v>
      </c>
      <c r="G41" s="1584">
        <f t="shared" si="2"/>
        <v>2641728</v>
      </c>
      <c r="H41" s="1584">
        <f t="shared" si="2"/>
        <v>905</v>
      </c>
      <c r="I41" s="1584">
        <f t="shared" si="2"/>
        <v>57089</v>
      </c>
      <c r="J41" s="1584">
        <f t="shared" si="2"/>
        <v>617707</v>
      </c>
      <c r="K41" s="1584">
        <f t="shared" si="2"/>
        <v>8835</v>
      </c>
      <c r="L41" s="1584">
        <f t="shared" si="2"/>
        <v>18872</v>
      </c>
      <c r="M41" s="1584">
        <f>SUM(M40)</f>
        <v>52629361</v>
      </c>
      <c r="N41" s="1584">
        <f>SUM(N37)</f>
        <v>3778028</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2" activePane="bottomLeft" state="frozen"/>
      <selection pane="bottomLeft" activeCell="O10" sqref="O10"/>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78"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79"/>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90" t="s">
        <v>1165</v>
      </c>
      <c r="B3" s="2291"/>
      <c r="C3" s="1301"/>
      <c r="D3" s="1302"/>
      <c r="E3" s="1302"/>
      <c r="F3" s="1302"/>
      <c r="G3" s="1302"/>
      <c r="H3" s="1302"/>
      <c r="I3" s="1302"/>
      <c r="J3" s="1302"/>
      <c r="K3" s="1303"/>
      <c r="L3" s="445"/>
    </row>
    <row r="4" spans="1:13" ht="15.75" customHeight="1" x14ac:dyDescent="0.2">
      <c r="A4" s="1527" t="s">
        <v>1482</v>
      </c>
      <c r="B4" s="1528">
        <v>1000</v>
      </c>
      <c r="C4" s="1596">
        <f>'Revenues 9-14'!C109</f>
        <v>3914656</v>
      </c>
      <c r="D4" s="1596">
        <f>'Revenues 9-14'!D109</f>
        <v>586690</v>
      </c>
      <c r="E4" s="1596">
        <f>'Revenues 9-14'!E109</f>
        <v>1082084</v>
      </c>
      <c r="F4" s="1596">
        <f>'Revenues 9-14'!F109</f>
        <v>978181</v>
      </c>
      <c r="G4" s="1596">
        <f>'Revenues 9-14'!G109</f>
        <v>134055</v>
      </c>
      <c r="H4" s="1596">
        <f>'Revenues 9-14'!H109</f>
        <v>15</v>
      </c>
      <c r="I4" s="1596">
        <f>'Revenues 9-14'!I109</f>
        <v>34790</v>
      </c>
      <c r="J4" s="1596">
        <f>'Revenues 9-14'!J109</f>
        <v>55895</v>
      </c>
      <c r="K4" s="1596">
        <f>'Revenues 9-14'!K109</f>
        <v>-2310</v>
      </c>
      <c r="L4" s="324"/>
    </row>
    <row r="5" spans="1:13" ht="15.75" customHeight="1" x14ac:dyDescent="0.2">
      <c r="A5" s="1304" t="s">
        <v>1483</v>
      </c>
      <c r="B5" s="1305">
        <v>2000</v>
      </c>
      <c r="C5" s="1597">
        <f>'Revenues 9-14'!C114</f>
        <v>0</v>
      </c>
      <c r="D5" s="1597">
        <f>'Revenues 9-14'!D114</f>
        <v>0</v>
      </c>
      <c r="E5" s="1598"/>
      <c r="F5" s="1597">
        <f>'Revenues 9-14'!F114</f>
        <v>0</v>
      </c>
      <c r="G5" s="1597">
        <f>'Revenues 9-14'!G114</f>
        <v>0</v>
      </c>
      <c r="H5" s="1599" t="s">
        <v>1159</v>
      </c>
      <c r="I5" s="1600" t="s">
        <v>1159</v>
      </c>
      <c r="J5" s="1601" t="s">
        <v>1159</v>
      </c>
      <c r="K5" s="1602" t="s">
        <v>1159</v>
      </c>
      <c r="L5" s="324"/>
    </row>
    <row r="6" spans="1:13" ht="15.75" customHeight="1" x14ac:dyDescent="0.2">
      <c r="A6" s="1304" t="s">
        <v>1484</v>
      </c>
      <c r="B6" s="1306">
        <v>3000</v>
      </c>
      <c r="C6" s="1597">
        <f>'Revenues 9-14'!C170</f>
        <v>7170971</v>
      </c>
      <c r="D6" s="1597">
        <f>'Revenues 9-14'!D170</f>
        <v>825000</v>
      </c>
      <c r="E6" s="1597">
        <f>'Revenues 9-14'!E170</f>
        <v>0</v>
      </c>
      <c r="F6" s="1597">
        <f>'Revenues 9-14'!F170</f>
        <v>775958</v>
      </c>
      <c r="G6" s="1597">
        <f>'Revenues 9-14'!G170</f>
        <v>0</v>
      </c>
      <c r="H6" s="1597">
        <f>'Revenues 9-14'!H170</f>
        <v>0</v>
      </c>
      <c r="I6" s="1597">
        <f>'Revenues 9-14'!I170</f>
        <v>0</v>
      </c>
      <c r="J6" s="1597">
        <f>'Revenues 9-14'!J170</f>
        <v>0</v>
      </c>
      <c r="K6" s="1597">
        <f>'Revenues 9-14'!K170</f>
        <v>0</v>
      </c>
      <c r="L6" s="324"/>
      <c r="M6" s="447"/>
    </row>
    <row r="7" spans="1:13" ht="15.75" customHeight="1" x14ac:dyDescent="0.2">
      <c r="A7" s="1304" t="s">
        <v>1485</v>
      </c>
      <c r="B7" s="1306">
        <v>4000</v>
      </c>
      <c r="C7" s="1597">
        <f>'Revenues 9-14'!C267</f>
        <v>1446245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4"/>
      <c r="M7" s="447"/>
    </row>
    <row r="8" spans="1:13" ht="13.5" thickBot="1" x14ac:dyDescent="0.25">
      <c r="A8" s="1416" t="s">
        <v>1162</v>
      </c>
      <c r="B8" s="1397"/>
      <c r="C8" s="1584">
        <f>SUM(C4:C7)</f>
        <v>12531872</v>
      </c>
      <c r="D8" s="1584">
        <f t="shared" ref="D8:K8" si="0">SUM(D4:D7)</f>
        <v>1411690</v>
      </c>
      <c r="E8" s="1584">
        <f t="shared" si="0"/>
        <v>1082084</v>
      </c>
      <c r="F8" s="1584">
        <f t="shared" si="0"/>
        <v>1754139</v>
      </c>
      <c r="G8" s="1584">
        <f t="shared" si="0"/>
        <v>134055</v>
      </c>
      <c r="H8" s="1584">
        <f t="shared" si="0"/>
        <v>15</v>
      </c>
      <c r="I8" s="1584">
        <f t="shared" si="0"/>
        <v>34790</v>
      </c>
      <c r="J8" s="1584">
        <f t="shared" si="0"/>
        <v>55895</v>
      </c>
      <c r="K8" s="1584">
        <f t="shared" si="0"/>
        <v>-2310</v>
      </c>
      <c r="L8" s="324"/>
    </row>
    <row r="9" spans="1:13" ht="15.75" thickTop="1" x14ac:dyDescent="0.2">
      <c r="A9" s="448" t="s">
        <v>1634</v>
      </c>
      <c r="B9" s="449">
        <v>3998</v>
      </c>
      <c r="C9" s="1576">
        <v>4235431</v>
      </c>
      <c r="D9" s="1603"/>
      <c r="E9" s="1576"/>
      <c r="F9" s="1576"/>
      <c r="G9" s="1604"/>
      <c r="H9" s="1576"/>
      <c r="I9" s="1599" t="s">
        <v>1159</v>
      </c>
      <c r="J9" s="1573"/>
      <c r="K9" s="1576"/>
      <c r="L9" s="324"/>
    </row>
    <row r="10" spans="1:13" s="451" customFormat="1" ht="13.5" thickBot="1" x14ac:dyDescent="0.25">
      <c r="A10" s="1416" t="s">
        <v>1163</v>
      </c>
      <c r="B10" s="1397"/>
      <c r="C10" s="1584">
        <f>SUM(C8:C9)</f>
        <v>16767303</v>
      </c>
      <c r="D10" s="1584">
        <f t="shared" ref="D10:K10" si="1">SUM(D8:D9)</f>
        <v>1411690</v>
      </c>
      <c r="E10" s="1584">
        <f t="shared" si="1"/>
        <v>1082084</v>
      </c>
      <c r="F10" s="1584">
        <f t="shared" si="1"/>
        <v>1754139</v>
      </c>
      <c r="G10" s="1584">
        <f t="shared" si="1"/>
        <v>134055</v>
      </c>
      <c r="H10" s="1584">
        <f t="shared" si="1"/>
        <v>15</v>
      </c>
      <c r="I10" s="1584">
        <f t="shared" si="1"/>
        <v>34790</v>
      </c>
      <c r="J10" s="1584">
        <f t="shared" si="1"/>
        <v>55895</v>
      </c>
      <c r="K10" s="1584">
        <f t="shared" si="1"/>
        <v>-2310</v>
      </c>
      <c r="L10" s="450"/>
    </row>
    <row r="11" spans="1:13" s="451" customFormat="1" ht="16.7" customHeight="1" thickTop="1" x14ac:dyDescent="0.2">
      <c r="A11" s="2264" t="s">
        <v>1166</v>
      </c>
      <c r="B11" s="2265"/>
      <c r="C11" s="1592"/>
      <c r="D11" s="1593"/>
      <c r="E11" s="1593"/>
      <c r="F11" s="1593"/>
      <c r="G11" s="1593"/>
      <c r="H11" s="1593"/>
      <c r="I11" s="1593"/>
      <c r="J11" s="1593"/>
      <c r="K11" s="1605"/>
      <c r="L11" s="450"/>
    </row>
    <row r="12" spans="1:13" ht="15.75" customHeight="1" x14ac:dyDescent="0.2">
      <c r="A12" s="1304" t="s">
        <v>453</v>
      </c>
      <c r="B12" s="1306">
        <v>1000</v>
      </c>
      <c r="C12" s="1596">
        <f>'Expenditures 15-22'!K33</f>
        <v>4648642</v>
      </c>
      <c r="D12" s="1606" t="s">
        <v>1159</v>
      </c>
      <c r="E12" s="1565" t="s">
        <v>1159</v>
      </c>
      <c r="F12" s="1565" t="s">
        <v>1159</v>
      </c>
      <c r="G12" s="1596">
        <f>'Expenditures 15-22'!K229</f>
        <v>97218</v>
      </c>
      <c r="H12" s="1607"/>
      <c r="I12" s="1565" t="s">
        <v>1159</v>
      </c>
      <c r="J12" s="1565" t="s">
        <v>1159</v>
      </c>
      <c r="K12" s="1607" t="s">
        <v>1159</v>
      </c>
      <c r="L12" s="324"/>
    </row>
    <row r="13" spans="1:13" ht="15.75" customHeight="1" x14ac:dyDescent="0.2">
      <c r="A13" s="1304" t="s">
        <v>454</v>
      </c>
      <c r="B13" s="1306">
        <v>2000</v>
      </c>
      <c r="C13" s="1597">
        <f>'Expenditures 15-22'!K74</f>
        <v>4664489</v>
      </c>
      <c r="D13" s="1597">
        <f>'Expenditures 15-22'!K129</f>
        <v>1611243</v>
      </c>
      <c r="E13" s="1566" t="s">
        <v>1159</v>
      </c>
      <c r="F13" s="1597">
        <f>'Expenditures 15-22'!K184</f>
        <v>1109062</v>
      </c>
      <c r="G13" s="1597">
        <f>'Expenditures 15-22'!K279</f>
        <v>192310</v>
      </c>
      <c r="H13" s="1597">
        <f>'Expenditures 15-22'!K303</f>
        <v>0</v>
      </c>
      <c r="I13" s="1565" t="s">
        <v>1159</v>
      </c>
      <c r="J13" s="1597">
        <f>'Expenditures 15-22'!K330</f>
        <v>350056</v>
      </c>
      <c r="K13" s="1608">
        <f>'Expenditures 15-22'!K352</f>
        <v>0</v>
      </c>
      <c r="L13" s="324"/>
    </row>
    <row r="14" spans="1:13" ht="15.75" customHeight="1" x14ac:dyDescent="0.2">
      <c r="A14" s="1304" t="s">
        <v>446</v>
      </c>
      <c r="B14" s="1306">
        <v>3000</v>
      </c>
      <c r="C14" s="1597">
        <f>'Expenditures 15-22'!K75</f>
        <v>2345</v>
      </c>
      <c r="D14" s="1597">
        <f>'Expenditures 15-22'!K130</f>
        <v>0</v>
      </c>
      <c r="E14" s="1606" t="s">
        <v>1159</v>
      </c>
      <c r="F14" s="1597">
        <f>'Expenditures 15-22'!K185</f>
        <v>0</v>
      </c>
      <c r="G14" s="1597">
        <f>'Expenditures 15-22'!K280</f>
        <v>0</v>
      </c>
      <c r="H14" s="1602"/>
      <c r="I14" s="1565" t="s">
        <v>1159</v>
      </c>
      <c r="J14" s="1565" t="s">
        <v>1159</v>
      </c>
      <c r="K14" s="1602" t="s">
        <v>1159</v>
      </c>
      <c r="L14" s="324"/>
    </row>
    <row r="15" spans="1:13" ht="15.75" customHeight="1" x14ac:dyDescent="0.2">
      <c r="A15" s="1304" t="s">
        <v>107</v>
      </c>
      <c r="B15" s="1306">
        <v>4000</v>
      </c>
      <c r="C15" s="1597">
        <f>'Expenditures 15-22'!K102</f>
        <v>1515587</v>
      </c>
      <c r="D15" s="1597">
        <f>'Expenditures 15-22'!K139</f>
        <v>0</v>
      </c>
      <c r="E15" s="1597">
        <f>'Expenditures 15-22'!K160</f>
        <v>0</v>
      </c>
      <c r="F15" s="1597">
        <f>'Expenditures 15-22'!K196</f>
        <v>0</v>
      </c>
      <c r="G15" s="1597">
        <f>'Expenditures 15-22'!K285</f>
        <v>0</v>
      </c>
      <c r="H15" s="1597">
        <f>'Expenditures 15-22'!K310</f>
        <v>0</v>
      </c>
      <c r="I15" s="1565" t="s">
        <v>1159</v>
      </c>
      <c r="J15" s="1609">
        <f>'Expenditures 15-22'!K334</f>
        <v>0</v>
      </c>
      <c r="K15" s="1597">
        <f>'Expenditures 15-22'!K357</f>
        <v>0</v>
      </c>
      <c r="L15" s="324"/>
    </row>
    <row r="16" spans="1:13" ht="15.75" customHeight="1" x14ac:dyDescent="0.2">
      <c r="A16" s="1304" t="s">
        <v>447</v>
      </c>
      <c r="B16" s="1306">
        <v>5000</v>
      </c>
      <c r="C16" s="1597">
        <f>'Expenditures 15-22'!K112</f>
        <v>0</v>
      </c>
      <c r="D16" s="1597">
        <f>'Expenditures 15-22'!K149</f>
        <v>0</v>
      </c>
      <c r="E16" s="1597">
        <f>'Expenditures 15-22'!K172</f>
        <v>1208728</v>
      </c>
      <c r="F16" s="1597">
        <f>'Expenditures 15-22'!K208</f>
        <v>0</v>
      </c>
      <c r="G16" s="1597">
        <f>'Expenditures 15-22'!K293</f>
        <v>0</v>
      </c>
      <c r="H16" s="1610"/>
      <c r="I16" s="1565" t="s">
        <v>1159</v>
      </c>
      <c r="J16" s="1611">
        <f>'Expenditures 15-22'!K340</f>
        <v>0</v>
      </c>
      <c r="K16" s="1597">
        <f>'Expenditures 15-22'!K365</f>
        <v>0</v>
      </c>
      <c r="L16" s="324"/>
    </row>
    <row r="17" spans="1:12" ht="13.5" thickBot="1" x14ac:dyDescent="0.25">
      <c r="A17" s="1396" t="s">
        <v>48</v>
      </c>
      <c r="B17" s="1397"/>
      <c r="C17" s="1584">
        <f t="shared" ref="C17:H17" si="2">SUM(C12:C16)</f>
        <v>10831063</v>
      </c>
      <c r="D17" s="1584">
        <f t="shared" si="2"/>
        <v>1611243</v>
      </c>
      <c r="E17" s="1584">
        <f t="shared" si="2"/>
        <v>1208728</v>
      </c>
      <c r="F17" s="1584">
        <f t="shared" si="2"/>
        <v>1109062</v>
      </c>
      <c r="G17" s="1584">
        <f t="shared" si="2"/>
        <v>289528</v>
      </c>
      <c r="H17" s="1584">
        <f t="shared" si="2"/>
        <v>0</v>
      </c>
      <c r="I17" s="1565"/>
      <c r="J17" s="1584">
        <f>SUM(J12:J16)</f>
        <v>350056</v>
      </c>
      <c r="K17" s="1584">
        <f>SUM(K12:K16)</f>
        <v>0</v>
      </c>
      <c r="L17" s="324"/>
    </row>
    <row r="18" spans="1:12" ht="15" customHeight="1" thickTop="1" x14ac:dyDescent="0.2">
      <c r="A18" s="1420" t="s">
        <v>1635</v>
      </c>
      <c r="B18" s="1421">
        <v>4180</v>
      </c>
      <c r="C18" s="1596">
        <f t="shared" ref="C18:H18" si="3">C9</f>
        <v>4235431</v>
      </c>
      <c r="D18" s="1596">
        <f t="shared" si="3"/>
        <v>0</v>
      </c>
      <c r="E18" s="1596">
        <f t="shared" si="3"/>
        <v>0</v>
      </c>
      <c r="F18" s="1596">
        <f t="shared" si="3"/>
        <v>0</v>
      </c>
      <c r="G18" s="1596">
        <f t="shared" si="3"/>
        <v>0</v>
      </c>
      <c r="H18" s="1596">
        <f t="shared" si="3"/>
        <v>0</v>
      </c>
      <c r="I18" s="1565"/>
      <c r="J18" s="1596">
        <f>J9</f>
        <v>0</v>
      </c>
      <c r="K18" s="1596">
        <f>K9</f>
        <v>0</v>
      </c>
      <c r="L18" s="324"/>
    </row>
    <row r="19" spans="1:12" ht="13.5" thickBot="1" x14ac:dyDescent="0.25">
      <c r="A19" s="1396" t="s">
        <v>502</v>
      </c>
      <c r="B19" s="1397"/>
      <c r="C19" s="1584">
        <f t="shared" ref="C19:H19" si="4">SUM(C17:C18)</f>
        <v>15066494</v>
      </c>
      <c r="D19" s="1584">
        <f t="shared" si="4"/>
        <v>1611243</v>
      </c>
      <c r="E19" s="1584">
        <f t="shared" si="4"/>
        <v>1208728</v>
      </c>
      <c r="F19" s="1584">
        <f t="shared" si="4"/>
        <v>1109062</v>
      </c>
      <c r="G19" s="1584">
        <f t="shared" si="4"/>
        <v>289528</v>
      </c>
      <c r="H19" s="1584">
        <f t="shared" si="4"/>
        <v>0</v>
      </c>
      <c r="I19" s="1565"/>
      <c r="J19" s="1584">
        <f>SUM(J17:J18)</f>
        <v>350056</v>
      </c>
      <c r="K19" s="1584">
        <f>SUM(K17:K18)</f>
        <v>0</v>
      </c>
      <c r="L19" s="324"/>
    </row>
    <row r="20" spans="1:12" ht="16.5" thickTop="1" thickBot="1" x14ac:dyDescent="0.25">
      <c r="A20" s="2280" t="s">
        <v>1636</v>
      </c>
      <c r="B20" s="2281"/>
      <c r="C20" s="1612">
        <f>C8-C17</f>
        <v>1700809</v>
      </c>
      <c r="D20" s="1612">
        <f t="shared" ref="D20:K20" si="5">D8-D17</f>
        <v>-199553</v>
      </c>
      <c r="E20" s="1612">
        <f t="shared" si="5"/>
        <v>-126644</v>
      </c>
      <c r="F20" s="1612">
        <f t="shared" si="5"/>
        <v>645077</v>
      </c>
      <c r="G20" s="1612">
        <f t="shared" si="5"/>
        <v>-155473</v>
      </c>
      <c r="H20" s="1612">
        <f t="shared" si="5"/>
        <v>15</v>
      </c>
      <c r="I20" s="1612">
        <f t="shared" si="5"/>
        <v>34790</v>
      </c>
      <c r="J20" s="1612">
        <f t="shared" si="5"/>
        <v>-294161</v>
      </c>
      <c r="K20" s="1612">
        <f t="shared" si="5"/>
        <v>-2310</v>
      </c>
      <c r="L20" s="324"/>
    </row>
    <row r="21" spans="1:12" ht="16.7" customHeight="1" thickTop="1" x14ac:dyDescent="0.2">
      <c r="A21" s="2292" t="s">
        <v>591</v>
      </c>
      <c r="B21" s="2293"/>
      <c r="C21" s="1592"/>
      <c r="D21" s="1593"/>
      <c r="E21" s="1593"/>
      <c r="F21" s="1593"/>
      <c r="G21" s="1593"/>
      <c r="H21" s="1593"/>
      <c r="I21" s="1593"/>
      <c r="J21" s="1593"/>
      <c r="K21" s="1605"/>
      <c r="L21" s="452"/>
    </row>
    <row r="22" spans="1:12" ht="15.75" customHeight="1" collapsed="1" x14ac:dyDescent="0.2">
      <c r="A22" s="2288" t="s">
        <v>592</v>
      </c>
      <c r="B22" s="2289"/>
      <c r="C22" s="1572"/>
      <c r="D22" s="1572"/>
      <c r="E22" s="1572"/>
      <c r="F22" s="1572"/>
      <c r="G22" s="1572"/>
      <c r="H22" s="1572"/>
      <c r="I22" s="1572"/>
      <c r="J22" s="1572"/>
      <c r="K22" s="1572"/>
      <c r="L22" s="324"/>
    </row>
    <row r="23" spans="1:12" s="432" customFormat="1" ht="15.75" customHeight="1" x14ac:dyDescent="0.2">
      <c r="A23" s="2284" t="s">
        <v>290</v>
      </c>
      <c r="B23" s="2285"/>
      <c r="C23" s="1575"/>
      <c r="D23" s="1572"/>
      <c r="E23" s="1572"/>
      <c r="F23" s="1572"/>
      <c r="G23" s="1572"/>
      <c r="H23" s="1572"/>
      <c r="I23" s="1572"/>
      <c r="J23" s="1572"/>
      <c r="K23" s="1572"/>
      <c r="L23" s="452"/>
    </row>
    <row r="24" spans="1:12" s="432" customFormat="1" ht="13.5" customHeight="1" x14ac:dyDescent="0.2">
      <c r="A24" s="1250" t="s">
        <v>1637</v>
      </c>
      <c r="B24" s="453">
        <v>7110</v>
      </c>
      <c r="C24" s="1564"/>
      <c r="D24" s="1572"/>
      <c r="E24" s="1572"/>
      <c r="F24" s="1572"/>
      <c r="G24" s="1572"/>
      <c r="H24" s="1572"/>
      <c r="I24" s="1572"/>
      <c r="J24" s="1572"/>
      <c r="K24" s="1572"/>
      <c r="L24" s="452"/>
    </row>
    <row r="25" spans="1:12" s="432" customFormat="1" ht="13.5" customHeight="1" x14ac:dyDescent="0.2">
      <c r="A25" s="1250" t="s">
        <v>1638</v>
      </c>
      <c r="B25" s="453">
        <v>7110</v>
      </c>
      <c r="C25" s="1564"/>
      <c r="D25" s="1564"/>
      <c r="E25" s="1564"/>
      <c r="F25" s="1564"/>
      <c r="G25" s="1564"/>
      <c r="H25" s="1564"/>
      <c r="I25" s="1572"/>
      <c r="J25" s="1564"/>
      <c r="K25" s="1564">
        <v>35000</v>
      </c>
      <c r="L25" s="452"/>
    </row>
    <row r="26" spans="1:12" s="432" customFormat="1" ht="13.5" customHeight="1" x14ac:dyDescent="0.2">
      <c r="A26" s="1250" t="s">
        <v>183</v>
      </c>
      <c r="B26" s="431">
        <v>7120</v>
      </c>
      <c r="C26" s="1564"/>
      <c r="D26" s="1564"/>
      <c r="E26" s="1564"/>
      <c r="F26" s="1564"/>
      <c r="G26" s="1564"/>
      <c r="H26" s="1564"/>
      <c r="I26" s="1572"/>
      <c r="J26" s="1564"/>
      <c r="K26" s="1564"/>
      <c r="L26" s="452"/>
    </row>
    <row r="27" spans="1:12" s="432" customFormat="1" ht="13.5" customHeight="1" x14ac:dyDescent="0.2">
      <c r="A27" s="1250" t="s">
        <v>184</v>
      </c>
      <c r="B27" s="431">
        <v>7130</v>
      </c>
      <c r="C27" s="1564">
        <v>0</v>
      </c>
      <c r="D27" s="1564"/>
      <c r="E27" s="1613"/>
      <c r="F27" s="1564"/>
      <c r="G27" s="1575"/>
      <c r="H27" s="1575"/>
      <c r="I27" s="1575"/>
      <c r="J27" s="1575"/>
      <c r="K27" s="1575"/>
      <c r="L27" s="452"/>
    </row>
    <row r="28" spans="1:12" s="432" customFormat="1" ht="13.5" customHeight="1" x14ac:dyDescent="0.2">
      <c r="A28" s="1250" t="s">
        <v>1381</v>
      </c>
      <c r="B28" s="431">
        <v>7140</v>
      </c>
      <c r="C28" s="1564"/>
      <c r="D28" s="1564"/>
      <c r="E28" s="1564"/>
      <c r="F28" s="1564"/>
      <c r="G28" s="1564"/>
      <c r="H28" s="1564"/>
      <c r="I28" s="1564"/>
      <c r="J28" s="1564"/>
      <c r="K28" s="1564"/>
      <c r="L28" s="452"/>
    </row>
    <row r="29" spans="1:12" s="432" customFormat="1" ht="13.5" customHeight="1" x14ac:dyDescent="0.2">
      <c r="A29" s="1250" t="s">
        <v>291</v>
      </c>
      <c r="B29" s="431">
        <v>7150</v>
      </c>
      <c r="C29" s="1570"/>
      <c r="D29" s="1564">
        <v>0</v>
      </c>
      <c r="E29" s="1570"/>
      <c r="F29" s="1570"/>
      <c r="G29" s="1570"/>
      <c r="H29" s="1570"/>
      <c r="I29" s="1570"/>
      <c r="J29" s="1570"/>
      <c r="K29" s="1570"/>
      <c r="L29" s="452"/>
    </row>
    <row r="30" spans="1:12" s="432" customFormat="1" ht="26.25" x14ac:dyDescent="0.2">
      <c r="A30" s="1250" t="s">
        <v>1768</v>
      </c>
      <c r="B30" s="454">
        <v>7160</v>
      </c>
      <c r="C30" s="1572"/>
      <c r="D30" s="1564"/>
      <c r="E30" s="1572"/>
      <c r="F30" s="1572"/>
      <c r="G30" s="1572"/>
      <c r="H30" s="1572"/>
      <c r="I30" s="1572"/>
      <c r="J30" s="1572"/>
      <c r="K30" s="1572"/>
      <c r="L30" s="452"/>
    </row>
    <row r="31" spans="1:12" s="432" customFormat="1" ht="26.25" x14ac:dyDescent="0.2">
      <c r="A31" s="1250" t="s">
        <v>1772</v>
      </c>
      <c r="B31" s="454">
        <v>7170</v>
      </c>
      <c r="C31" s="1572"/>
      <c r="D31" s="1572"/>
      <c r="E31" s="1569"/>
      <c r="F31" s="1572"/>
      <c r="G31" s="1572"/>
      <c r="H31" s="1572"/>
      <c r="I31" s="1572"/>
      <c r="J31" s="1572"/>
      <c r="K31" s="1572"/>
      <c r="L31" s="452"/>
    </row>
    <row r="32" spans="1:12" s="432" customFormat="1" ht="15.75" customHeight="1" x14ac:dyDescent="0.2">
      <c r="A32" s="2286" t="s">
        <v>974</v>
      </c>
      <c r="B32" s="2287"/>
      <c r="C32" s="1572"/>
      <c r="D32" s="1572"/>
      <c r="E32" s="1570"/>
      <c r="F32" s="1572"/>
      <c r="G32" s="1572"/>
      <c r="H32" s="1572"/>
      <c r="I32" s="1572"/>
      <c r="J32" s="1572"/>
      <c r="K32" s="1572"/>
      <c r="L32" s="452"/>
    </row>
    <row r="33" spans="1:12" s="432" customFormat="1" x14ac:dyDescent="0.2">
      <c r="A33" s="1250" t="s">
        <v>409</v>
      </c>
      <c r="B33" s="453">
        <v>7210</v>
      </c>
      <c r="C33" s="1564"/>
      <c r="D33" s="1564"/>
      <c r="E33" s="1564"/>
      <c r="F33" s="1564"/>
      <c r="G33" s="1572"/>
      <c r="H33" s="1564"/>
      <c r="I33" s="1564"/>
      <c r="J33" s="1564"/>
      <c r="K33" s="1564"/>
      <c r="L33" s="452"/>
    </row>
    <row r="34" spans="1:12" s="432" customFormat="1" x14ac:dyDescent="0.2">
      <c r="A34" s="1250" t="s">
        <v>994</v>
      </c>
      <c r="B34" s="453">
        <v>7220</v>
      </c>
      <c r="C34" s="1564"/>
      <c r="D34" s="1564"/>
      <c r="E34" s="1564"/>
      <c r="F34" s="1564"/>
      <c r="G34" s="1572"/>
      <c r="H34" s="1573"/>
      <c r="I34" s="1573"/>
      <c r="J34" s="1573"/>
      <c r="K34" s="1573"/>
      <c r="L34" s="452"/>
    </row>
    <row r="35" spans="1:12" s="432" customFormat="1" x14ac:dyDescent="0.2">
      <c r="A35" s="1250" t="s">
        <v>983</v>
      </c>
      <c r="B35" s="453">
        <v>7230</v>
      </c>
      <c r="C35" s="1564"/>
      <c r="D35" s="1564"/>
      <c r="E35" s="1564"/>
      <c r="F35" s="1564"/>
      <c r="G35" s="1575"/>
      <c r="H35" s="1564"/>
      <c r="I35" s="1564"/>
      <c r="J35" s="1564"/>
      <c r="K35" s="1564"/>
      <c r="L35" s="452"/>
    </row>
    <row r="36" spans="1:12" s="432" customFormat="1" ht="15" x14ac:dyDescent="0.2">
      <c r="A36" s="1250" t="s">
        <v>1639</v>
      </c>
      <c r="B36" s="453">
        <v>7300</v>
      </c>
      <c r="C36" s="1564"/>
      <c r="D36" s="1564"/>
      <c r="E36" s="1564"/>
      <c r="F36" s="1564"/>
      <c r="G36" s="1564"/>
      <c r="H36" s="1564"/>
      <c r="I36" s="1570"/>
      <c r="J36" s="1564"/>
      <c r="K36" s="1564"/>
      <c r="L36" s="452"/>
    </row>
    <row r="37" spans="1:12" s="432" customFormat="1" x14ac:dyDescent="0.2">
      <c r="A37" s="1250" t="s">
        <v>438</v>
      </c>
      <c r="B37" s="453">
        <v>7400</v>
      </c>
      <c r="C37" s="1570"/>
      <c r="D37" s="1570"/>
      <c r="E37" s="1597">
        <f>SUM(C54:D57,H54:H57)</f>
        <v>0</v>
      </c>
      <c r="F37" s="1570"/>
      <c r="G37" s="1570"/>
      <c r="H37" s="1570"/>
      <c r="I37" s="1572"/>
      <c r="J37" s="1570"/>
      <c r="K37" s="1570"/>
      <c r="L37" s="452"/>
    </row>
    <row r="38" spans="1:12" s="432" customFormat="1" x14ac:dyDescent="0.2">
      <c r="A38" s="1250" t="s">
        <v>439</v>
      </c>
      <c r="B38" s="453">
        <v>7500</v>
      </c>
      <c r="C38" s="1572"/>
      <c r="D38" s="1572"/>
      <c r="E38" s="1597">
        <f>SUM(C58:D61,H58:H61)</f>
        <v>0</v>
      </c>
      <c r="F38" s="1572"/>
      <c r="G38" s="1572"/>
      <c r="H38" s="1572"/>
      <c r="I38" s="1572"/>
      <c r="J38" s="1572"/>
      <c r="K38" s="1572"/>
      <c r="L38" s="452"/>
    </row>
    <row r="39" spans="1:12" s="432" customFormat="1" x14ac:dyDescent="0.2">
      <c r="A39" s="1250" t="s">
        <v>440</v>
      </c>
      <c r="B39" s="453">
        <v>7600</v>
      </c>
      <c r="C39" s="1572"/>
      <c r="D39" s="1572"/>
      <c r="E39" s="1597">
        <f>SUM(C62:D65)</f>
        <v>0</v>
      </c>
      <c r="F39" s="1572"/>
      <c r="G39" s="1572"/>
      <c r="H39" s="1572"/>
      <c r="I39" s="1572"/>
      <c r="J39" s="1572"/>
      <c r="K39" s="1572"/>
      <c r="L39" s="452"/>
    </row>
    <row r="40" spans="1:12" s="432" customFormat="1" ht="13.5" customHeight="1" x14ac:dyDescent="0.2">
      <c r="A40" s="1250" t="s">
        <v>637</v>
      </c>
      <c r="B40" s="431">
        <v>7700</v>
      </c>
      <c r="C40" s="1572"/>
      <c r="D40" s="1572"/>
      <c r="E40" s="1597">
        <f>SUM(C66:D69)</f>
        <v>0</v>
      </c>
      <c r="F40" s="1572"/>
      <c r="G40" s="1572"/>
      <c r="H40" s="1575"/>
      <c r="I40" s="1572"/>
      <c r="J40" s="1572"/>
      <c r="K40" s="1572"/>
      <c r="L40" s="452"/>
    </row>
    <row r="41" spans="1:12" s="432" customFormat="1" ht="13.5" customHeight="1" x14ac:dyDescent="0.2">
      <c r="A41" s="1250" t="s">
        <v>635</v>
      </c>
      <c r="B41" s="431">
        <v>7800</v>
      </c>
      <c r="C41" s="1575"/>
      <c r="D41" s="1575"/>
      <c r="E41" s="1613"/>
      <c r="F41" s="1575"/>
      <c r="G41" s="1575"/>
      <c r="H41" s="1597">
        <f>SUM(C70:D73)</f>
        <v>0</v>
      </c>
      <c r="I41" s="1572"/>
      <c r="J41" s="1572"/>
      <c r="K41" s="1575"/>
      <c r="L41" s="452"/>
    </row>
    <row r="42" spans="1:12" s="432" customFormat="1" ht="13.5" customHeight="1" x14ac:dyDescent="0.2">
      <c r="A42" s="1250" t="s">
        <v>636</v>
      </c>
      <c r="B42" s="431">
        <v>7900</v>
      </c>
      <c r="C42" s="1564"/>
      <c r="D42" s="1564"/>
      <c r="E42" s="1564"/>
      <c r="F42" s="1564"/>
      <c r="G42" s="1564"/>
      <c r="H42" s="1564"/>
      <c r="I42" s="1575"/>
      <c r="J42" s="1575"/>
      <c r="K42" s="1564"/>
      <c r="L42" s="452"/>
    </row>
    <row r="43" spans="1:12" s="432" customFormat="1" ht="13.5" customHeight="1" x14ac:dyDescent="0.2">
      <c r="A43" s="1250" t="s">
        <v>370</v>
      </c>
      <c r="B43" s="431">
        <v>7990</v>
      </c>
      <c r="C43" s="1564"/>
      <c r="D43" s="1564"/>
      <c r="E43" s="1564"/>
      <c r="F43" s="1564"/>
      <c r="G43" s="1564"/>
      <c r="H43" s="1564"/>
      <c r="I43" s="1564"/>
      <c r="J43" s="1564"/>
      <c r="K43" s="1564"/>
      <c r="L43" s="452"/>
    </row>
    <row r="44" spans="1:12" s="432" customFormat="1" ht="13.5" customHeight="1" thickBot="1" x14ac:dyDescent="0.25">
      <c r="A44" s="2294" t="s">
        <v>371</v>
      </c>
      <c r="B44" s="2295"/>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35000</v>
      </c>
      <c r="L44" s="452"/>
    </row>
    <row r="45" spans="1:12" ht="15.75" customHeight="1" thickTop="1" x14ac:dyDescent="0.2">
      <c r="A45" s="2288" t="s">
        <v>108</v>
      </c>
      <c r="B45" s="2289"/>
      <c r="C45" s="1615"/>
      <c r="D45" s="1615"/>
      <c r="E45" s="1615"/>
      <c r="F45" s="1615"/>
      <c r="G45" s="1615"/>
      <c r="H45" s="1615"/>
      <c r="I45" s="1615"/>
      <c r="J45" s="1615"/>
      <c r="K45" s="1615"/>
      <c r="L45" s="324"/>
    </row>
    <row r="46" spans="1:12" s="432" customFormat="1" ht="15.75" customHeight="1" x14ac:dyDescent="0.2">
      <c r="A46" s="2296" t="s">
        <v>109</v>
      </c>
      <c r="B46" s="2297"/>
      <c r="C46" s="1572"/>
      <c r="D46" s="1572"/>
      <c r="E46" s="1572"/>
      <c r="F46" s="1572"/>
      <c r="G46" s="1572"/>
      <c r="H46" s="1572"/>
      <c r="I46" s="1575"/>
      <c r="J46" s="1572"/>
      <c r="K46" s="1572"/>
      <c r="L46" s="455"/>
    </row>
    <row r="47" spans="1:12" s="432" customFormat="1" ht="15" x14ac:dyDescent="0.2">
      <c r="A47" s="1251" t="s">
        <v>1640</v>
      </c>
      <c r="B47" s="431">
        <v>8110</v>
      </c>
      <c r="C47" s="1572"/>
      <c r="D47" s="1572"/>
      <c r="E47" s="1572"/>
      <c r="F47" s="1572"/>
      <c r="G47" s="1572"/>
      <c r="H47" s="1572"/>
      <c r="I47" s="1597">
        <f>SUM(C24,C25:H25,J25:K25)</f>
        <v>35000</v>
      </c>
      <c r="J47" s="1572"/>
      <c r="K47" s="1572"/>
      <c r="L47" s="455"/>
    </row>
    <row r="48" spans="1:12" s="432" customFormat="1" ht="15" x14ac:dyDescent="0.2">
      <c r="A48" s="1251" t="s">
        <v>1641</v>
      </c>
      <c r="B48" s="431">
        <v>8120</v>
      </c>
      <c r="C48" s="1575"/>
      <c r="D48" s="1575"/>
      <c r="E48" s="1572"/>
      <c r="F48" s="1575"/>
      <c r="G48" s="1572"/>
      <c r="H48" s="1572"/>
      <c r="I48" s="1597">
        <f>SUM(C26:H26,J26,K26)</f>
        <v>0</v>
      </c>
      <c r="J48" s="1572"/>
      <c r="K48" s="1572"/>
      <c r="L48" s="455"/>
    </row>
    <row r="49" spans="1:12" s="432" customFormat="1" x14ac:dyDescent="0.2">
      <c r="A49" s="1251" t="s">
        <v>184</v>
      </c>
      <c r="B49" s="431">
        <v>8130</v>
      </c>
      <c r="C49" s="1564"/>
      <c r="D49" s="1564"/>
      <c r="E49" s="1575"/>
      <c r="F49" s="1564">
        <v>0</v>
      </c>
      <c r="G49" s="1575"/>
      <c r="H49" s="1575"/>
      <c r="I49" s="1572"/>
      <c r="J49" s="1575"/>
      <c r="K49" s="1572"/>
      <c r="L49" s="452"/>
    </row>
    <row r="50" spans="1:12" s="432" customFormat="1" x14ac:dyDescent="0.2">
      <c r="A50" s="1251" t="s">
        <v>1381</v>
      </c>
      <c r="B50" s="431">
        <v>8140</v>
      </c>
      <c r="C50" s="1564"/>
      <c r="D50" s="1564"/>
      <c r="E50" s="1564"/>
      <c r="F50" s="1564"/>
      <c r="G50" s="1564"/>
      <c r="H50" s="1564"/>
      <c r="I50" s="1572"/>
      <c r="J50" s="1564"/>
      <c r="K50" s="1572"/>
      <c r="L50" s="452"/>
    </row>
    <row r="51" spans="1:12" s="432" customFormat="1" x14ac:dyDescent="0.2">
      <c r="A51" s="1251" t="s">
        <v>291</v>
      </c>
      <c r="B51" s="431">
        <v>8150</v>
      </c>
      <c r="C51" s="1570"/>
      <c r="D51" s="1570"/>
      <c r="E51" s="1570"/>
      <c r="F51" s="1570"/>
      <c r="G51" s="1570"/>
      <c r="H51" s="1597">
        <f>SUM(D29)</f>
        <v>0</v>
      </c>
      <c r="I51" s="1572"/>
      <c r="J51" s="1570"/>
      <c r="K51" s="1575"/>
      <c r="L51" s="452"/>
    </row>
    <row r="52" spans="1:12" s="432" customFormat="1" ht="26.25" x14ac:dyDescent="0.2">
      <c r="A52" s="1251" t="s">
        <v>1771</v>
      </c>
      <c r="B52" s="431">
        <v>8160</v>
      </c>
      <c r="C52" s="1572"/>
      <c r="D52" s="1572"/>
      <c r="E52" s="1572"/>
      <c r="F52" s="1572"/>
      <c r="G52" s="1572"/>
      <c r="H52" s="1572"/>
      <c r="I52" s="1572"/>
      <c r="J52" s="1572"/>
      <c r="K52" s="1597">
        <f>D30</f>
        <v>0</v>
      </c>
      <c r="L52" s="452"/>
    </row>
    <row r="53" spans="1:12" s="432" customFormat="1" ht="26.25" x14ac:dyDescent="0.2">
      <c r="A53" s="1251" t="s">
        <v>1770</v>
      </c>
      <c r="B53" s="431">
        <v>8170</v>
      </c>
      <c r="C53" s="1575"/>
      <c r="D53" s="1575"/>
      <c r="E53" s="1572"/>
      <c r="F53" s="1572"/>
      <c r="G53" s="1572"/>
      <c r="H53" s="1575"/>
      <c r="I53" s="1572"/>
      <c r="J53" s="1572"/>
      <c r="K53" s="1597">
        <f>E31</f>
        <v>0</v>
      </c>
      <c r="L53" s="452"/>
    </row>
    <row r="54" spans="1:12" s="432" customFormat="1" ht="13.5" thickBot="1" x14ac:dyDescent="0.25">
      <c r="A54" s="1251" t="s">
        <v>687</v>
      </c>
      <c r="B54" s="431">
        <v>8410</v>
      </c>
      <c r="C54" s="1616"/>
      <c r="D54" s="1616"/>
      <c r="E54" s="1572"/>
      <c r="F54" s="1572"/>
      <c r="G54" s="1572"/>
      <c r="H54" s="1616"/>
      <c r="I54" s="1572"/>
      <c r="J54" s="1572"/>
      <c r="K54" s="1570"/>
      <c r="L54" s="452"/>
    </row>
    <row r="55" spans="1:12" s="432" customFormat="1" ht="14.25" thickTop="1" thickBot="1" x14ac:dyDescent="0.25">
      <c r="A55" s="1252" t="s">
        <v>688</v>
      </c>
      <c r="B55" s="431">
        <v>8420</v>
      </c>
      <c r="C55" s="1617"/>
      <c r="D55" s="1617"/>
      <c r="E55" s="1572"/>
      <c r="F55" s="1572"/>
      <c r="G55" s="1572"/>
      <c r="H55" s="1616"/>
      <c r="I55" s="1572"/>
      <c r="J55" s="1572"/>
      <c r="K55" s="1572"/>
      <c r="L55" s="452"/>
    </row>
    <row r="56" spans="1:12" s="432" customFormat="1" ht="14.25" thickTop="1" thickBot="1" x14ac:dyDescent="0.25">
      <c r="A56" s="1251" t="s">
        <v>577</v>
      </c>
      <c r="B56" s="431">
        <v>8430</v>
      </c>
      <c r="C56" s="1617"/>
      <c r="D56" s="1617"/>
      <c r="E56" s="1572"/>
      <c r="F56" s="1572"/>
      <c r="G56" s="1572"/>
      <c r="H56" s="1616"/>
      <c r="I56" s="1572"/>
      <c r="J56" s="1572"/>
      <c r="K56" s="1572"/>
      <c r="L56" s="452"/>
    </row>
    <row r="57" spans="1:12" s="432" customFormat="1" ht="14.25" thickTop="1" thickBot="1" x14ac:dyDescent="0.25">
      <c r="A57" s="1252" t="s">
        <v>574</v>
      </c>
      <c r="B57" s="431">
        <v>8440</v>
      </c>
      <c r="C57" s="1617"/>
      <c r="D57" s="1617"/>
      <c r="E57" s="1572"/>
      <c r="F57" s="1572"/>
      <c r="G57" s="1572"/>
      <c r="H57" s="1616"/>
      <c r="I57" s="1572"/>
      <c r="J57" s="1572"/>
      <c r="K57" s="1572"/>
      <c r="L57" s="452"/>
    </row>
    <row r="58" spans="1:12" s="432" customFormat="1" ht="14.25" thickTop="1" thickBot="1" x14ac:dyDescent="0.25">
      <c r="A58" s="1251" t="s">
        <v>575</v>
      </c>
      <c r="B58" s="431">
        <v>8510</v>
      </c>
      <c r="C58" s="1617"/>
      <c r="D58" s="1617"/>
      <c r="E58" s="1572"/>
      <c r="F58" s="1572"/>
      <c r="G58" s="1572"/>
      <c r="H58" s="1616"/>
      <c r="I58" s="1572"/>
      <c r="J58" s="1572"/>
      <c r="K58" s="1572"/>
      <c r="L58" s="452"/>
    </row>
    <row r="59" spans="1:12" s="432" customFormat="1" ht="14.25" thickTop="1" thickBot="1" x14ac:dyDescent="0.25">
      <c r="A59" s="1253" t="s">
        <v>689</v>
      </c>
      <c r="B59" s="431">
        <v>8520</v>
      </c>
      <c r="C59" s="1617"/>
      <c r="D59" s="1617"/>
      <c r="E59" s="1572"/>
      <c r="F59" s="1572"/>
      <c r="G59" s="1572"/>
      <c r="H59" s="1616"/>
      <c r="I59" s="1572"/>
      <c r="J59" s="1572"/>
      <c r="K59" s="1572"/>
      <c r="L59" s="452"/>
    </row>
    <row r="60" spans="1:12" s="432" customFormat="1" ht="14.25" thickTop="1" thickBot="1" x14ac:dyDescent="0.25">
      <c r="A60" s="1251" t="s">
        <v>576</v>
      </c>
      <c r="B60" s="431">
        <v>8530</v>
      </c>
      <c r="C60" s="1617"/>
      <c r="D60" s="1617"/>
      <c r="E60" s="1572"/>
      <c r="F60" s="1572"/>
      <c r="G60" s="1572"/>
      <c r="H60" s="1616"/>
      <c r="I60" s="1572"/>
      <c r="J60" s="1572"/>
      <c r="K60" s="1572"/>
      <c r="L60" s="452"/>
    </row>
    <row r="61" spans="1:12" s="432" customFormat="1" ht="14.25" thickTop="1" thickBot="1" x14ac:dyDescent="0.25">
      <c r="A61" s="1252" t="s">
        <v>738</v>
      </c>
      <c r="B61" s="431">
        <v>8540</v>
      </c>
      <c r="C61" s="1617"/>
      <c r="D61" s="1617"/>
      <c r="E61" s="1572"/>
      <c r="F61" s="1572"/>
      <c r="G61" s="1572"/>
      <c r="H61" s="1616"/>
      <c r="I61" s="1572"/>
      <c r="J61" s="1572"/>
      <c r="K61" s="1572"/>
      <c r="L61" s="452"/>
    </row>
    <row r="62" spans="1:12" s="432" customFormat="1" ht="13.5" customHeight="1" thickTop="1" thickBot="1" x14ac:dyDescent="0.25">
      <c r="A62" s="1251" t="s">
        <v>739</v>
      </c>
      <c r="B62" s="431">
        <v>8610</v>
      </c>
      <c r="C62" s="1617"/>
      <c r="D62" s="1617"/>
      <c r="E62" s="1572"/>
      <c r="F62" s="1572"/>
      <c r="G62" s="1572"/>
      <c r="H62" s="1572"/>
      <c r="I62" s="1572"/>
      <c r="J62" s="1572"/>
      <c r="K62" s="1572"/>
      <c r="L62" s="452"/>
    </row>
    <row r="63" spans="1:12" s="432" customFormat="1" ht="14.25" thickTop="1" thickBot="1" x14ac:dyDescent="0.25">
      <c r="A63" s="1252" t="s">
        <v>690</v>
      </c>
      <c r="B63" s="431">
        <v>8620</v>
      </c>
      <c r="C63" s="1617"/>
      <c r="D63" s="1617"/>
      <c r="E63" s="1572"/>
      <c r="F63" s="1572"/>
      <c r="G63" s="1572"/>
      <c r="H63" s="1572"/>
      <c r="I63" s="1572"/>
      <c r="J63" s="1572"/>
      <c r="K63" s="1572"/>
      <c r="L63" s="452"/>
    </row>
    <row r="64" spans="1:12" s="432" customFormat="1" ht="13.5" customHeight="1" thickTop="1" thickBot="1" x14ac:dyDescent="0.25">
      <c r="A64" s="1251" t="s">
        <v>740</v>
      </c>
      <c r="B64" s="431">
        <v>8630</v>
      </c>
      <c r="C64" s="1617"/>
      <c r="D64" s="1617"/>
      <c r="E64" s="1572"/>
      <c r="F64" s="1572"/>
      <c r="G64" s="1572"/>
      <c r="H64" s="1572"/>
      <c r="I64" s="1572"/>
      <c r="J64" s="1572"/>
      <c r="K64" s="1572"/>
      <c r="L64" s="452"/>
    </row>
    <row r="65" spans="1:12" s="432" customFormat="1" ht="14.25" thickTop="1" thickBot="1" x14ac:dyDescent="0.25">
      <c r="A65" s="1252" t="s">
        <v>741</v>
      </c>
      <c r="B65" s="431">
        <v>8640</v>
      </c>
      <c r="C65" s="1617"/>
      <c r="D65" s="1617"/>
      <c r="E65" s="1572"/>
      <c r="F65" s="1572"/>
      <c r="G65" s="1572"/>
      <c r="H65" s="1572"/>
      <c r="I65" s="1572"/>
      <c r="J65" s="1572"/>
      <c r="K65" s="1572"/>
      <c r="L65" s="452"/>
    </row>
    <row r="66" spans="1:12" s="432" customFormat="1" ht="14.25" thickTop="1" thickBot="1" x14ac:dyDescent="0.25">
      <c r="A66" s="1251" t="s">
        <v>742</v>
      </c>
      <c r="B66" s="431">
        <v>8710</v>
      </c>
      <c r="C66" s="1617"/>
      <c r="D66" s="1617"/>
      <c r="E66" s="1572"/>
      <c r="F66" s="1572"/>
      <c r="G66" s="1572"/>
      <c r="H66" s="1572"/>
      <c r="I66" s="1572"/>
      <c r="J66" s="1572"/>
      <c r="K66" s="1572"/>
      <c r="L66" s="452"/>
    </row>
    <row r="67" spans="1:12" s="432" customFormat="1" ht="14.25" thickTop="1" thickBot="1" x14ac:dyDescent="0.25">
      <c r="A67" s="1252" t="s">
        <v>691</v>
      </c>
      <c r="B67" s="431">
        <v>8720</v>
      </c>
      <c r="C67" s="1617"/>
      <c r="D67" s="1617"/>
      <c r="E67" s="1572"/>
      <c r="F67" s="1572"/>
      <c r="G67" s="1572"/>
      <c r="H67" s="1572"/>
      <c r="I67" s="1572"/>
      <c r="J67" s="1572"/>
      <c r="K67" s="1572"/>
      <c r="L67" s="452"/>
    </row>
    <row r="68" spans="1:12" s="432" customFormat="1" ht="14.25" thickTop="1" thickBot="1" x14ac:dyDescent="0.25">
      <c r="A68" s="1253" t="s">
        <v>743</v>
      </c>
      <c r="B68" s="431">
        <v>8730</v>
      </c>
      <c r="C68" s="1617"/>
      <c r="D68" s="1617"/>
      <c r="E68" s="1572"/>
      <c r="F68" s="1572"/>
      <c r="G68" s="1572"/>
      <c r="H68" s="1572"/>
      <c r="I68" s="1572"/>
      <c r="J68" s="1572"/>
      <c r="K68" s="1572"/>
      <c r="L68" s="452"/>
    </row>
    <row r="69" spans="1:12" s="432" customFormat="1" ht="14.25" thickTop="1" thickBot="1" x14ac:dyDescent="0.25">
      <c r="A69" s="1252" t="s">
        <v>744</v>
      </c>
      <c r="B69" s="431">
        <v>8740</v>
      </c>
      <c r="C69" s="1617"/>
      <c r="D69" s="1617"/>
      <c r="E69" s="1572"/>
      <c r="F69" s="1572"/>
      <c r="G69" s="1572"/>
      <c r="H69" s="1572"/>
      <c r="I69" s="1572"/>
      <c r="J69" s="1572"/>
      <c r="K69" s="1572"/>
      <c r="L69" s="452"/>
    </row>
    <row r="70" spans="1:12" s="432" customFormat="1" ht="14.25" thickTop="1" thickBot="1" x14ac:dyDescent="0.25">
      <c r="A70" s="1251" t="s">
        <v>745</v>
      </c>
      <c r="B70" s="431">
        <v>8810</v>
      </c>
      <c r="C70" s="1617"/>
      <c r="D70" s="1617"/>
      <c r="E70" s="1572"/>
      <c r="F70" s="1572"/>
      <c r="G70" s="1572"/>
      <c r="H70" s="1572"/>
      <c r="I70" s="1572"/>
      <c r="J70" s="1572"/>
      <c r="K70" s="1572"/>
      <c r="L70" s="452"/>
    </row>
    <row r="71" spans="1:12" s="432" customFormat="1" ht="14.25" thickTop="1" thickBot="1" x14ac:dyDescent="0.25">
      <c r="A71" s="1251" t="s">
        <v>749</v>
      </c>
      <c r="B71" s="431">
        <v>8820</v>
      </c>
      <c r="C71" s="1617"/>
      <c r="D71" s="1617"/>
      <c r="E71" s="1572"/>
      <c r="F71" s="1572"/>
      <c r="G71" s="1572"/>
      <c r="H71" s="1572"/>
      <c r="I71" s="1572"/>
      <c r="J71" s="1572"/>
      <c r="K71" s="1572"/>
      <c r="L71" s="452"/>
    </row>
    <row r="72" spans="1:12" s="432" customFormat="1" ht="14.25" thickTop="1" thickBot="1" x14ac:dyDescent="0.25">
      <c r="A72" s="1251" t="s">
        <v>746</v>
      </c>
      <c r="B72" s="431">
        <v>8830</v>
      </c>
      <c r="C72" s="1617"/>
      <c r="D72" s="1617"/>
      <c r="E72" s="1572"/>
      <c r="F72" s="1572"/>
      <c r="G72" s="1572"/>
      <c r="H72" s="1572"/>
      <c r="I72" s="1572"/>
      <c r="J72" s="1572"/>
      <c r="K72" s="1572"/>
      <c r="L72" s="452"/>
    </row>
    <row r="73" spans="1:12" s="432" customFormat="1" ht="14.25" thickTop="1" thickBot="1" x14ac:dyDescent="0.25">
      <c r="A73" s="1251" t="s">
        <v>747</v>
      </c>
      <c r="B73" s="431">
        <v>8840</v>
      </c>
      <c r="C73" s="1617"/>
      <c r="D73" s="1617"/>
      <c r="E73" s="1572"/>
      <c r="F73" s="1572"/>
      <c r="G73" s="1572"/>
      <c r="H73" s="1572"/>
      <c r="I73" s="1572"/>
      <c r="J73" s="1572"/>
      <c r="K73" s="1575"/>
      <c r="L73" s="452"/>
    </row>
    <row r="74" spans="1:12" s="432" customFormat="1" ht="14.25" thickTop="1" thickBot="1" x14ac:dyDescent="0.25">
      <c r="A74" s="1251" t="s">
        <v>372</v>
      </c>
      <c r="B74" s="431">
        <v>8910</v>
      </c>
      <c r="C74" s="1617"/>
      <c r="D74" s="1617"/>
      <c r="E74" s="1575"/>
      <c r="F74" s="1616"/>
      <c r="G74" s="1616"/>
      <c r="H74" s="1616"/>
      <c r="I74" s="1575"/>
      <c r="J74" s="1575"/>
      <c r="K74" s="1616"/>
      <c r="L74" s="452"/>
    </row>
    <row r="75" spans="1:12" s="432" customFormat="1" ht="14.25" thickTop="1" thickBot="1" x14ac:dyDescent="0.25">
      <c r="A75" s="1254" t="s">
        <v>436</v>
      </c>
      <c r="B75" s="431">
        <v>8990</v>
      </c>
      <c r="C75" s="1617"/>
      <c r="D75" s="1617"/>
      <c r="E75" s="1616"/>
      <c r="F75" s="1618"/>
      <c r="G75" s="1618"/>
      <c r="H75" s="1618"/>
      <c r="I75" s="1616"/>
      <c r="J75" s="1616"/>
      <c r="K75" s="1618"/>
      <c r="L75" s="452"/>
    </row>
    <row r="76" spans="1:12" s="432" customFormat="1" ht="14.25" thickTop="1" thickBot="1" x14ac:dyDescent="0.25">
      <c r="A76" s="2270" t="s">
        <v>437</v>
      </c>
      <c r="B76" s="2271"/>
      <c r="C76" s="1614">
        <f t="shared" ref="C76:K76" si="7">SUM(C47:C75)</f>
        <v>0</v>
      </c>
      <c r="D76" s="1614">
        <f t="shared" si="7"/>
        <v>0</v>
      </c>
      <c r="E76" s="1614">
        <f t="shared" si="7"/>
        <v>0</v>
      </c>
      <c r="F76" s="1614">
        <f t="shared" si="7"/>
        <v>0</v>
      </c>
      <c r="G76" s="1614">
        <f t="shared" si="7"/>
        <v>0</v>
      </c>
      <c r="H76" s="1614">
        <f t="shared" si="7"/>
        <v>0</v>
      </c>
      <c r="I76" s="1614">
        <f t="shared" si="7"/>
        <v>35000</v>
      </c>
      <c r="J76" s="1614">
        <f t="shared" si="7"/>
        <v>0</v>
      </c>
      <c r="K76" s="1614">
        <f t="shared" si="7"/>
        <v>0</v>
      </c>
      <c r="L76" s="452"/>
    </row>
    <row r="77" spans="1:12" ht="14.25" thickTop="1" thickBot="1" x14ac:dyDescent="0.25">
      <c r="A77" s="2272" t="s">
        <v>1167</v>
      </c>
      <c r="B77" s="2273"/>
      <c r="C77" s="1614">
        <f t="shared" ref="C77:K77" si="8">C44-C76</f>
        <v>0</v>
      </c>
      <c r="D77" s="1614">
        <f t="shared" si="8"/>
        <v>0</v>
      </c>
      <c r="E77" s="1614">
        <f t="shared" si="8"/>
        <v>0</v>
      </c>
      <c r="F77" s="1614">
        <f t="shared" si="8"/>
        <v>0</v>
      </c>
      <c r="G77" s="1614">
        <f t="shared" si="8"/>
        <v>0</v>
      </c>
      <c r="H77" s="1614">
        <f t="shared" si="8"/>
        <v>0</v>
      </c>
      <c r="I77" s="1614">
        <f t="shared" si="8"/>
        <v>-35000</v>
      </c>
      <c r="J77" s="1614">
        <f t="shared" si="8"/>
        <v>0</v>
      </c>
      <c r="K77" s="1614">
        <f t="shared" si="8"/>
        <v>35000</v>
      </c>
      <c r="L77" s="324"/>
    </row>
    <row r="78" spans="1:12" ht="21.75" customHeight="1" thickTop="1" thickBot="1" x14ac:dyDescent="0.25">
      <c r="A78" s="2276" t="s">
        <v>593</v>
      </c>
      <c r="B78" s="2277"/>
      <c r="C78" s="1619">
        <f t="shared" ref="C78:K78" si="9">C20+C77</f>
        <v>1700809</v>
      </c>
      <c r="D78" s="1619">
        <f t="shared" si="9"/>
        <v>-199553</v>
      </c>
      <c r="E78" s="1619">
        <f t="shared" si="9"/>
        <v>-126644</v>
      </c>
      <c r="F78" s="1619">
        <f t="shared" si="9"/>
        <v>645077</v>
      </c>
      <c r="G78" s="1619">
        <f t="shared" si="9"/>
        <v>-155473</v>
      </c>
      <c r="H78" s="1619">
        <f t="shared" si="9"/>
        <v>15</v>
      </c>
      <c r="I78" s="1619">
        <f t="shared" si="9"/>
        <v>-210</v>
      </c>
      <c r="J78" s="1619">
        <f t="shared" si="9"/>
        <v>-294161</v>
      </c>
      <c r="K78" s="1619">
        <f t="shared" si="9"/>
        <v>32690</v>
      </c>
      <c r="L78" s="456"/>
    </row>
    <row r="79" spans="1:12" ht="13.5" thickTop="1" x14ac:dyDescent="0.2">
      <c r="A79" s="1832" t="str">
        <f>"Fund Balances - July 1, "&amp;'AFR20'!E2-1</f>
        <v>Fund Balances - July 1, 2019</v>
      </c>
      <c r="B79" s="457"/>
      <c r="C79" s="1573">
        <v>4053303</v>
      </c>
      <c r="D79" s="1620">
        <v>217922</v>
      </c>
      <c r="E79" s="1620">
        <v>-327292</v>
      </c>
      <c r="F79" s="1620">
        <v>1199650</v>
      </c>
      <c r="G79" s="1620">
        <v>2797293</v>
      </c>
      <c r="H79" s="1620">
        <v>890</v>
      </c>
      <c r="I79" s="1620">
        <v>57299</v>
      </c>
      <c r="J79" s="1620">
        <v>911868</v>
      </c>
      <c r="K79" s="1620">
        <v>-23855</v>
      </c>
      <c r="L79" s="324"/>
    </row>
    <row r="80" spans="1:12" x14ac:dyDescent="0.2">
      <c r="A80" s="2282" t="s">
        <v>1769</v>
      </c>
      <c r="B80" s="2283"/>
      <c r="C80" s="1564"/>
      <c r="D80" s="1564"/>
      <c r="E80" s="1564"/>
      <c r="F80" s="1564"/>
      <c r="G80" s="1564"/>
      <c r="H80" s="1564"/>
      <c r="I80" s="1564"/>
      <c r="J80" s="1564"/>
      <c r="K80" s="1564"/>
      <c r="L80" s="324"/>
    </row>
    <row r="81" spans="1:12" ht="13.5" thickBot="1" x14ac:dyDescent="0.25">
      <c r="A81" s="2274" t="str">
        <f>"Fund Balances - June 30, "&amp;'AFR20'!E2</f>
        <v>Fund Balances - June 30, 2020</v>
      </c>
      <c r="B81" s="2275"/>
      <c r="C81" s="1584">
        <f>(SUM(C78:C80))</f>
        <v>5754112</v>
      </c>
      <c r="D81" s="1584">
        <f>SUM(D78:D80)</f>
        <v>18369</v>
      </c>
      <c r="E81" s="1584">
        <f t="shared" ref="E81:K81" si="10">SUM(E78:E80)</f>
        <v>-453936</v>
      </c>
      <c r="F81" s="1584">
        <f t="shared" si="10"/>
        <v>1844727</v>
      </c>
      <c r="G81" s="1584">
        <f t="shared" si="10"/>
        <v>2641820</v>
      </c>
      <c r="H81" s="1584">
        <f t="shared" si="10"/>
        <v>905</v>
      </c>
      <c r="I81" s="1584">
        <f t="shared" si="10"/>
        <v>57089</v>
      </c>
      <c r="J81" s="1584">
        <f t="shared" si="10"/>
        <v>617707</v>
      </c>
      <c r="K81" s="1584">
        <f t="shared" si="10"/>
        <v>8835</v>
      </c>
      <c r="L81" s="324"/>
    </row>
    <row r="82" spans="1:12" ht="0.75" customHeight="1" thickTop="1" thickBot="1" x14ac:dyDescent="0.25">
      <c r="A82" s="458" t="s">
        <v>340</v>
      </c>
      <c r="B82" s="459"/>
      <c r="C82" s="460">
        <f>(C81-C79)</f>
        <v>1700809</v>
      </c>
      <c r="D82" s="460">
        <f t="shared" ref="D82:K82" si="11">(D81-D79)</f>
        <v>-199553</v>
      </c>
      <c r="E82" s="460">
        <f t="shared" si="11"/>
        <v>-126644</v>
      </c>
      <c r="F82" s="460">
        <f t="shared" si="11"/>
        <v>645077</v>
      </c>
      <c r="G82" s="460">
        <f t="shared" si="11"/>
        <v>-155473</v>
      </c>
      <c r="H82" s="460">
        <f t="shared" si="11"/>
        <v>15</v>
      </c>
      <c r="I82" s="460">
        <f t="shared" si="11"/>
        <v>-210</v>
      </c>
      <c r="J82" s="460">
        <f t="shared" si="11"/>
        <v>-294161</v>
      </c>
      <c r="K82" s="460">
        <f t="shared" si="11"/>
        <v>32690</v>
      </c>
    </row>
    <row r="83" spans="1:12" ht="14.25" hidden="1" thickTop="1" thickBot="1" x14ac:dyDescent="0.25">
      <c r="A83" s="461" t="s">
        <v>341</v>
      </c>
      <c r="B83" s="427"/>
      <c r="C83" s="462">
        <f>C82/C81</f>
        <v>0.29558149024558439</v>
      </c>
      <c r="D83" s="462">
        <f t="shared" ref="D83:K83" si="12">D82/D81</f>
        <v>-10.863574500517176</v>
      </c>
      <c r="E83" s="462">
        <f t="shared" si="12"/>
        <v>0.27899087095978287</v>
      </c>
      <c r="F83" s="462">
        <f t="shared" si="12"/>
        <v>0.34968697265232201</v>
      </c>
      <c r="G83" s="462">
        <f t="shared" si="12"/>
        <v>-5.8850716551468306E-2</v>
      </c>
      <c r="H83" s="462">
        <f t="shared" si="12"/>
        <v>1.6574585635359115E-2</v>
      </c>
      <c r="I83" s="462">
        <f t="shared" si="12"/>
        <v>-3.6784669551051868E-3</v>
      </c>
      <c r="J83" s="462">
        <f t="shared" si="12"/>
        <v>-0.4762144511880228</v>
      </c>
      <c r="K83" s="462">
        <f t="shared" si="12"/>
        <v>3.7000565930956424</v>
      </c>
    </row>
    <row r="84" spans="1:12" ht="13.5" thickTop="1" x14ac:dyDescent="0.2">
      <c r="A84" s="183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78" t="s">
        <v>1776</v>
      </c>
      <c r="B1" s="415"/>
      <c r="C1" s="416" t="s">
        <v>422</v>
      </c>
      <c r="D1" s="416" t="s">
        <v>423</v>
      </c>
      <c r="E1" s="416" t="s">
        <v>424</v>
      </c>
      <c r="F1" s="416" t="s">
        <v>425</v>
      </c>
      <c r="G1" s="416" t="s">
        <v>426</v>
      </c>
      <c r="H1" s="416" t="s">
        <v>427</v>
      </c>
      <c r="I1" s="416" t="s">
        <v>428</v>
      </c>
      <c r="J1" s="416" t="s">
        <v>429</v>
      </c>
      <c r="K1" s="416" t="s">
        <v>751</v>
      </c>
    </row>
    <row r="2" spans="1:12" ht="36" x14ac:dyDescent="0.2">
      <c r="A2" s="2279"/>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07" t="s">
        <v>113</v>
      </c>
      <c r="B3" s="1308"/>
      <c r="C3" s="1309"/>
      <c r="D3" s="1309"/>
      <c r="E3" s="1309"/>
      <c r="F3" s="1310"/>
      <c r="G3" s="1311"/>
      <c r="H3" s="1310"/>
      <c r="I3" s="1310"/>
      <c r="J3" s="1310"/>
      <c r="K3" s="1312"/>
    </row>
    <row r="4" spans="1:12" ht="15.75" customHeight="1" x14ac:dyDescent="0.2">
      <c r="A4" s="1318" t="s">
        <v>376</v>
      </c>
      <c r="B4" s="1319">
        <v>1100</v>
      </c>
      <c r="C4" s="465"/>
      <c r="D4" s="465"/>
      <c r="E4" s="465"/>
      <c r="F4" s="466"/>
      <c r="G4" s="467"/>
      <c r="H4" s="468"/>
      <c r="I4" s="468"/>
      <c r="J4" s="468"/>
      <c r="K4" s="468"/>
    </row>
    <row r="5" spans="1:12" ht="15" x14ac:dyDescent="0.2">
      <c r="A5" s="435" t="s">
        <v>1642</v>
      </c>
      <c r="B5" s="469"/>
      <c r="C5" s="1576">
        <v>3481575</v>
      </c>
      <c r="D5" s="1576">
        <v>366430</v>
      </c>
      <c r="E5" s="1563">
        <v>1081778</v>
      </c>
      <c r="F5" s="1621">
        <v>954209</v>
      </c>
      <c r="G5" s="1563">
        <v>44076</v>
      </c>
      <c r="H5" s="1563"/>
      <c r="I5" s="1563">
        <v>33578</v>
      </c>
      <c r="J5" s="1564">
        <v>42050</v>
      </c>
      <c r="K5" s="1563">
        <v>-2271</v>
      </c>
    </row>
    <row r="6" spans="1:12" ht="15" x14ac:dyDescent="0.2">
      <c r="A6" s="426" t="s">
        <v>1643</v>
      </c>
      <c r="B6" s="428">
        <v>1130</v>
      </c>
      <c r="C6" s="1563"/>
      <c r="D6" s="1563">
        <v>-1302</v>
      </c>
      <c r="E6" s="1570"/>
      <c r="F6" s="1570"/>
      <c r="G6" s="1565"/>
      <c r="H6" s="1565"/>
      <c r="I6" s="1565"/>
      <c r="J6" s="1565"/>
      <c r="K6" s="1565"/>
    </row>
    <row r="7" spans="1:12" x14ac:dyDescent="0.2">
      <c r="A7" s="426" t="s">
        <v>110</v>
      </c>
      <c r="B7" s="470">
        <v>1140</v>
      </c>
      <c r="C7" s="1563">
        <v>-10960</v>
      </c>
      <c r="D7" s="1563"/>
      <c r="E7" s="1565"/>
      <c r="F7" s="1564"/>
      <c r="G7" s="1564"/>
      <c r="H7" s="1564"/>
      <c r="I7" s="1565"/>
      <c r="J7" s="1565"/>
      <c r="K7" s="1565"/>
    </row>
    <row r="8" spans="1:12" x14ac:dyDescent="0.2">
      <c r="A8" s="426" t="s">
        <v>410</v>
      </c>
      <c r="B8" s="428">
        <v>1150</v>
      </c>
      <c r="C8" s="1570"/>
      <c r="D8" s="1570"/>
      <c r="E8" s="1572"/>
      <c r="F8" s="1572"/>
      <c r="G8" s="1576">
        <v>42843</v>
      </c>
      <c r="H8" s="1565"/>
      <c r="I8" s="1565"/>
      <c r="J8" s="1565"/>
      <c r="K8" s="1565"/>
    </row>
    <row r="9" spans="1:12" x14ac:dyDescent="0.2">
      <c r="A9" s="429" t="s">
        <v>111</v>
      </c>
      <c r="B9" s="428">
        <v>1160</v>
      </c>
      <c r="C9" s="1565"/>
      <c r="D9" s="1564"/>
      <c r="E9" s="1564"/>
      <c r="F9" s="1566"/>
      <c r="G9" s="1570"/>
      <c r="H9" s="1564"/>
      <c r="I9" s="1565"/>
      <c r="J9" s="1565"/>
      <c r="K9" s="1565"/>
    </row>
    <row r="10" spans="1:12" x14ac:dyDescent="0.2">
      <c r="A10" s="429" t="s">
        <v>112</v>
      </c>
      <c r="B10" s="428">
        <v>1170</v>
      </c>
      <c r="C10" s="1564"/>
      <c r="D10" s="1613"/>
      <c r="E10" s="1613"/>
      <c r="F10" s="1566"/>
      <c r="G10" s="1565"/>
      <c r="H10" s="1565"/>
      <c r="I10" s="1565"/>
      <c r="J10" s="1565"/>
      <c r="K10" s="1565"/>
    </row>
    <row r="11" spans="1:12" x14ac:dyDescent="0.2">
      <c r="A11" s="429" t="s">
        <v>411</v>
      </c>
      <c r="B11" s="471">
        <v>1190</v>
      </c>
      <c r="C11" s="1622"/>
      <c r="D11" s="1563"/>
      <c r="E11" s="1563"/>
      <c r="F11" s="1563"/>
      <c r="G11" s="1563"/>
      <c r="H11" s="1563"/>
      <c r="I11" s="1563"/>
      <c r="J11" s="1564"/>
      <c r="K11" s="1563"/>
      <c r="L11" s="472"/>
    </row>
    <row r="12" spans="1:12" ht="12.75" customHeight="1" thickBot="1" x14ac:dyDescent="0.25">
      <c r="A12" s="1394" t="s">
        <v>29</v>
      </c>
      <c r="B12" s="1395"/>
      <c r="C12" s="1623">
        <f t="shared" ref="C12:K12" si="0">SUM(C5:C11)</f>
        <v>3470615</v>
      </c>
      <c r="D12" s="1623">
        <f t="shared" si="0"/>
        <v>365128</v>
      </c>
      <c r="E12" s="1623">
        <f t="shared" si="0"/>
        <v>1081778</v>
      </c>
      <c r="F12" s="1623">
        <f t="shared" si="0"/>
        <v>954209</v>
      </c>
      <c r="G12" s="1623">
        <f t="shared" si="0"/>
        <v>86919</v>
      </c>
      <c r="H12" s="1623">
        <f t="shared" si="0"/>
        <v>0</v>
      </c>
      <c r="I12" s="1623">
        <f t="shared" si="0"/>
        <v>33578</v>
      </c>
      <c r="J12" s="1623">
        <f t="shared" si="0"/>
        <v>42050</v>
      </c>
      <c r="K12" s="1584">
        <f t="shared" si="0"/>
        <v>-2271</v>
      </c>
    </row>
    <row r="13" spans="1:12" ht="15.75" customHeight="1" thickTop="1" x14ac:dyDescent="0.2">
      <c r="A13" s="1320" t="s">
        <v>448</v>
      </c>
      <c r="B13" s="1321">
        <v>1200</v>
      </c>
      <c r="C13" s="1624"/>
      <c r="D13" s="1624"/>
      <c r="E13" s="1624"/>
      <c r="F13" s="1624"/>
      <c r="G13" s="1624"/>
      <c r="H13" s="1624"/>
      <c r="I13" s="1624"/>
      <c r="J13" s="1624"/>
      <c r="K13" s="1565"/>
    </row>
    <row r="14" spans="1:12" x14ac:dyDescent="0.2">
      <c r="A14" s="426" t="s">
        <v>3</v>
      </c>
      <c r="B14" s="428">
        <v>1210</v>
      </c>
      <c r="C14" s="1622"/>
      <c r="D14" s="1563"/>
      <c r="E14" s="1563"/>
      <c r="F14" s="1563"/>
      <c r="G14" s="1563"/>
      <c r="H14" s="1563"/>
      <c r="I14" s="1563"/>
      <c r="J14" s="1564"/>
      <c r="K14" s="1563"/>
    </row>
    <row r="15" spans="1:12" ht="12.75" customHeight="1" x14ac:dyDescent="0.2">
      <c r="A15" s="426" t="s">
        <v>95</v>
      </c>
      <c r="B15" s="428">
        <v>1220</v>
      </c>
      <c r="C15" s="1622"/>
      <c r="D15" s="1563"/>
      <c r="E15" s="1563"/>
      <c r="F15" s="1563"/>
      <c r="G15" s="1563"/>
      <c r="H15" s="1563"/>
      <c r="I15" s="1563"/>
      <c r="J15" s="1564"/>
      <c r="K15" s="1563"/>
    </row>
    <row r="16" spans="1:12" ht="15" customHeight="1" x14ac:dyDescent="0.2">
      <c r="A16" s="426" t="s">
        <v>1644</v>
      </c>
      <c r="B16" s="470">
        <v>1230</v>
      </c>
      <c r="C16" s="1622">
        <v>208865</v>
      </c>
      <c r="D16" s="1563"/>
      <c r="E16" s="1563"/>
      <c r="F16" s="1563"/>
      <c r="G16" s="1563"/>
      <c r="H16" s="1563"/>
      <c r="I16" s="1563"/>
      <c r="J16" s="1564"/>
      <c r="K16" s="1563"/>
    </row>
    <row r="17" spans="1:11" ht="12.75" customHeight="1" x14ac:dyDescent="0.2">
      <c r="A17" s="426" t="s">
        <v>802</v>
      </c>
      <c r="B17" s="428">
        <v>1290</v>
      </c>
      <c r="C17" s="1622"/>
      <c r="D17" s="1563"/>
      <c r="E17" s="1563"/>
      <c r="F17" s="1563"/>
      <c r="G17" s="1563"/>
      <c r="H17" s="1563"/>
      <c r="I17" s="1563"/>
      <c r="J17" s="1564"/>
      <c r="K17" s="1563"/>
    </row>
    <row r="18" spans="1:11" ht="12.75" customHeight="1" thickBot="1" x14ac:dyDescent="0.25">
      <c r="A18" s="1396" t="s">
        <v>534</v>
      </c>
      <c r="B18" s="1397"/>
      <c r="C18" s="1625">
        <f>SUM(C14:C17)</f>
        <v>208865</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0" t="s">
        <v>449</v>
      </c>
      <c r="B19" s="1321">
        <v>1300</v>
      </c>
      <c r="C19" s="1627"/>
      <c r="D19" s="1627"/>
      <c r="E19" s="1627"/>
      <c r="F19" s="1627"/>
      <c r="G19" s="1624"/>
      <c r="H19" s="1627"/>
      <c r="I19" s="1627"/>
      <c r="J19" s="1627"/>
      <c r="K19" s="1628"/>
    </row>
    <row r="20" spans="1:11" x14ac:dyDescent="0.2">
      <c r="A20" s="426" t="s">
        <v>1064</v>
      </c>
      <c r="B20" s="428">
        <v>1311</v>
      </c>
      <c r="C20" s="1563"/>
      <c r="D20" s="1565"/>
      <c r="E20" s="1565"/>
      <c r="F20" s="1565"/>
      <c r="G20" s="1565"/>
      <c r="H20" s="1565"/>
      <c r="I20" s="1565"/>
      <c r="J20" s="1565"/>
      <c r="K20" s="1565"/>
    </row>
    <row r="21" spans="1:11" ht="12.75" customHeight="1" x14ac:dyDescent="0.2">
      <c r="A21" s="426" t="s">
        <v>827</v>
      </c>
      <c r="B21" s="428">
        <v>1312</v>
      </c>
      <c r="C21" s="1622"/>
      <c r="D21" s="1565"/>
      <c r="E21" s="1565"/>
      <c r="F21" s="1565"/>
      <c r="G21" s="1565"/>
      <c r="H21" s="1565"/>
      <c r="I21" s="1565"/>
      <c r="J21" s="1565"/>
      <c r="K21" s="1565"/>
    </row>
    <row r="22" spans="1:11" ht="12.75" customHeight="1" x14ac:dyDescent="0.2">
      <c r="A22" s="426" t="s">
        <v>1065</v>
      </c>
      <c r="B22" s="428">
        <v>1313</v>
      </c>
      <c r="C22" s="1622"/>
      <c r="D22" s="1565"/>
      <c r="E22" s="1565"/>
      <c r="F22" s="1565"/>
      <c r="G22" s="1565"/>
      <c r="H22" s="1565"/>
      <c r="I22" s="1565"/>
      <c r="J22" s="1565"/>
      <c r="K22" s="1565"/>
    </row>
    <row r="23" spans="1:11" ht="12.75" customHeight="1" x14ac:dyDescent="0.2">
      <c r="A23" s="426" t="s">
        <v>1066</v>
      </c>
      <c r="B23" s="428">
        <v>1314</v>
      </c>
      <c r="C23" s="1588"/>
      <c r="D23" s="1565"/>
      <c r="E23" s="1565"/>
      <c r="F23" s="1565"/>
      <c r="G23" s="1565"/>
      <c r="H23" s="1565"/>
      <c r="I23" s="1565"/>
      <c r="J23" s="1565"/>
      <c r="K23" s="1565"/>
    </row>
    <row r="24" spans="1:11" ht="12.75" customHeight="1" x14ac:dyDescent="0.2">
      <c r="A24" s="426" t="s">
        <v>1020</v>
      </c>
      <c r="B24" s="428">
        <v>1321</v>
      </c>
      <c r="C24" s="1622"/>
      <c r="D24" s="1565"/>
      <c r="E24" s="1565"/>
      <c r="F24" s="1565"/>
      <c r="G24" s="1565"/>
      <c r="H24" s="1565"/>
      <c r="I24" s="1565"/>
      <c r="J24" s="1565"/>
      <c r="K24" s="1565"/>
    </row>
    <row r="25" spans="1:11" ht="12.75" customHeight="1" x14ac:dyDescent="0.2">
      <c r="A25" s="426" t="s">
        <v>828</v>
      </c>
      <c r="B25" s="428">
        <v>1322</v>
      </c>
      <c r="C25" s="1622"/>
      <c r="D25" s="1565"/>
      <c r="E25" s="1565"/>
      <c r="F25" s="1565"/>
      <c r="G25" s="1565"/>
      <c r="H25" s="1565"/>
      <c r="I25" s="1565"/>
      <c r="J25" s="1565"/>
      <c r="K25" s="1565"/>
    </row>
    <row r="26" spans="1:11" ht="12.75" customHeight="1" x14ac:dyDescent="0.2">
      <c r="A26" s="426" t="s">
        <v>1092</v>
      </c>
      <c r="B26" s="428">
        <v>1323</v>
      </c>
      <c r="C26" s="1622"/>
      <c r="D26" s="1565"/>
      <c r="E26" s="1565"/>
      <c r="F26" s="1565"/>
      <c r="G26" s="1565"/>
      <c r="H26" s="1565"/>
      <c r="I26" s="1565"/>
      <c r="J26" s="1565"/>
      <c r="K26" s="1565"/>
    </row>
    <row r="27" spans="1:11" ht="12.75" customHeight="1" x14ac:dyDescent="0.2">
      <c r="A27" s="426" t="s">
        <v>1016</v>
      </c>
      <c r="B27" s="428">
        <v>1324</v>
      </c>
      <c r="C27" s="1588"/>
      <c r="D27" s="1565"/>
      <c r="E27" s="1565"/>
      <c r="F27" s="1565"/>
      <c r="G27" s="1565"/>
      <c r="H27" s="1565"/>
      <c r="I27" s="1565"/>
      <c r="J27" s="1565"/>
      <c r="K27" s="1565"/>
    </row>
    <row r="28" spans="1:11" ht="12.75" customHeight="1" x14ac:dyDescent="0.2">
      <c r="A28" s="426" t="s">
        <v>1017</v>
      </c>
      <c r="B28" s="428">
        <v>1331</v>
      </c>
      <c r="C28" s="1622"/>
      <c r="D28" s="1565"/>
      <c r="E28" s="1565"/>
      <c r="F28" s="1565"/>
      <c r="G28" s="1565"/>
      <c r="H28" s="1565"/>
      <c r="I28" s="1565"/>
      <c r="J28" s="1565"/>
      <c r="K28" s="1565"/>
    </row>
    <row r="29" spans="1:11" ht="12.75" customHeight="1" x14ac:dyDescent="0.2">
      <c r="A29" s="426" t="s">
        <v>829</v>
      </c>
      <c r="B29" s="428">
        <v>1332</v>
      </c>
      <c r="C29" s="1622"/>
      <c r="D29" s="1565"/>
      <c r="E29" s="1565"/>
      <c r="F29" s="1565"/>
      <c r="G29" s="1565"/>
      <c r="H29" s="1565"/>
      <c r="I29" s="1565"/>
      <c r="J29" s="1565"/>
      <c r="K29" s="1565"/>
    </row>
    <row r="30" spans="1:11" ht="12.75" customHeight="1" x14ac:dyDescent="0.2">
      <c r="A30" s="426" t="s">
        <v>1019</v>
      </c>
      <c r="B30" s="428">
        <v>1333</v>
      </c>
      <c r="C30" s="1622"/>
      <c r="D30" s="1565"/>
      <c r="E30" s="1565"/>
      <c r="F30" s="1565"/>
      <c r="G30" s="1565"/>
      <c r="H30" s="1565"/>
      <c r="I30" s="1565"/>
      <c r="J30" s="1565"/>
      <c r="K30" s="1565"/>
    </row>
    <row r="31" spans="1:11" ht="12.75" customHeight="1" x14ac:dyDescent="0.2">
      <c r="A31" s="426" t="s">
        <v>1018</v>
      </c>
      <c r="B31" s="428">
        <v>1334</v>
      </c>
      <c r="C31" s="1588"/>
      <c r="D31" s="1565"/>
      <c r="E31" s="1565"/>
      <c r="F31" s="1565"/>
      <c r="G31" s="1565"/>
      <c r="H31" s="1565"/>
      <c r="I31" s="1565"/>
      <c r="J31" s="1565"/>
      <c r="K31" s="1565"/>
    </row>
    <row r="32" spans="1:11" ht="12.75" customHeight="1" x14ac:dyDescent="0.2">
      <c r="A32" s="426" t="s">
        <v>491</v>
      </c>
      <c r="B32" s="428">
        <v>1341</v>
      </c>
      <c r="C32" s="1622"/>
      <c r="D32" s="1565"/>
      <c r="E32" s="1565"/>
      <c r="F32" s="1565"/>
      <c r="G32" s="1565"/>
      <c r="H32" s="1565"/>
      <c r="I32" s="1565"/>
      <c r="J32" s="1565"/>
      <c r="K32" s="1565"/>
    </row>
    <row r="33" spans="1:11" ht="12.75" customHeight="1" x14ac:dyDescent="0.2">
      <c r="A33" s="426" t="s">
        <v>830</v>
      </c>
      <c r="B33" s="428">
        <v>1342</v>
      </c>
      <c r="C33" s="1622"/>
      <c r="D33" s="1565"/>
      <c r="E33" s="1565"/>
      <c r="F33" s="1565"/>
      <c r="G33" s="1565"/>
      <c r="H33" s="1565"/>
      <c r="I33" s="1565"/>
      <c r="J33" s="1565"/>
      <c r="K33" s="1565"/>
    </row>
    <row r="34" spans="1:11" ht="12.75" customHeight="1" x14ac:dyDescent="0.2">
      <c r="A34" s="426" t="s">
        <v>492</v>
      </c>
      <c r="B34" s="428">
        <v>1343</v>
      </c>
      <c r="C34" s="1622"/>
      <c r="D34" s="1565"/>
      <c r="E34" s="1565"/>
      <c r="F34" s="1565"/>
      <c r="G34" s="1565"/>
      <c r="H34" s="1565"/>
      <c r="I34" s="1565"/>
      <c r="J34" s="1565"/>
      <c r="K34" s="1565"/>
    </row>
    <row r="35" spans="1:11" ht="12.75" customHeight="1" x14ac:dyDescent="0.2">
      <c r="A35" s="426" t="s">
        <v>490</v>
      </c>
      <c r="B35" s="428">
        <v>1344</v>
      </c>
      <c r="C35" s="1588"/>
      <c r="D35" s="1565"/>
      <c r="E35" s="1565"/>
      <c r="F35" s="1565"/>
      <c r="G35" s="1565"/>
      <c r="H35" s="1565"/>
      <c r="I35" s="1565"/>
      <c r="J35" s="1565"/>
      <c r="K35" s="1565"/>
    </row>
    <row r="36" spans="1:11" ht="12.75" customHeight="1" x14ac:dyDescent="0.2">
      <c r="A36" s="426" t="s">
        <v>826</v>
      </c>
      <c r="B36" s="428">
        <v>1351</v>
      </c>
      <c r="C36" s="1622"/>
      <c r="D36" s="1565"/>
      <c r="E36" s="1565"/>
      <c r="F36" s="1565"/>
      <c r="G36" s="1565"/>
      <c r="H36" s="1565"/>
      <c r="I36" s="1565"/>
      <c r="J36" s="1565"/>
      <c r="K36" s="1565"/>
    </row>
    <row r="37" spans="1:11" ht="12.75" customHeight="1" x14ac:dyDescent="0.2">
      <c r="A37" s="426" t="s">
        <v>831</v>
      </c>
      <c r="B37" s="428">
        <v>1352</v>
      </c>
      <c r="C37" s="1622"/>
      <c r="D37" s="1565"/>
      <c r="E37" s="1565"/>
      <c r="F37" s="1565"/>
      <c r="G37" s="1565"/>
      <c r="H37" s="1565"/>
      <c r="I37" s="1565"/>
      <c r="J37" s="1565"/>
      <c r="K37" s="1565"/>
    </row>
    <row r="38" spans="1:11" ht="12.75" customHeight="1" x14ac:dyDescent="0.2">
      <c r="A38" s="426" t="s">
        <v>589</v>
      </c>
      <c r="B38" s="428">
        <v>1353</v>
      </c>
      <c r="C38" s="1622"/>
      <c r="D38" s="1565"/>
      <c r="E38" s="1565"/>
      <c r="F38" s="1565"/>
      <c r="G38" s="1565"/>
      <c r="H38" s="1565"/>
      <c r="I38" s="1565"/>
      <c r="J38" s="1565"/>
      <c r="K38" s="1565"/>
    </row>
    <row r="39" spans="1:11" ht="12.75" customHeight="1" x14ac:dyDescent="0.2">
      <c r="A39" s="1255" t="s">
        <v>590</v>
      </c>
      <c r="B39" s="473">
        <v>1354</v>
      </c>
      <c r="C39" s="1588"/>
      <c r="D39" s="1565"/>
      <c r="E39" s="1565"/>
      <c r="F39" s="1565"/>
      <c r="G39" s="1565"/>
      <c r="H39" s="1565"/>
      <c r="I39" s="1565"/>
      <c r="J39" s="1565"/>
      <c r="K39" s="1565"/>
    </row>
    <row r="40" spans="1:11" ht="12.75" customHeight="1" thickBot="1" x14ac:dyDescent="0.25">
      <c r="A40" s="1396" t="s">
        <v>535</v>
      </c>
      <c r="B40" s="1397"/>
      <c r="C40" s="1584">
        <f>SUM(C20:C39)</f>
        <v>0</v>
      </c>
      <c r="D40" s="1565"/>
      <c r="E40" s="1565"/>
      <c r="F40" s="1565"/>
      <c r="G40" s="1565"/>
      <c r="H40" s="1565"/>
      <c r="I40" s="1565"/>
      <c r="J40" s="1565"/>
      <c r="K40" s="1565"/>
    </row>
    <row r="41" spans="1:11" ht="15.75" customHeight="1" thickTop="1" x14ac:dyDescent="0.2">
      <c r="A41" s="1320" t="s">
        <v>272</v>
      </c>
      <c r="B41" s="1321">
        <v>1400</v>
      </c>
      <c r="C41" s="1565"/>
      <c r="D41" s="1565"/>
      <c r="E41" s="1565"/>
      <c r="F41" s="1607"/>
      <c r="G41" s="1565"/>
      <c r="H41" s="1565"/>
      <c r="I41" s="1565"/>
      <c r="J41" s="1565"/>
      <c r="K41" s="1565"/>
    </row>
    <row r="42" spans="1:11" ht="12.75" customHeight="1" x14ac:dyDescent="0.2">
      <c r="A42" s="426" t="s">
        <v>1067</v>
      </c>
      <c r="B42" s="428">
        <v>1411</v>
      </c>
      <c r="C42" s="1565"/>
      <c r="D42" s="1565"/>
      <c r="E42" s="1565"/>
      <c r="F42" s="1576"/>
      <c r="G42" s="1565"/>
      <c r="H42" s="1565"/>
      <c r="I42" s="1565"/>
      <c r="J42" s="1565"/>
      <c r="K42" s="1565"/>
    </row>
    <row r="43" spans="1:11" ht="12.75" customHeight="1" x14ac:dyDescent="0.2">
      <c r="A43" s="426" t="s">
        <v>832</v>
      </c>
      <c r="B43" s="428">
        <v>1412</v>
      </c>
      <c r="C43" s="1565"/>
      <c r="D43" s="1565"/>
      <c r="E43" s="1565"/>
      <c r="F43" s="1563"/>
      <c r="G43" s="1565"/>
      <c r="H43" s="1565"/>
      <c r="I43" s="1565"/>
      <c r="J43" s="1565"/>
      <c r="K43" s="1565"/>
    </row>
    <row r="44" spans="1:11" ht="12.75" customHeight="1" x14ac:dyDescent="0.2">
      <c r="A44" s="426" t="s">
        <v>381</v>
      </c>
      <c r="B44" s="428">
        <v>1413</v>
      </c>
      <c r="C44" s="1565"/>
      <c r="D44" s="1565"/>
      <c r="E44" s="1565"/>
      <c r="F44" s="1563"/>
      <c r="G44" s="1565"/>
      <c r="H44" s="1565"/>
      <c r="I44" s="1565"/>
      <c r="J44" s="1565"/>
      <c r="K44" s="1565"/>
    </row>
    <row r="45" spans="1:11" ht="12.75" customHeight="1" x14ac:dyDescent="0.2">
      <c r="A45" s="426" t="s">
        <v>238</v>
      </c>
      <c r="B45" s="428">
        <v>1415</v>
      </c>
      <c r="C45" s="1565"/>
      <c r="D45" s="1565"/>
      <c r="E45" s="1565"/>
      <c r="F45" s="1563"/>
      <c r="G45" s="1565"/>
      <c r="H45" s="1565"/>
      <c r="I45" s="1565"/>
      <c r="J45" s="1565"/>
      <c r="K45" s="1565"/>
    </row>
    <row r="46" spans="1:11" ht="12.75" customHeight="1" x14ac:dyDescent="0.2">
      <c r="A46" s="426" t="s">
        <v>1164</v>
      </c>
      <c r="B46" s="428">
        <v>1416</v>
      </c>
      <c r="C46" s="1565"/>
      <c r="D46" s="1565"/>
      <c r="E46" s="1565"/>
      <c r="F46" s="1564"/>
      <c r="G46" s="1565"/>
      <c r="H46" s="1565"/>
      <c r="I46" s="1565"/>
      <c r="J46" s="1565"/>
      <c r="K46" s="1565"/>
    </row>
    <row r="47" spans="1:11" ht="12.75" customHeight="1" x14ac:dyDescent="0.2">
      <c r="A47" s="426" t="s">
        <v>57</v>
      </c>
      <c r="B47" s="428">
        <v>1421</v>
      </c>
      <c r="C47" s="1565"/>
      <c r="D47" s="1565"/>
      <c r="E47" s="1565"/>
      <c r="F47" s="1563"/>
      <c r="G47" s="1565"/>
      <c r="H47" s="1565"/>
      <c r="I47" s="1565"/>
      <c r="J47" s="1565"/>
      <c r="K47" s="1565"/>
    </row>
    <row r="48" spans="1:11" ht="12.75" customHeight="1" x14ac:dyDescent="0.2">
      <c r="A48" s="426" t="s">
        <v>833</v>
      </c>
      <c r="B48" s="428">
        <v>1422</v>
      </c>
      <c r="C48" s="1565"/>
      <c r="D48" s="1565"/>
      <c r="E48" s="1565"/>
      <c r="F48" s="1563"/>
      <c r="G48" s="1565"/>
      <c r="H48" s="1565"/>
      <c r="I48" s="1565"/>
      <c r="J48" s="1565"/>
      <c r="K48" s="1565"/>
    </row>
    <row r="49" spans="1:11" ht="12.75" customHeight="1" x14ac:dyDescent="0.2">
      <c r="A49" s="426" t="s">
        <v>58</v>
      </c>
      <c r="B49" s="428">
        <v>1423</v>
      </c>
      <c r="C49" s="1565"/>
      <c r="D49" s="1565"/>
      <c r="E49" s="1565"/>
      <c r="F49" s="1563"/>
      <c r="G49" s="1565"/>
      <c r="H49" s="1565"/>
      <c r="I49" s="1565"/>
      <c r="J49" s="1565"/>
      <c r="K49" s="1565"/>
    </row>
    <row r="50" spans="1:11" ht="12.75" customHeight="1" x14ac:dyDescent="0.2">
      <c r="A50" s="426" t="s">
        <v>59</v>
      </c>
      <c r="B50" s="428">
        <v>1424</v>
      </c>
      <c r="C50" s="1565"/>
      <c r="D50" s="1565"/>
      <c r="E50" s="1565"/>
      <c r="F50" s="1564"/>
      <c r="G50" s="1565"/>
      <c r="H50" s="1565"/>
      <c r="I50" s="1565"/>
      <c r="J50" s="1565"/>
      <c r="K50" s="1565"/>
    </row>
    <row r="51" spans="1:11" ht="12.75" customHeight="1" x14ac:dyDescent="0.2">
      <c r="A51" s="1256" t="s">
        <v>60</v>
      </c>
      <c r="B51" s="474">
        <v>1431</v>
      </c>
      <c r="C51" s="1565"/>
      <c r="D51" s="1565"/>
      <c r="E51" s="1565"/>
      <c r="F51" s="1563"/>
      <c r="G51" s="1565"/>
      <c r="H51" s="1565"/>
      <c r="I51" s="1565"/>
      <c r="J51" s="1565"/>
      <c r="K51" s="1565"/>
    </row>
    <row r="52" spans="1:11" ht="12.75" customHeight="1" x14ac:dyDescent="0.2">
      <c r="A52" s="1256" t="s">
        <v>1097</v>
      </c>
      <c r="B52" s="474">
        <v>1432</v>
      </c>
      <c r="C52" s="1565"/>
      <c r="D52" s="1565"/>
      <c r="E52" s="1565"/>
      <c r="F52" s="1563"/>
      <c r="G52" s="1565"/>
      <c r="H52" s="1565"/>
      <c r="I52" s="1565"/>
      <c r="J52" s="1565"/>
      <c r="K52" s="1565"/>
    </row>
    <row r="53" spans="1:11" ht="12.75" customHeight="1" x14ac:dyDescent="0.2">
      <c r="A53" s="1256" t="s">
        <v>61</v>
      </c>
      <c r="B53" s="474">
        <v>1433</v>
      </c>
      <c r="C53" s="1565"/>
      <c r="D53" s="1565"/>
      <c r="E53" s="1565"/>
      <c r="F53" s="1563"/>
      <c r="G53" s="1565"/>
      <c r="H53" s="1565"/>
      <c r="I53" s="1565"/>
      <c r="J53" s="1565"/>
      <c r="K53" s="1565"/>
    </row>
    <row r="54" spans="1:11" ht="12.75" customHeight="1" x14ac:dyDescent="0.2">
      <c r="A54" s="1256" t="s">
        <v>62</v>
      </c>
      <c r="B54" s="474">
        <v>1434</v>
      </c>
      <c r="C54" s="1565"/>
      <c r="D54" s="1565"/>
      <c r="E54" s="1565"/>
      <c r="F54" s="1564"/>
      <c r="G54" s="1565"/>
      <c r="H54" s="1565"/>
      <c r="I54" s="1565"/>
      <c r="J54" s="1565"/>
      <c r="K54" s="1565"/>
    </row>
    <row r="55" spans="1:11" ht="12.75" customHeight="1" x14ac:dyDescent="0.2">
      <c r="A55" s="1256" t="s">
        <v>63</v>
      </c>
      <c r="B55" s="474">
        <v>1441</v>
      </c>
      <c r="C55" s="1565"/>
      <c r="D55" s="1565"/>
      <c r="E55" s="1565"/>
      <c r="F55" s="1563"/>
      <c r="G55" s="1565"/>
      <c r="H55" s="1565"/>
      <c r="I55" s="1565"/>
      <c r="J55" s="1565"/>
      <c r="K55" s="1565"/>
    </row>
    <row r="56" spans="1:11" ht="12.75" customHeight="1" x14ac:dyDescent="0.2">
      <c r="A56" s="1256" t="s">
        <v>1098</v>
      </c>
      <c r="B56" s="474">
        <v>1442</v>
      </c>
      <c r="C56" s="1565"/>
      <c r="D56" s="1565"/>
      <c r="E56" s="1565"/>
      <c r="F56" s="1563"/>
      <c r="G56" s="1565"/>
      <c r="H56" s="1565"/>
      <c r="I56" s="1565"/>
      <c r="J56" s="1565"/>
      <c r="K56" s="1565"/>
    </row>
    <row r="57" spans="1:11" ht="12.75" customHeight="1" x14ac:dyDescent="0.2">
      <c r="A57" s="1256" t="s">
        <v>486</v>
      </c>
      <c r="B57" s="474">
        <v>1443</v>
      </c>
      <c r="C57" s="1565"/>
      <c r="D57" s="1565"/>
      <c r="E57" s="1565"/>
      <c r="F57" s="1563"/>
      <c r="G57" s="1565"/>
      <c r="H57" s="1565"/>
      <c r="I57" s="1565"/>
      <c r="J57" s="1565"/>
      <c r="K57" s="1565"/>
    </row>
    <row r="58" spans="1:11" ht="12.75" customHeight="1" x14ac:dyDescent="0.2">
      <c r="A58" s="1256" t="s">
        <v>65</v>
      </c>
      <c r="B58" s="474">
        <v>1444</v>
      </c>
      <c r="C58" s="1565"/>
      <c r="D58" s="1565"/>
      <c r="E58" s="1565"/>
      <c r="F58" s="1563"/>
      <c r="G58" s="1565"/>
      <c r="H58" s="1565"/>
      <c r="I58" s="1565"/>
      <c r="J58" s="1565"/>
      <c r="K58" s="1565"/>
    </row>
    <row r="59" spans="1:11" ht="12.75" customHeight="1" x14ac:dyDescent="0.2">
      <c r="A59" s="1256" t="s">
        <v>873</v>
      </c>
      <c r="B59" s="474">
        <v>1451</v>
      </c>
      <c r="C59" s="1565"/>
      <c r="D59" s="1565"/>
      <c r="E59" s="1565"/>
      <c r="F59" s="1563"/>
      <c r="G59" s="1565"/>
      <c r="H59" s="1565"/>
      <c r="I59" s="1565"/>
      <c r="J59" s="1565"/>
      <c r="K59" s="1565"/>
    </row>
    <row r="60" spans="1:11" ht="12.75" customHeight="1" x14ac:dyDescent="0.2">
      <c r="A60" s="1256" t="s">
        <v>1099</v>
      </c>
      <c r="B60" s="474">
        <v>1452</v>
      </c>
      <c r="C60" s="1565"/>
      <c r="D60" s="1565"/>
      <c r="E60" s="1565"/>
      <c r="F60" s="1563"/>
      <c r="G60" s="1565"/>
      <c r="H60" s="1565"/>
      <c r="I60" s="1565"/>
      <c r="J60" s="1565"/>
      <c r="K60" s="1565"/>
    </row>
    <row r="61" spans="1:11" ht="12.75" customHeight="1" x14ac:dyDescent="0.2">
      <c r="A61" s="478" t="s">
        <v>874</v>
      </c>
      <c r="B61" s="474">
        <v>1453</v>
      </c>
      <c r="C61" s="1565"/>
      <c r="D61" s="1565"/>
      <c r="E61" s="1565"/>
      <c r="F61" s="1563"/>
      <c r="G61" s="1565"/>
      <c r="H61" s="1565"/>
      <c r="I61" s="1565"/>
      <c r="J61" s="1565"/>
      <c r="K61" s="1565"/>
    </row>
    <row r="62" spans="1:11" ht="12.75" customHeight="1" x14ac:dyDescent="0.2">
      <c r="A62" s="1257" t="s">
        <v>875</v>
      </c>
      <c r="B62" s="475">
        <v>1454</v>
      </c>
      <c r="C62" s="1565"/>
      <c r="D62" s="1565"/>
      <c r="E62" s="1565"/>
      <c r="F62" s="1564"/>
      <c r="G62" s="1565"/>
      <c r="H62" s="1565"/>
      <c r="I62" s="1565"/>
      <c r="J62" s="1565"/>
      <c r="K62" s="1565"/>
    </row>
    <row r="63" spans="1:11" ht="12.75" customHeight="1" thickBot="1" x14ac:dyDescent="0.25">
      <c r="A63" s="1396" t="s">
        <v>482</v>
      </c>
      <c r="B63" s="1397"/>
      <c r="C63" s="1565"/>
      <c r="D63" s="1565"/>
      <c r="E63" s="1565"/>
      <c r="F63" s="1584">
        <f>SUM(F42:F62)</f>
        <v>0</v>
      </c>
      <c r="G63" s="1565"/>
      <c r="H63" s="1565"/>
      <c r="I63" s="1565"/>
      <c r="J63" s="1565"/>
      <c r="K63" s="1565"/>
    </row>
    <row r="64" spans="1:11" ht="15.75" customHeight="1" thickTop="1" x14ac:dyDescent="0.2">
      <c r="A64" s="1320" t="s">
        <v>451</v>
      </c>
      <c r="B64" s="1321">
        <v>1500</v>
      </c>
      <c r="C64" s="1565"/>
      <c r="D64" s="1565"/>
      <c r="E64" s="1565"/>
      <c r="F64" s="1565"/>
      <c r="G64" s="1565"/>
      <c r="H64" s="1565"/>
      <c r="I64" s="1565"/>
      <c r="J64" s="1565"/>
      <c r="K64" s="1565"/>
    </row>
    <row r="65" spans="1:11" ht="12.75" customHeight="1" x14ac:dyDescent="0.2">
      <c r="A65" s="426" t="s">
        <v>543</v>
      </c>
      <c r="B65" s="428">
        <v>1510</v>
      </c>
      <c r="C65" s="1563">
        <v>77073</v>
      </c>
      <c r="D65" s="1563">
        <v>7579</v>
      </c>
      <c r="E65" s="1563">
        <v>306</v>
      </c>
      <c r="F65" s="1564">
        <v>23972</v>
      </c>
      <c r="G65" s="1563">
        <v>47136</v>
      </c>
      <c r="H65" s="1563">
        <v>15</v>
      </c>
      <c r="I65" s="1563">
        <v>1212</v>
      </c>
      <c r="J65" s="1564">
        <v>13845</v>
      </c>
      <c r="K65" s="1563">
        <v>-39</v>
      </c>
    </row>
    <row r="66" spans="1:11" ht="12.75" customHeight="1" x14ac:dyDescent="0.2">
      <c r="A66" s="426" t="s">
        <v>674</v>
      </c>
      <c r="B66" s="428">
        <v>1520</v>
      </c>
      <c r="C66" s="1563"/>
      <c r="D66" s="1563"/>
      <c r="E66" s="1563"/>
      <c r="F66" s="1563"/>
      <c r="G66" s="1563"/>
      <c r="H66" s="1563"/>
      <c r="I66" s="1563"/>
      <c r="J66" s="1564"/>
      <c r="K66" s="1563"/>
    </row>
    <row r="67" spans="1:11" ht="12.75" customHeight="1" thickBot="1" x14ac:dyDescent="0.25">
      <c r="A67" s="1396" t="s">
        <v>483</v>
      </c>
      <c r="B67" s="1397"/>
      <c r="C67" s="1584">
        <f>SUM(C65:C66)</f>
        <v>77073</v>
      </c>
      <c r="D67" s="1584">
        <f t="shared" ref="D67:K67" si="2">SUM(D65:D66)</f>
        <v>7579</v>
      </c>
      <c r="E67" s="1584">
        <f t="shared" si="2"/>
        <v>306</v>
      </c>
      <c r="F67" s="1584">
        <f t="shared" si="2"/>
        <v>23972</v>
      </c>
      <c r="G67" s="1584">
        <f t="shared" si="2"/>
        <v>47136</v>
      </c>
      <c r="H67" s="1584">
        <f t="shared" si="2"/>
        <v>15</v>
      </c>
      <c r="I67" s="1584">
        <f t="shared" si="2"/>
        <v>1212</v>
      </c>
      <c r="J67" s="1584">
        <f t="shared" si="2"/>
        <v>13845</v>
      </c>
      <c r="K67" s="1584">
        <f t="shared" si="2"/>
        <v>-39</v>
      </c>
    </row>
    <row r="68" spans="1:11" ht="15.75" customHeight="1" thickTop="1" x14ac:dyDescent="0.2">
      <c r="A68" s="1320" t="s">
        <v>452</v>
      </c>
      <c r="B68" s="1322">
        <v>1600</v>
      </c>
      <c r="C68" s="1624"/>
      <c r="D68" s="1565"/>
      <c r="E68" s="1565"/>
      <c r="F68" s="1565"/>
      <c r="G68" s="1565"/>
      <c r="H68" s="1565"/>
      <c r="I68" s="1565"/>
      <c r="J68" s="1565"/>
      <c r="K68" s="1565"/>
    </row>
    <row r="69" spans="1:11" ht="12.75" customHeight="1" x14ac:dyDescent="0.2">
      <c r="A69" s="426" t="s">
        <v>661</v>
      </c>
      <c r="B69" s="428">
        <v>1611</v>
      </c>
      <c r="C69" s="1563"/>
      <c r="D69" s="1565"/>
      <c r="E69" s="1565"/>
      <c r="F69" s="1565"/>
      <c r="G69" s="1565"/>
      <c r="H69" s="1565"/>
      <c r="I69" s="1565"/>
      <c r="J69" s="1565"/>
      <c r="K69" s="1565"/>
    </row>
    <row r="70" spans="1:11" ht="12.75" customHeight="1" x14ac:dyDescent="0.2">
      <c r="A70" s="426" t="s">
        <v>990</v>
      </c>
      <c r="B70" s="428">
        <v>1612</v>
      </c>
      <c r="C70" s="1622"/>
      <c r="D70" s="1565"/>
      <c r="E70" s="1565"/>
      <c r="F70" s="1565"/>
      <c r="G70" s="1565"/>
      <c r="H70" s="1565"/>
      <c r="I70" s="1565"/>
      <c r="J70" s="1565"/>
      <c r="K70" s="1565"/>
    </row>
    <row r="71" spans="1:11" ht="12.75" customHeight="1" x14ac:dyDescent="0.2">
      <c r="A71" s="426" t="s">
        <v>271</v>
      </c>
      <c r="B71" s="428">
        <v>1613</v>
      </c>
      <c r="C71" s="1622"/>
      <c r="D71" s="1565"/>
      <c r="E71" s="1565"/>
      <c r="F71" s="1565"/>
      <c r="G71" s="1565"/>
      <c r="H71" s="1565"/>
      <c r="I71" s="1565"/>
      <c r="J71" s="1565"/>
      <c r="K71" s="1565"/>
    </row>
    <row r="72" spans="1:11" ht="12.75" customHeight="1" x14ac:dyDescent="0.2">
      <c r="A72" s="426" t="s">
        <v>24</v>
      </c>
      <c r="B72" s="428">
        <v>1614</v>
      </c>
      <c r="C72" s="1622"/>
      <c r="D72" s="1565"/>
      <c r="E72" s="1565"/>
      <c r="F72" s="1565"/>
      <c r="G72" s="1565"/>
      <c r="H72" s="1565"/>
      <c r="I72" s="1565"/>
      <c r="J72" s="1565"/>
      <c r="K72" s="1565"/>
    </row>
    <row r="73" spans="1:11" ht="12.75" customHeight="1" x14ac:dyDescent="0.2">
      <c r="A73" s="426" t="s">
        <v>991</v>
      </c>
      <c r="B73" s="428">
        <v>1620</v>
      </c>
      <c r="C73" s="1622">
        <v>1411</v>
      </c>
      <c r="D73" s="1565"/>
      <c r="E73" s="1565"/>
      <c r="F73" s="1565"/>
      <c r="G73" s="1565"/>
      <c r="H73" s="1565"/>
      <c r="I73" s="1565"/>
      <c r="J73" s="1565"/>
      <c r="K73" s="1565"/>
    </row>
    <row r="74" spans="1:11" ht="12.75" customHeight="1" x14ac:dyDescent="0.2">
      <c r="A74" s="426" t="s">
        <v>25</v>
      </c>
      <c r="B74" s="428">
        <v>1690</v>
      </c>
      <c r="C74" s="1622"/>
      <c r="D74" s="1565"/>
      <c r="E74" s="1565"/>
      <c r="F74" s="1565"/>
      <c r="G74" s="1565"/>
      <c r="H74" s="1565"/>
      <c r="I74" s="1565"/>
      <c r="J74" s="1565"/>
      <c r="K74" s="1565"/>
    </row>
    <row r="75" spans="1:11" ht="12.75" customHeight="1" thickBot="1" x14ac:dyDescent="0.25">
      <c r="A75" s="1396" t="s">
        <v>544</v>
      </c>
      <c r="B75" s="1397"/>
      <c r="C75" s="1584">
        <f>SUM(C69:C74)</f>
        <v>1411</v>
      </c>
      <c r="D75" s="1565"/>
      <c r="E75" s="1565"/>
      <c r="F75" s="1565"/>
      <c r="G75" s="1565"/>
      <c r="H75" s="1565"/>
      <c r="I75" s="1565"/>
      <c r="J75" s="1565"/>
      <c r="K75" s="1565"/>
    </row>
    <row r="76" spans="1:11" ht="15.75" customHeight="1" thickTop="1" x14ac:dyDescent="0.2">
      <c r="A76" s="1320" t="s">
        <v>876</v>
      </c>
      <c r="B76" s="1322">
        <v>1700</v>
      </c>
      <c r="C76" s="1624"/>
      <c r="D76" s="1565"/>
      <c r="E76" s="1565"/>
      <c r="F76" s="1565"/>
      <c r="G76" s="1565"/>
      <c r="H76" s="1565"/>
      <c r="I76" s="1565"/>
      <c r="J76" s="1565"/>
      <c r="K76" s="1565"/>
    </row>
    <row r="77" spans="1:11" ht="12.75" customHeight="1" x14ac:dyDescent="0.2">
      <c r="A77" s="426" t="s">
        <v>545</v>
      </c>
      <c r="B77" s="428">
        <v>1711</v>
      </c>
      <c r="C77" s="1603"/>
      <c r="D77" s="1563"/>
      <c r="E77" s="1565"/>
      <c r="F77" s="1565"/>
      <c r="G77" s="1565"/>
      <c r="H77" s="1565"/>
      <c r="I77" s="1565"/>
      <c r="J77" s="1565"/>
      <c r="K77" s="1565"/>
    </row>
    <row r="78" spans="1:11" ht="12.75" customHeight="1" x14ac:dyDescent="0.2">
      <c r="A78" s="426" t="s">
        <v>76</v>
      </c>
      <c r="B78" s="428">
        <v>1719</v>
      </c>
      <c r="C78" s="1622"/>
      <c r="D78" s="1563"/>
      <c r="E78" s="1565"/>
      <c r="F78" s="1565"/>
      <c r="G78" s="1565"/>
      <c r="H78" s="1565"/>
      <c r="I78" s="1565"/>
      <c r="J78" s="1565"/>
      <c r="K78" s="1565"/>
    </row>
    <row r="79" spans="1:11" ht="12.75" customHeight="1" x14ac:dyDescent="0.2">
      <c r="A79" s="426" t="s">
        <v>546</v>
      </c>
      <c r="B79" s="428">
        <v>1720</v>
      </c>
      <c r="C79" s="1622"/>
      <c r="D79" s="1563"/>
      <c r="E79" s="1565"/>
      <c r="F79" s="1565"/>
      <c r="G79" s="1565"/>
      <c r="H79" s="1565"/>
      <c r="I79" s="1565"/>
      <c r="J79" s="1565"/>
      <c r="K79" s="1565"/>
    </row>
    <row r="80" spans="1:11" ht="12.75" customHeight="1" x14ac:dyDescent="0.2">
      <c r="A80" s="426" t="s">
        <v>547</v>
      </c>
      <c r="B80" s="428">
        <v>1730</v>
      </c>
      <c r="C80" s="1622"/>
      <c r="D80" s="1563"/>
      <c r="E80" s="1565"/>
      <c r="F80" s="1565"/>
      <c r="G80" s="1565"/>
      <c r="H80" s="1565"/>
      <c r="I80" s="1565"/>
      <c r="J80" s="1565"/>
      <c r="K80" s="1565"/>
    </row>
    <row r="81" spans="1:11" ht="12.75" customHeight="1" x14ac:dyDescent="0.2">
      <c r="A81" s="426" t="s">
        <v>26</v>
      </c>
      <c r="B81" s="428">
        <v>1790</v>
      </c>
      <c r="C81" s="1622"/>
      <c r="D81" s="1563"/>
      <c r="E81" s="1565"/>
      <c r="F81" s="1565"/>
      <c r="G81" s="1565"/>
      <c r="H81" s="1565"/>
      <c r="I81" s="1565"/>
      <c r="J81" s="1565"/>
      <c r="K81" s="1565"/>
    </row>
    <row r="82" spans="1:11" ht="12.75" customHeight="1" thickBot="1" x14ac:dyDescent="0.25">
      <c r="A82" s="1396" t="s">
        <v>239</v>
      </c>
      <c r="B82" s="1397"/>
      <c r="C82" s="1623">
        <f>SUM(C77:C81)</f>
        <v>0</v>
      </c>
      <c r="D82" s="1584">
        <f>SUM(D77:D81)</f>
        <v>0</v>
      </c>
      <c r="E82" s="1565"/>
      <c r="F82" s="1565"/>
      <c r="G82" s="1565"/>
      <c r="H82" s="1565"/>
      <c r="I82" s="1565"/>
      <c r="J82" s="1565"/>
      <c r="K82" s="1565"/>
    </row>
    <row r="83" spans="1:11" ht="15.75" customHeight="1" thickTop="1" x14ac:dyDescent="0.2">
      <c r="A83" s="1320" t="s">
        <v>240</v>
      </c>
      <c r="B83" s="1322">
        <v>1800</v>
      </c>
      <c r="C83" s="1624"/>
      <c r="D83" s="1565"/>
      <c r="E83" s="1565"/>
      <c r="F83" s="1565"/>
      <c r="G83" s="1565"/>
      <c r="H83" s="1565"/>
      <c r="I83" s="1565"/>
      <c r="J83" s="1565"/>
      <c r="K83" s="1565"/>
    </row>
    <row r="84" spans="1:11" ht="12.75" customHeight="1" x14ac:dyDescent="0.2">
      <c r="A84" s="426" t="s">
        <v>548</v>
      </c>
      <c r="B84" s="428">
        <v>1811</v>
      </c>
      <c r="C84" s="1563"/>
      <c r="D84" s="1565"/>
      <c r="E84" s="1565"/>
      <c r="F84" s="1565"/>
      <c r="G84" s="1565"/>
      <c r="H84" s="1565"/>
      <c r="I84" s="1565"/>
      <c r="J84" s="1565"/>
      <c r="K84" s="1565"/>
    </row>
    <row r="85" spans="1:11" ht="12.75" customHeight="1" x14ac:dyDescent="0.2">
      <c r="A85" s="426" t="s">
        <v>549</v>
      </c>
      <c r="B85" s="428">
        <v>1812</v>
      </c>
      <c r="C85" s="1622"/>
      <c r="D85" s="1565"/>
      <c r="E85" s="1565"/>
      <c r="F85" s="1565"/>
      <c r="G85" s="1565"/>
      <c r="H85" s="1565"/>
      <c r="I85" s="1565"/>
      <c r="J85" s="1565"/>
      <c r="K85" s="1565"/>
    </row>
    <row r="86" spans="1:11" ht="12.75" customHeight="1" x14ac:dyDescent="0.2">
      <c r="A86" s="426" t="s">
        <v>992</v>
      </c>
      <c r="B86" s="428">
        <v>1813</v>
      </c>
      <c r="C86" s="1622"/>
      <c r="D86" s="1565"/>
      <c r="E86" s="1565"/>
      <c r="F86" s="1565"/>
      <c r="G86" s="1565"/>
      <c r="H86" s="1565"/>
      <c r="I86" s="1565"/>
      <c r="J86" s="1565"/>
      <c r="K86" s="1565"/>
    </row>
    <row r="87" spans="1:11" ht="12.75" customHeight="1" x14ac:dyDescent="0.2">
      <c r="A87" s="426" t="s">
        <v>77</v>
      </c>
      <c r="B87" s="428">
        <v>1819</v>
      </c>
      <c r="C87" s="1622"/>
      <c r="D87" s="1565"/>
      <c r="E87" s="1565"/>
      <c r="F87" s="1565"/>
      <c r="G87" s="1565"/>
      <c r="H87" s="1565"/>
      <c r="I87" s="1565"/>
      <c r="J87" s="1565"/>
      <c r="K87" s="1565"/>
    </row>
    <row r="88" spans="1:11" ht="12.75" customHeight="1" x14ac:dyDescent="0.2">
      <c r="A88" s="426" t="s">
        <v>550</v>
      </c>
      <c r="B88" s="428">
        <v>1821</v>
      </c>
      <c r="C88" s="1622"/>
      <c r="D88" s="1565"/>
      <c r="E88" s="1565"/>
      <c r="F88" s="1565"/>
      <c r="G88" s="1565"/>
      <c r="H88" s="1565"/>
      <c r="I88" s="1565"/>
      <c r="J88" s="1565"/>
      <c r="K88" s="1565"/>
    </row>
    <row r="89" spans="1:11" ht="12.75" customHeight="1" x14ac:dyDescent="0.2">
      <c r="A89" s="426" t="s">
        <v>709</v>
      </c>
      <c r="B89" s="428">
        <v>1822</v>
      </c>
      <c r="C89" s="1622"/>
      <c r="D89" s="1565"/>
      <c r="E89" s="1565"/>
      <c r="F89" s="1565"/>
      <c r="G89" s="1565"/>
      <c r="H89" s="1565"/>
      <c r="I89" s="1565"/>
      <c r="J89" s="1565"/>
      <c r="K89" s="1565"/>
    </row>
    <row r="90" spans="1:11" ht="12.75" customHeight="1" x14ac:dyDescent="0.2">
      <c r="A90" s="426" t="s">
        <v>138</v>
      </c>
      <c r="B90" s="428">
        <v>1823</v>
      </c>
      <c r="C90" s="1622"/>
      <c r="D90" s="1565"/>
      <c r="E90" s="1565"/>
      <c r="F90" s="1565"/>
      <c r="G90" s="1565"/>
      <c r="H90" s="1565"/>
      <c r="I90" s="1565"/>
      <c r="J90" s="1565"/>
      <c r="K90" s="1565"/>
    </row>
    <row r="91" spans="1:11" ht="12.75" customHeight="1" x14ac:dyDescent="0.2">
      <c r="A91" s="426" t="s">
        <v>27</v>
      </c>
      <c r="B91" s="428">
        <v>1829</v>
      </c>
      <c r="C91" s="1622"/>
      <c r="D91" s="1565"/>
      <c r="E91" s="1565"/>
      <c r="F91" s="1565"/>
      <c r="G91" s="1565"/>
      <c r="H91" s="1565"/>
      <c r="I91" s="1565"/>
      <c r="J91" s="1565"/>
      <c r="K91" s="1565"/>
    </row>
    <row r="92" spans="1:11" ht="12.75" customHeight="1" x14ac:dyDescent="0.2">
      <c r="A92" s="426" t="s">
        <v>757</v>
      </c>
      <c r="B92" s="428">
        <v>1890</v>
      </c>
      <c r="C92" s="1622"/>
      <c r="D92" s="1565"/>
      <c r="E92" s="1565"/>
      <c r="F92" s="1565"/>
      <c r="G92" s="1565"/>
      <c r="H92" s="1565"/>
      <c r="I92" s="1565"/>
      <c r="J92" s="1565"/>
      <c r="K92" s="1565"/>
    </row>
    <row r="93" spans="1:11" ht="12.75" customHeight="1" thickBot="1" x14ac:dyDescent="0.25">
      <c r="A93" s="1396" t="s">
        <v>241</v>
      </c>
      <c r="B93" s="1397"/>
      <c r="C93" s="1584">
        <f>SUM(C84:C92)</f>
        <v>0</v>
      </c>
      <c r="D93" s="1565"/>
      <c r="E93" s="1565"/>
      <c r="F93" s="1565"/>
      <c r="G93" s="1565"/>
      <c r="H93" s="1565"/>
      <c r="I93" s="1565"/>
      <c r="J93" s="1565"/>
      <c r="K93" s="1565"/>
    </row>
    <row r="94" spans="1:11" ht="15.75" customHeight="1" thickTop="1" x14ac:dyDescent="0.2">
      <c r="A94" s="1320" t="s">
        <v>1127</v>
      </c>
      <c r="B94" s="1322">
        <v>1900</v>
      </c>
      <c r="C94" s="1624"/>
      <c r="D94" s="1607"/>
      <c r="E94" s="1565"/>
      <c r="F94" s="1565"/>
      <c r="G94" s="1565"/>
      <c r="H94" s="1565"/>
      <c r="I94" s="1565"/>
      <c r="J94" s="1565"/>
      <c r="K94" s="1565"/>
    </row>
    <row r="95" spans="1:11" ht="12.75" customHeight="1" x14ac:dyDescent="0.2">
      <c r="A95" s="426" t="s">
        <v>1055</v>
      </c>
      <c r="B95" s="428">
        <v>1910</v>
      </c>
      <c r="C95" s="1563">
        <v>125000</v>
      </c>
      <c r="D95" s="1622">
        <v>151116</v>
      </c>
      <c r="E95" s="1607"/>
      <c r="F95" s="1607"/>
      <c r="G95" s="1607"/>
      <c r="H95" s="1607"/>
      <c r="I95" s="1607"/>
      <c r="J95" s="1607"/>
      <c r="K95" s="1607"/>
    </row>
    <row r="96" spans="1:11" ht="12.75" customHeight="1" x14ac:dyDescent="0.2">
      <c r="A96" s="426" t="s">
        <v>388</v>
      </c>
      <c r="B96" s="428">
        <v>1920</v>
      </c>
      <c r="C96" s="1622"/>
      <c r="D96" s="1622"/>
      <c r="E96" s="1574"/>
      <c r="F96" s="1573"/>
      <c r="G96" s="1573"/>
      <c r="H96" s="1573"/>
      <c r="I96" s="1573"/>
      <c r="J96" s="1573"/>
      <c r="K96" s="1573"/>
    </row>
    <row r="97" spans="1:12" ht="12.75" customHeight="1" x14ac:dyDescent="0.2">
      <c r="A97" s="1255" t="s">
        <v>242</v>
      </c>
      <c r="B97" s="476">
        <v>1930</v>
      </c>
      <c r="C97" s="1588"/>
      <c r="D97" s="1564"/>
      <c r="E97" s="1569"/>
      <c r="F97" s="1564"/>
      <c r="G97" s="1564"/>
      <c r="H97" s="1564"/>
      <c r="I97" s="1564"/>
      <c r="J97" s="1564"/>
      <c r="K97" s="1564"/>
    </row>
    <row r="98" spans="1:12" ht="12.75" customHeight="1" x14ac:dyDescent="0.2">
      <c r="A98" s="426" t="s">
        <v>188</v>
      </c>
      <c r="B98" s="428">
        <v>1940</v>
      </c>
      <c r="C98" s="1588"/>
      <c r="D98" s="1563"/>
      <c r="E98" s="1602"/>
      <c r="F98" s="1563"/>
      <c r="G98" s="1602"/>
      <c r="H98" s="1602"/>
      <c r="I98" s="1600"/>
      <c r="J98" s="1602"/>
      <c r="K98" s="1602"/>
    </row>
    <row r="99" spans="1:12" ht="12.75" customHeight="1" x14ac:dyDescent="0.2">
      <c r="A99" s="426" t="s">
        <v>816</v>
      </c>
      <c r="B99" s="428">
        <v>1950</v>
      </c>
      <c r="C99" s="1588">
        <v>26115</v>
      </c>
      <c r="D99" s="1563"/>
      <c r="E99" s="1563"/>
      <c r="F99" s="1563"/>
      <c r="G99" s="1563"/>
      <c r="H99" s="1563"/>
      <c r="I99" s="1565"/>
      <c r="J99" s="1564"/>
      <c r="K99" s="1563"/>
    </row>
    <row r="100" spans="1:12" ht="12.75" customHeight="1" x14ac:dyDescent="0.2">
      <c r="A100" s="426" t="s">
        <v>243</v>
      </c>
      <c r="B100" s="428">
        <v>1960</v>
      </c>
      <c r="C100" s="1588"/>
      <c r="D100" s="1588"/>
      <c r="E100" s="1588"/>
      <c r="F100" s="1588"/>
      <c r="G100" s="1588"/>
      <c r="H100" s="1588"/>
      <c r="I100" s="1564"/>
      <c r="J100" s="1588"/>
      <c r="K100" s="1564"/>
    </row>
    <row r="101" spans="1:12" ht="12.75" customHeight="1" x14ac:dyDescent="0.2">
      <c r="A101" s="426" t="s">
        <v>244</v>
      </c>
      <c r="B101" s="428">
        <v>1970</v>
      </c>
      <c r="C101" s="1588"/>
      <c r="D101" s="1613"/>
      <c r="E101" s="1575"/>
      <c r="F101" s="1613"/>
      <c r="G101" s="1570"/>
      <c r="H101" s="1613"/>
      <c r="I101" s="1565"/>
      <c r="J101" s="1570"/>
      <c r="K101" s="1570"/>
    </row>
    <row r="102" spans="1:12" ht="12.75" customHeight="1" x14ac:dyDescent="0.2">
      <c r="A102" s="426" t="s">
        <v>245</v>
      </c>
      <c r="B102" s="428">
        <v>1980</v>
      </c>
      <c r="C102" s="1588"/>
      <c r="D102" s="1588"/>
      <c r="E102" s="1588"/>
      <c r="F102" s="1588"/>
      <c r="G102" s="1588"/>
      <c r="H102" s="1588"/>
      <c r="I102" s="1564"/>
      <c r="J102" s="1588"/>
      <c r="K102" s="1564"/>
    </row>
    <row r="103" spans="1:12" ht="12.75" customHeight="1" x14ac:dyDescent="0.2">
      <c r="A103" s="426" t="s">
        <v>342</v>
      </c>
      <c r="B103" s="428">
        <v>1983</v>
      </c>
      <c r="C103" s="1565"/>
      <c r="D103" s="1565"/>
      <c r="E103" s="1629"/>
      <c r="F103" s="1565"/>
      <c r="G103" s="1565"/>
      <c r="H103" s="1588"/>
      <c r="I103" s="1565"/>
      <c r="J103" s="1600"/>
      <c r="K103" s="1600"/>
    </row>
    <row r="104" spans="1:12" ht="12.75" customHeight="1" x14ac:dyDescent="0.2">
      <c r="A104" s="426" t="s">
        <v>825</v>
      </c>
      <c r="B104" s="428">
        <v>1991</v>
      </c>
      <c r="C104" s="1588"/>
      <c r="D104" s="1563"/>
      <c r="E104" s="1576"/>
      <c r="F104" s="1564"/>
      <c r="G104" s="1564"/>
      <c r="H104" s="1563"/>
      <c r="I104" s="1565"/>
      <c r="J104" s="1565"/>
      <c r="K104" s="1565"/>
    </row>
    <row r="105" spans="1:12" ht="12.75" customHeight="1" x14ac:dyDescent="0.2">
      <c r="A105" s="426" t="s">
        <v>817</v>
      </c>
      <c r="B105" s="428">
        <v>1992</v>
      </c>
      <c r="C105" s="1563"/>
      <c r="D105" s="1630"/>
      <c r="E105" s="1565"/>
      <c r="F105" s="1565"/>
      <c r="G105" s="1565"/>
      <c r="H105" s="1600"/>
      <c r="I105" s="1565"/>
      <c r="J105" s="1565"/>
      <c r="K105" s="1565"/>
    </row>
    <row r="106" spans="1:12" ht="12.75" customHeight="1" x14ac:dyDescent="0.2">
      <c r="A106" s="426" t="s">
        <v>1413</v>
      </c>
      <c r="B106" s="428">
        <v>1993</v>
      </c>
      <c r="C106" s="1563"/>
      <c r="D106" s="1588"/>
      <c r="E106" s="1564"/>
      <c r="F106" s="1564"/>
      <c r="G106" s="1564"/>
      <c r="H106" s="1564"/>
      <c r="I106" s="1607"/>
      <c r="J106" s="1564"/>
      <c r="K106" s="1564"/>
    </row>
    <row r="107" spans="1:12" ht="12.75" customHeight="1" x14ac:dyDescent="0.2">
      <c r="A107" s="426" t="s">
        <v>78</v>
      </c>
      <c r="B107" s="428">
        <v>1999</v>
      </c>
      <c r="C107" s="1622">
        <v>5577</v>
      </c>
      <c r="D107" s="1563">
        <v>62867</v>
      </c>
      <c r="E107" s="1563"/>
      <c r="F107" s="1563"/>
      <c r="G107" s="1563"/>
      <c r="H107" s="1563"/>
      <c r="I107" s="1563"/>
      <c r="J107" s="1564"/>
      <c r="K107" s="1563"/>
    </row>
    <row r="108" spans="1:12" ht="12.75" customHeight="1" thickBot="1" x14ac:dyDescent="0.25">
      <c r="A108" s="1396" t="s">
        <v>484</v>
      </c>
      <c r="B108" s="1398"/>
      <c r="C108" s="1623">
        <f>SUM(C95:C107)</f>
        <v>156692</v>
      </c>
      <c r="D108" s="1623">
        <f t="shared" ref="D108:K108" si="3">SUM(D95:D107)</f>
        <v>213983</v>
      </c>
      <c r="E108" s="1623">
        <f t="shared" si="3"/>
        <v>0</v>
      </c>
      <c r="F108" s="1623">
        <f t="shared" si="3"/>
        <v>0</v>
      </c>
      <c r="G108" s="1623">
        <f t="shared" si="3"/>
        <v>0</v>
      </c>
      <c r="H108" s="1623">
        <f t="shared" si="3"/>
        <v>0</v>
      </c>
      <c r="I108" s="1623">
        <f t="shared" si="3"/>
        <v>0</v>
      </c>
      <c r="J108" s="1623">
        <f t="shared" si="3"/>
        <v>0</v>
      </c>
      <c r="K108" s="1584">
        <f t="shared" si="3"/>
        <v>0</v>
      </c>
    </row>
    <row r="109" spans="1:12" ht="14.25" thickTop="1" thickBot="1" x14ac:dyDescent="0.25">
      <c r="A109" s="1399" t="s">
        <v>246</v>
      </c>
      <c r="B109" s="1400" t="s">
        <v>566</v>
      </c>
      <c r="C109" s="1631">
        <f t="shared" ref="C109:K109" si="4">SUM(C12,C18,C40,C63,C67,C75,C82,C93,C108,)</f>
        <v>3914656</v>
      </c>
      <c r="D109" s="1631">
        <f t="shared" si="4"/>
        <v>586690</v>
      </c>
      <c r="E109" s="1631">
        <f t="shared" si="4"/>
        <v>1082084</v>
      </c>
      <c r="F109" s="1631">
        <f t="shared" si="4"/>
        <v>978181</v>
      </c>
      <c r="G109" s="1631">
        <f t="shared" si="4"/>
        <v>134055</v>
      </c>
      <c r="H109" s="1631">
        <f t="shared" si="4"/>
        <v>15</v>
      </c>
      <c r="I109" s="1631">
        <f t="shared" si="4"/>
        <v>34790</v>
      </c>
      <c r="J109" s="1631">
        <f t="shared" si="4"/>
        <v>55895</v>
      </c>
      <c r="K109" s="1619">
        <f t="shared" si="4"/>
        <v>-2310</v>
      </c>
    </row>
    <row r="110" spans="1:12" ht="30" customHeight="1" thickTop="1" x14ac:dyDescent="0.2">
      <c r="A110" s="1313" t="s">
        <v>343</v>
      </c>
      <c r="B110" s="1314"/>
      <c r="C110" s="1593"/>
      <c r="D110" s="1593"/>
      <c r="E110" s="1593"/>
      <c r="F110" s="1593"/>
      <c r="G110" s="1593"/>
      <c r="H110" s="1593"/>
      <c r="I110" s="1593"/>
      <c r="J110" s="1593"/>
      <c r="K110" s="1605"/>
    </row>
    <row r="111" spans="1:12" ht="12.75" customHeight="1" x14ac:dyDescent="0.2">
      <c r="A111" s="435" t="s">
        <v>818</v>
      </c>
      <c r="B111" s="434">
        <v>2100</v>
      </c>
      <c r="C111" s="1603"/>
      <c r="D111" s="1576"/>
      <c r="E111" s="1630"/>
      <c r="F111" s="1576"/>
      <c r="G111" s="1576"/>
      <c r="H111" s="1630"/>
      <c r="I111" s="1565"/>
      <c r="J111" s="1565"/>
      <c r="K111" s="1565"/>
    </row>
    <row r="112" spans="1:12" ht="12.75" customHeight="1" x14ac:dyDescent="0.2">
      <c r="A112" s="426" t="s">
        <v>819</v>
      </c>
      <c r="B112" s="428">
        <v>2200</v>
      </c>
      <c r="C112" s="1622"/>
      <c r="D112" s="1563"/>
      <c r="E112" s="1630"/>
      <c r="F112" s="1563"/>
      <c r="G112" s="1563"/>
      <c r="H112" s="1630"/>
      <c r="I112" s="1565"/>
      <c r="J112" s="1565"/>
      <c r="K112" s="1565"/>
      <c r="L112" s="472"/>
    </row>
    <row r="113" spans="1:11" ht="12.75" customHeight="1" x14ac:dyDescent="0.2">
      <c r="A113" s="426" t="s">
        <v>28</v>
      </c>
      <c r="B113" s="428">
        <v>2300</v>
      </c>
      <c r="C113" s="1622"/>
      <c r="D113" s="1563"/>
      <c r="E113" s="1630"/>
      <c r="F113" s="1563"/>
      <c r="G113" s="1563"/>
      <c r="H113" s="1630"/>
      <c r="I113" s="1565"/>
      <c r="J113" s="1565"/>
      <c r="K113" s="1565"/>
    </row>
    <row r="114" spans="1:11" ht="13.5" thickBot="1" x14ac:dyDescent="0.25">
      <c r="A114" s="1401" t="s">
        <v>801</v>
      </c>
      <c r="B114" s="1402" t="s">
        <v>565</v>
      </c>
      <c r="C114" s="1632">
        <f>SUM(C111:C113)</f>
        <v>0</v>
      </c>
      <c r="D114" s="1632">
        <f>SUM(D111:D113)</f>
        <v>0</v>
      </c>
      <c r="E114" s="1630" t="s">
        <v>1159</v>
      </c>
      <c r="F114" s="1632">
        <f>SUM(F111:F113)</f>
        <v>0</v>
      </c>
      <c r="G114" s="1632">
        <f>SUM(G111:G113)</f>
        <v>0</v>
      </c>
      <c r="H114" s="1630"/>
      <c r="I114" s="1565"/>
      <c r="J114" s="1565"/>
      <c r="K114" s="1565"/>
    </row>
    <row r="115" spans="1:11" ht="16.7" customHeight="1" thickTop="1" x14ac:dyDescent="0.2">
      <c r="A115" s="1315" t="s">
        <v>798</v>
      </c>
      <c r="B115" s="1316"/>
      <c r="C115" s="1592"/>
      <c r="D115" s="1593"/>
      <c r="E115" s="1593"/>
      <c r="F115" s="1593"/>
      <c r="G115" s="1593"/>
      <c r="H115" s="1593"/>
      <c r="I115" s="1593"/>
      <c r="J115" s="1593"/>
      <c r="K115" s="1605"/>
    </row>
    <row r="116" spans="1:11" ht="18" customHeight="1" x14ac:dyDescent="0.2">
      <c r="A116" s="1323" t="s">
        <v>1474</v>
      </c>
      <c r="B116" s="1324"/>
      <c r="C116" s="1633"/>
      <c r="D116" s="1607"/>
      <c r="E116" s="1630"/>
      <c r="F116" s="1607"/>
      <c r="G116" s="1607"/>
      <c r="H116" s="1630"/>
      <c r="I116" s="1565"/>
      <c r="J116" s="1607"/>
      <c r="K116" s="1607"/>
    </row>
    <row r="117" spans="1:11" ht="12.75" customHeight="1" x14ac:dyDescent="0.2">
      <c r="A117" s="426" t="s">
        <v>1648</v>
      </c>
      <c r="B117" s="477">
        <v>3001</v>
      </c>
      <c r="C117" s="1603">
        <v>6717686</v>
      </c>
      <c r="D117" s="1576">
        <v>825000</v>
      </c>
      <c r="E117" s="1563"/>
      <c r="F117" s="1576"/>
      <c r="G117" s="1576"/>
      <c r="H117" s="1563"/>
      <c r="I117" s="1565"/>
      <c r="J117" s="1564"/>
      <c r="K117" s="1563"/>
    </row>
    <row r="118" spans="1:11" ht="12.75" customHeight="1" x14ac:dyDescent="0.2">
      <c r="A118" s="426" t="s">
        <v>1773</v>
      </c>
      <c r="B118" s="477">
        <v>3002</v>
      </c>
      <c r="C118" s="1622"/>
      <c r="D118" s="1563"/>
      <c r="E118" s="1563"/>
      <c r="F118" s="1563"/>
      <c r="G118" s="1563"/>
      <c r="H118" s="1563"/>
      <c r="I118" s="1565"/>
      <c r="J118" s="1564"/>
      <c r="K118" s="1563"/>
    </row>
    <row r="119" spans="1:11" ht="12.75" customHeight="1" x14ac:dyDescent="0.2">
      <c r="A119" s="426" t="s">
        <v>1774</v>
      </c>
      <c r="B119" s="477">
        <v>3005</v>
      </c>
      <c r="C119" s="1622"/>
      <c r="D119" s="1563"/>
      <c r="E119" s="1563"/>
      <c r="F119" s="1563"/>
      <c r="G119" s="1563"/>
      <c r="H119" s="1563"/>
      <c r="I119" s="1565"/>
      <c r="J119" s="1564"/>
      <c r="K119" s="1563"/>
    </row>
    <row r="120" spans="1:11" ht="12.75" customHeight="1" x14ac:dyDescent="0.2">
      <c r="A120" s="1529" t="s">
        <v>1892</v>
      </c>
      <c r="B120" s="477">
        <v>3030</v>
      </c>
      <c r="C120" s="1622"/>
      <c r="D120" s="1563"/>
      <c r="E120" s="1563"/>
      <c r="F120" s="1563"/>
      <c r="G120" s="1563"/>
      <c r="H120" s="1563"/>
      <c r="I120" s="1565"/>
      <c r="J120" s="1564"/>
      <c r="K120" s="1563"/>
    </row>
    <row r="121" spans="1:11" x14ac:dyDescent="0.2">
      <c r="A121" s="1256" t="s">
        <v>1775</v>
      </c>
      <c r="B121" s="479">
        <v>3099</v>
      </c>
      <c r="C121" s="1622"/>
      <c r="D121" s="1563"/>
      <c r="E121" s="1563"/>
      <c r="F121" s="1563"/>
      <c r="G121" s="1563"/>
      <c r="H121" s="1563"/>
      <c r="I121" s="1565"/>
      <c r="J121" s="1564"/>
      <c r="K121" s="1563"/>
    </row>
    <row r="122" spans="1:11" ht="12.6" customHeight="1" thickBot="1" x14ac:dyDescent="0.25">
      <c r="A122" s="1396" t="s">
        <v>485</v>
      </c>
      <c r="B122" s="1403"/>
      <c r="C122" s="1623">
        <f t="shared" ref="C122:H122" si="5">SUM(C117:C121)</f>
        <v>6717686</v>
      </c>
      <c r="D122" s="1623">
        <f t="shared" si="5"/>
        <v>825000</v>
      </c>
      <c r="E122" s="1623">
        <f t="shared" si="5"/>
        <v>0</v>
      </c>
      <c r="F122" s="1623">
        <f t="shared" si="5"/>
        <v>0</v>
      </c>
      <c r="G122" s="1623">
        <f t="shared" si="5"/>
        <v>0</v>
      </c>
      <c r="H122" s="1623">
        <f t="shared" si="5"/>
        <v>0</v>
      </c>
      <c r="I122" s="1565"/>
      <c r="J122" s="1623">
        <f>SUM(J117:J121)</f>
        <v>0</v>
      </c>
      <c r="K122" s="1584">
        <f>SUM(K117:K121)</f>
        <v>0</v>
      </c>
    </row>
    <row r="123" spans="1:11" ht="15.75" customHeight="1" thickTop="1" x14ac:dyDescent="0.2">
      <c r="A123" s="1320" t="s">
        <v>1473</v>
      </c>
      <c r="B123" s="1325"/>
      <c r="C123" s="1634"/>
      <c r="D123" s="1599"/>
      <c r="E123" s="1565"/>
      <c r="F123" s="1635"/>
      <c r="G123" s="1565"/>
      <c r="H123" s="1565"/>
      <c r="I123" s="1565"/>
      <c r="J123" s="1565"/>
      <c r="K123" s="1565"/>
    </row>
    <row r="124" spans="1:11" ht="15" customHeight="1" x14ac:dyDescent="0.2">
      <c r="A124" s="1326" t="s">
        <v>662</v>
      </c>
      <c r="B124" s="1327"/>
      <c r="C124" s="1607"/>
      <c r="D124" s="1599"/>
      <c r="E124" s="1565"/>
      <c r="F124" s="1607"/>
      <c r="G124" s="1565"/>
      <c r="H124" s="1565"/>
      <c r="I124" s="1565"/>
      <c r="J124" s="1565"/>
      <c r="K124" s="1565"/>
    </row>
    <row r="125" spans="1:11" ht="12.75" customHeight="1" x14ac:dyDescent="0.2">
      <c r="A125" s="426" t="s">
        <v>861</v>
      </c>
      <c r="B125" s="480">
        <v>3100</v>
      </c>
      <c r="C125" s="1576">
        <v>2870</v>
      </c>
      <c r="D125" s="1630"/>
      <c r="E125" s="1565"/>
      <c r="F125" s="1621"/>
      <c r="G125" s="1565"/>
      <c r="H125" s="1565"/>
      <c r="I125" s="1565"/>
      <c r="J125" s="1565"/>
      <c r="K125" s="1565"/>
    </row>
    <row r="126" spans="1:11" ht="12.75" customHeight="1" x14ac:dyDescent="0.2">
      <c r="A126" s="426" t="s">
        <v>1429</v>
      </c>
      <c r="B126" s="477">
        <v>3105</v>
      </c>
      <c r="C126" s="1563"/>
      <c r="D126" s="1630"/>
      <c r="E126" s="1565"/>
      <c r="F126" s="1563"/>
      <c r="G126" s="1565"/>
      <c r="H126" s="1565"/>
      <c r="I126" s="1565"/>
      <c r="J126" s="1565"/>
      <c r="K126" s="1565"/>
    </row>
    <row r="127" spans="1:11" ht="12.75" customHeight="1" x14ac:dyDescent="0.2">
      <c r="A127" s="426" t="s">
        <v>862</v>
      </c>
      <c r="B127" s="477">
        <v>3110</v>
      </c>
      <c r="C127" s="1622"/>
      <c r="D127" s="1563"/>
      <c r="E127" s="1565"/>
      <c r="F127" s="1563"/>
      <c r="G127" s="1565"/>
      <c r="H127" s="1565"/>
      <c r="I127" s="1565"/>
      <c r="J127" s="1565"/>
      <c r="K127" s="1565"/>
    </row>
    <row r="128" spans="1:11" ht="12.75" customHeight="1" x14ac:dyDescent="0.2">
      <c r="A128" s="426" t="s">
        <v>105</v>
      </c>
      <c r="B128" s="477">
        <v>3120</v>
      </c>
      <c r="C128" s="1563"/>
      <c r="D128" s="1630"/>
      <c r="E128" s="1565"/>
      <c r="F128" s="1563"/>
      <c r="G128" s="1565"/>
      <c r="H128" s="1565"/>
      <c r="I128" s="1565"/>
      <c r="J128" s="1565"/>
      <c r="K128" s="1565"/>
    </row>
    <row r="129" spans="1:11" ht="12.75" customHeight="1" x14ac:dyDescent="0.2">
      <c r="A129" s="426" t="s">
        <v>1430</v>
      </c>
      <c r="B129" s="477">
        <v>3130</v>
      </c>
      <c r="C129" s="1563"/>
      <c r="D129" s="1630"/>
      <c r="E129" s="1565"/>
      <c r="F129" s="1563"/>
      <c r="G129" s="1565"/>
      <c r="H129" s="1565"/>
      <c r="I129" s="1565"/>
      <c r="J129" s="1565"/>
      <c r="K129" s="1565"/>
    </row>
    <row r="130" spans="1:11" ht="12.75" customHeight="1" x14ac:dyDescent="0.2">
      <c r="A130" s="426" t="s">
        <v>136</v>
      </c>
      <c r="B130" s="477">
        <v>3145</v>
      </c>
      <c r="C130" s="1563"/>
      <c r="D130" s="1630"/>
      <c r="E130" s="1565"/>
      <c r="F130" s="1563"/>
      <c r="G130" s="1565"/>
      <c r="H130" s="1565"/>
      <c r="I130" s="1565"/>
      <c r="J130" s="1565"/>
      <c r="K130" s="1565"/>
    </row>
    <row r="131" spans="1:11" ht="12.75" customHeight="1" x14ac:dyDescent="0.2">
      <c r="A131" s="426" t="s">
        <v>66</v>
      </c>
      <c r="B131" s="477">
        <v>3199</v>
      </c>
      <c r="C131" s="1622"/>
      <c r="D131" s="1564"/>
      <c r="E131" s="1565"/>
      <c r="F131" s="1563"/>
      <c r="G131" s="1565"/>
      <c r="H131" s="1565"/>
      <c r="I131" s="1565"/>
      <c r="J131" s="1565"/>
      <c r="K131" s="1565"/>
    </row>
    <row r="132" spans="1:11" ht="12.75" customHeight="1" thickBot="1" x14ac:dyDescent="0.25">
      <c r="A132" s="1396" t="s">
        <v>1025</v>
      </c>
      <c r="B132" s="1404"/>
      <c r="C132" s="1623">
        <f>SUM(C125:C131)</f>
        <v>2870</v>
      </c>
      <c r="D132" s="1623">
        <f>SUM(D125:D131)</f>
        <v>0</v>
      </c>
      <c r="E132" s="1566" t="s">
        <v>1159</v>
      </c>
      <c r="F132" s="1623">
        <f>SUM(F125:F131)</f>
        <v>0</v>
      </c>
      <c r="G132" s="1565" t="s">
        <v>1159</v>
      </c>
      <c r="H132" s="1565" t="s">
        <v>1159</v>
      </c>
      <c r="I132" s="1565" t="s">
        <v>1159</v>
      </c>
      <c r="J132" s="1565" t="s">
        <v>1159</v>
      </c>
      <c r="K132" s="1565" t="s">
        <v>1159</v>
      </c>
    </row>
    <row r="133" spans="1:11" ht="15.75" customHeight="1" thickTop="1" x14ac:dyDescent="0.2">
      <c r="A133" s="1328" t="s">
        <v>248</v>
      </c>
      <c r="B133" s="1329"/>
      <c r="C133" s="1624"/>
      <c r="D133" s="1624"/>
      <c r="E133" s="1599"/>
      <c r="F133" s="1624"/>
      <c r="G133" s="1565"/>
      <c r="H133" s="1565"/>
      <c r="I133" s="1565"/>
      <c r="J133" s="1565"/>
      <c r="K133" s="1565"/>
    </row>
    <row r="134" spans="1:11" x14ac:dyDescent="0.2">
      <c r="A134" s="426" t="s">
        <v>595</v>
      </c>
      <c r="B134" s="477">
        <v>3200</v>
      </c>
      <c r="C134" s="1622"/>
      <c r="D134" s="1563"/>
      <c r="E134" s="1630"/>
      <c r="F134" s="1565"/>
      <c r="G134" s="1563"/>
      <c r="H134" s="1565"/>
      <c r="I134" s="1565"/>
      <c r="J134" s="1565"/>
      <c r="K134" s="1565"/>
    </row>
    <row r="135" spans="1:11" ht="12.75" customHeight="1" x14ac:dyDescent="0.2">
      <c r="A135" s="426" t="s">
        <v>664</v>
      </c>
      <c r="B135" s="477">
        <v>3220</v>
      </c>
      <c r="C135" s="1622">
        <v>0</v>
      </c>
      <c r="D135" s="1563"/>
      <c r="E135" s="1630"/>
      <c r="F135" s="1565"/>
      <c r="G135" s="1564"/>
      <c r="H135" s="1565"/>
      <c r="I135" s="1565"/>
      <c r="J135" s="1565"/>
      <c r="K135" s="1565"/>
    </row>
    <row r="136" spans="1:11" ht="12.75" customHeight="1" x14ac:dyDescent="0.2">
      <c r="A136" s="426" t="s">
        <v>247</v>
      </c>
      <c r="B136" s="477">
        <v>3225</v>
      </c>
      <c r="C136" s="1622"/>
      <c r="D136" s="1563"/>
      <c r="E136" s="1630"/>
      <c r="F136" s="1565"/>
      <c r="G136" s="1564"/>
      <c r="H136" s="1565"/>
      <c r="I136" s="1565"/>
      <c r="J136" s="1565"/>
      <c r="K136" s="1565"/>
    </row>
    <row r="137" spans="1:11" ht="12.75" customHeight="1" x14ac:dyDescent="0.2">
      <c r="A137" s="426" t="s">
        <v>596</v>
      </c>
      <c r="B137" s="477">
        <v>3235</v>
      </c>
      <c r="C137" s="1588"/>
      <c r="D137" s="1564"/>
      <c r="E137" s="1630"/>
      <c r="F137" s="1565"/>
      <c r="G137" s="1564"/>
      <c r="H137" s="1565"/>
      <c r="I137" s="1565"/>
      <c r="J137" s="1565"/>
      <c r="K137" s="1565"/>
    </row>
    <row r="138" spans="1:11" ht="12.75" customHeight="1" x14ac:dyDescent="0.2">
      <c r="A138" s="426" t="s">
        <v>597</v>
      </c>
      <c r="B138" s="477">
        <v>3240</v>
      </c>
      <c r="C138" s="1588"/>
      <c r="D138" s="1564"/>
      <c r="E138" s="1630"/>
      <c r="F138" s="1565"/>
      <c r="G138" s="1564"/>
      <c r="H138" s="1565"/>
      <c r="I138" s="1565"/>
      <c r="J138" s="1565"/>
      <c r="K138" s="1565"/>
    </row>
    <row r="139" spans="1:11" ht="12.75" customHeight="1" x14ac:dyDescent="0.2">
      <c r="A139" s="426" t="s">
        <v>598</v>
      </c>
      <c r="B139" s="477">
        <v>3270</v>
      </c>
      <c r="C139" s="1588"/>
      <c r="D139" s="1564"/>
      <c r="E139" s="1630"/>
      <c r="F139" s="1565"/>
      <c r="G139" s="1564"/>
      <c r="H139" s="1565"/>
      <c r="I139" s="1565"/>
      <c r="J139" s="1565"/>
      <c r="K139" s="1565"/>
    </row>
    <row r="140" spans="1:11" ht="12.75" customHeight="1" x14ac:dyDescent="0.2">
      <c r="A140" s="426" t="s">
        <v>67</v>
      </c>
      <c r="B140" s="477">
        <v>3299</v>
      </c>
      <c r="C140" s="1622"/>
      <c r="D140" s="1563"/>
      <c r="E140" s="1630"/>
      <c r="F140" s="1572"/>
      <c r="G140" s="1564"/>
      <c r="H140" s="1565"/>
      <c r="I140" s="1565"/>
      <c r="J140" s="1565"/>
      <c r="K140" s="1565"/>
    </row>
    <row r="141" spans="1:11" ht="12.75" customHeight="1" thickBot="1" x14ac:dyDescent="0.25">
      <c r="A141" s="1396" t="s">
        <v>599</v>
      </c>
      <c r="B141" s="1404"/>
      <c r="C141" s="1623">
        <f>SUM(C134:C140)</f>
        <v>0</v>
      </c>
      <c r="D141" s="1623">
        <f>SUM(D134:D140)</f>
        <v>0</v>
      </c>
      <c r="E141" s="1630" t="s">
        <v>1159</v>
      </c>
      <c r="F141" s="1572"/>
      <c r="G141" s="1623">
        <f>SUM(G134:G140)</f>
        <v>0</v>
      </c>
      <c r="H141" s="1565" t="s">
        <v>1159</v>
      </c>
      <c r="I141" s="1565" t="s">
        <v>1159</v>
      </c>
      <c r="J141" s="1565" t="s">
        <v>1159</v>
      </c>
      <c r="K141" s="1565" t="s">
        <v>1159</v>
      </c>
    </row>
    <row r="142" spans="1:11" ht="15.75" customHeight="1" thickTop="1" x14ac:dyDescent="0.2">
      <c r="A142" s="1328" t="s">
        <v>665</v>
      </c>
      <c r="B142" s="1329"/>
      <c r="C142" s="1624"/>
      <c r="D142" s="1635"/>
      <c r="E142" s="1630"/>
      <c r="F142" s="1624"/>
      <c r="G142" s="1624"/>
      <c r="H142" s="1565"/>
      <c r="I142" s="1565"/>
      <c r="J142" s="1565"/>
      <c r="K142" s="1565"/>
    </row>
    <row r="143" spans="1:11" ht="12.75" customHeight="1" x14ac:dyDescent="0.2">
      <c r="A143" s="426" t="s">
        <v>600</v>
      </c>
      <c r="B143" s="477">
        <v>3305</v>
      </c>
      <c r="C143" s="1563"/>
      <c r="D143" s="1565"/>
      <c r="E143" s="1630"/>
      <c r="F143" s="1565"/>
      <c r="G143" s="1563"/>
      <c r="H143" s="1565"/>
      <c r="I143" s="1565"/>
      <c r="J143" s="1565"/>
      <c r="K143" s="1565"/>
    </row>
    <row r="144" spans="1:11" ht="12.75" customHeight="1" x14ac:dyDescent="0.2">
      <c r="A144" s="426" t="s">
        <v>344</v>
      </c>
      <c r="B144" s="477">
        <v>3310</v>
      </c>
      <c r="C144" s="1622"/>
      <c r="D144" s="1565"/>
      <c r="E144" s="1630"/>
      <c r="F144" s="1565"/>
      <c r="G144" s="1563"/>
      <c r="H144" s="1565"/>
      <c r="I144" s="1565"/>
      <c r="J144" s="1565"/>
      <c r="K144" s="1565"/>
    </row>
    <row r="145" spans="1:11" s="196" customFormat="1" ht="13.5" thickBot="1" x14ac:dyDescent="0.25">
      <c r="A145" s="1396" t="s">
        <v>393</v>
      </c>
      <c r="B145" s="1404"/>
      <c r="C145" s="1584">
        <f>SUM(C143:C144)</f>
        <v>0</v>
      </c>
      <c r="D145" s="1565"/>
      <c r="E145" s="1599"/>
      <c r="F145" s="1565"/>
      <c r="G145" s="1591">
        <f>SUM(G143:G144)</f>
        <v>0</v>
      </c>
      <c r="H145" s="1565"/>
      <c r="I145" s="1565"/>
      <c r="J145" s="1565"/>
      <c r="K145" s="1565"/>
    </row>
    <row r="146" spans="1:11" s="196" customFormat="1" ht="12.75" customHeight="1" thickTop="1" x14ac:dyDescent="0.2">
      <c r="A146" s="1258" t="s">
        <v>1047</v>
      </c>
      <c r="B146" s="481">
        <v>3360</v>
      </c>
      <c r="C146" s="1636">
        <v>8958</v>
      </c>
      <c r="D146" s="1637"/>
      <c r="E146" s="1599"/>
      <c r="F146" s="1565"/>
      <c r="G146" s="1638"/>
      <c r="H146" s="1565"/>
      <c r="I146" s="1565"/>
      <c r="J146" s="1565"/>
      <c r="K146" s="1565"/>
    </row>
    <row r="147" spans="1:11" ht="12.75" customHeight="1" thickBot="1" x14ac:dyDescent="0.25">
      <c r="A147" s="1259" t="s">
        <v>916</v>
      </c>
      <c r="B147" s="482">
        <v>3365</v>
      </c>
      <c r="C147" s="1639"/>
      <c r="D147" s="1618"/>
      <c r="E147" s="1630"/>
      <c r="F147" s="1565"/>
      <c r="G147" s="1618"/>
      <c r="H147" s="1565"/>
      <c r="I147" s="1565"/>
      <c r="J147" s="1565"/>
      <c r="K147" s="1565"/>
    </row>
    <row r="148" spans="1:11" ht="12.75" customHeight="1" thickTop="1" thickBot="1" x14ac:dyDescent="0.25">
      <c r="A148" s="1260" t="s">
        <v>137</v>
      </c>
      <c r="B148" s="483">
        <v>3370</v>
      </c>
      <c r="C148" s="1639"/>
      <c r="D148" s="1639"/>
      <c r="E148" s="1599"/>
      <c r="F148" s="1565"/>
      <c r="G148" s="1565"/>
      <c r="H148" s="1565"/>
      <c r="I148" s="1565"/>
      <c r="J148" s="1565"/>
      <c r="K148" s="1565"/>
    </row>
    <row r="149" spans="1:11" ht="12.75" customHeight="1" thickTop="1" thickBot="1" x14ac:dyDescent="0.25">
      <c r="A149" s="1260" t="s">
        <v>762</v>
      </c>
      <c r="B149" s="483">
        <v>3410</v>
      </c>
      <c r="C149" s="1640"/>
      <c r="D149" s="1641"/>
      <c r="E149" s="1642"/>
      <c r="F149" s="1616"/>
      <c r="G149" s="1616"/>
      <c r="H149" s="1616"/>
      <c r="I149" s="1616"/>
      <c r="J149" s="1616"/>
      <c r="K149" s="1616"/>
    </row>
    <row r="150" spans="1:11" ht="12.75" customHeight="1" thickTop="1" thickBot="1" x14ac:dyDescent="0.25">
      <c r="A150" s="1260" t="s">
        <v>68</v>
      </c>
      <c r="B150" s="483">
        <v>3499</v>
      </c>
      <c r="C150" s="1640"/>
      <c r="D150" s="1641"/>
      <c r="E150" s="1618"/>
      <c r="F150" s="1618"/>
      <c r="G150" s="1618"/>
      <c r="H150" s="1618"/>
      <c r="I150" s="1618"/>
      <c r="J150" s="1618"/>
      <c r="K150" s="1618"/>
    </row>
    <row r="151" spans="1:11" ht="15.75" customHeight="1" thickTop="1" x14ac:dyDescent="0.2">
      <c r="A151" s="1328" t="s">
        <v>450</v>
      </c>
      <c r="B151" s="1330"/>
      <c r="C151" s="1624"/>
      <c r="D151" s="1565"/>
      <c r="E151" s="1630"/>
      <c r="F151" s="1565"/>
      <c r="G151" s="1565"/>
      <c r="H151" s="1565"/>
      <c r="I151" s="1565"/>
      <c r="J151" s="1565"/>
      <c r="K151" s="1565"/>
    </row>
    <row r="152" spans="1:11" ht="12.75" customHeight="1" x14ac:dyDescent="0.2">
      <c r="A152" s="426" t="s">
        <v>1431</v>
      </c>
      <c r="B152" s="477">
        <v>3500</v>
      </c>
      <c r="C152" s="1622"/>
      <c r="D152" s="1563"/>
      <c r="E152" s="1630"/>
      <c r="F152" s="1563">
        <v>447410</v>
      </c>
      <c r="G152" s="1564"/>
      <c r="H152" s="1565"/>
      <c r="I152" s="1565"/>
      <c r="J152" s="1565"/>
      <c r="K152" s="1565"/>
    </row>
    <row r="153" spans="1:11" ht="12.75" customHeight="1" x14ac:dyDescent="0.2">
      <c r="A153" s="426" t="s">
        <v>1048</v>
      </c>
      <c r="B153" s="477">
        <v>3510</v>
      </c>
      <c r="C153" s="1622"/>
      <c r="D153" s="1563"/>
      <c r="E153" s="1630"/>
      <c r="F153" s="1563">
        <v>328548</v>
      </c>
      <c r="G153" s="1564"/>
      <c r="H153" s="1565"/>
      <c r="I153" s="1565"/>
      <c r="J153" s="1565"/>
      <c r="K153" s="1565"/>
    </row>
    <row r="154" spans="1:11" ht="12.75" customHeight="1" x14ac:dyDescent="0.2">
      <c r="A154" s="426" t="s">
        <v>69</v>
      </c>
      <c r="B154" s="477">
        <v>3599</v>
      </c>
      <c r="C154" s="1622"/>
      <c r="D154" s="1563"/>
      <c r="E154" s="1630"/>
      <c r="F154" s="1563"/>
      <c r="G154" s="1564"/>
      <c r="H154" s="1565"/>
      <c r="I154" s="1565"/>
      <c r="J154" s="1565"/>
      <c r="K154" s="1565"/>
    </row>
    <row r="155" spans="1:11" ht="12.75" customHeight="1" thickBot="1" x14ac:dyDescent="0.25">
      <c r="A155" s="1396" t="s">
        <v>94</v>
      </c>
      <c r="B155" s="1404"/>
      <c r="C155" s="1623">
        <f>SUM(C152:C154)</f>
        <v>0</v>
      </c>
      <c r="D155" s="1623">
        <f>SUM(D152:D154)</f>
        <v>0</v>
      </c>
      <c r="E155" s="1630"/>
      <c r="F155" s="1623">
        <f>SUM(F152:F154)</f>
        <v>775958</v>
      </c>
      <c r="G155" s="1623">
        <f>SUM(G152:G154)</f>
        <v>0</v>
      </c>
      <c r="H155" s="1565"/>
      <c r="I155" s="1565"/>
      <c r="J155" s="1565"/>
      <c r="K155" s="1565"/>
    </row>
    <row r="156" spans="1:11" ht="12.75" customHeight="1" thickTop="1" thickBot="1" x14ac:dyDescent="0.25">
      <c r="A156" s="1260" t="s">
        <v>377</v>
      </c>
      <c r="B156" s="483">
        <v>3610</v>
      </c>
      <c r="C156" s="1641"/>
      <c r="D156" s="1565"/>
      <c r="E156" s="1599"/>
      <c r="F156" s="1565"/>
      <c r="G156" s="1565"/>
      <c r="H156" s="1565"/>
      <c r="I156" s="1565"/>
      <c r="J156" s="1565"/>
      <c r="K156" s="1565"/>
    </row>
    <row r="157" spans="1:11" ht="12.75" customHeight="1" thickTop="1" thickBot="1" x14ac:dyDescent="0.25">
      <c r="A157" s="1260" t="s">
        <v>50</v>
      </c>
      <c r="B157" s="483">
        <v>3660</v>
      </c>
      <c r="C157" s="1639"/>
      <c r="D157" s="1643"/>
      <c r="E157" s="1630"/>
      <c r="F157" s="1643"/>
      <c r="G157" s="1643"/>
      <c r="H157" s="1565"/>
      <c r="I157" s="1565"/>
      <c r="J157" s="1565"/>
      <c r="K157" s="1565"/>
    </row>
    <row r="158" spans="1:11" ht="12.75" customHeight="1" thickTop="1" thickBot="1" x14ac:dyDescent="0.25">
      <c r="A158" s="1260" t="s">
        <v>993</v>
      </c>
      <c r="B158" s="483">
        <v>3695</v>
      </c>
      <c r="C158" s="1641"/>
      <c r="D158" s="1565"/>
      <c r="E158" s="1630"/>
      <c r="F158" s="1641"/>
      <c r="G158" s="1641"/>
      <c r="H158" s="1565"/>
      <c r="I158" s="1565"/>
      <c r="J158" s="1565"/>
      <c r="K158" s="1565"/>
    </row>
    <row r="159" spans="1:11" ht="12.75" customHeight="1" thickTop="1" thickBot="1" x14ac:dyDescent="0.25">
      <c r="A159" s="1260" t="s">
        <v>1042</v>
      </c>
      <c r="B159" s="483">
        <v>3705</v>
      </c>
      <c r="C159" s="1641">
        <v>404162</v>
      </c>
      <c r="D159" s="1643"/>
      <c r="E159" s="1630"/>
      <c r="F159" s="1641"/>
      <c r="G159" s="1641"/>
      <c r="H159" s="1565"/>
      <c r="I159" s="1565"/>
      <c r="J159" s="1565"/>
      <c r="K159" s="1565"/>
    </row>
    <row r="160" spans="1:11" ht="12.75" customHeight="1" thickTop="1" thickBot="1" x14ac:dyDescent="0.25">
      <c r="A160" s="1260" t="s">
        <v>39</v>
      </c>
      <c r="B160" s="483">
        <v>3766</v>
      </c>
      <c r="C160" s="1641"/>
      <c r="D160" s="1643"/>
      <c r="E160" s="1630"/>
      <c r="F160" s="1641"/>
      <c r="G160" s="1617"/>
      <c r="H160" s="1565"/>
      <c r="I160" s="1565"/>
      <c r="J160" s="1565"/>
      <c r="K160" s="1565"/>
    </row>
    <row r="161" spans="1:11" ht="12.75" customHeight="1" thickTop="1" thickBot="1" x14ac:dyDescent="0.25">
      <c r="A161" s="1260" t="s">
        <v>978</v>
      </c>
      <c r="B161" s="483">
        <v>3767</v>
      </c>
      <c r="C161" s="1641"/>
      <c r="D161" s="1617"/>
      <c r="E161" s="1630"/>
      <c r="F161" s="1617"/>
      <c r="G161" s="1617"/>
      <c r="H161" s="1565"/>
      <c r="I161" s="1565"/>
      <c r="J161" s="1565"/>
      <c r="K161" s="1565"/>
    </row>
    <row r="162" spans="1:11" ht="12.75" customHeight="1" thickTop="1" thickBot="1" x14ac:dyDescent="0.25">
      <c r="A162" s="1260" t="s">
        <v>979</v>
      </c>
      <c r="B162" s="483">
        <v>3775</v>
      </c>
      <c r="C162" s="1641"/>
      <c r="D162" s="1639"/>
      <c r="E162" s="1616"/>
      <c r="F162" s="1639"/>
      <c r="G162" s="1618"/>
      <c r="H162" s="1616"/>
      <c r="I162" s="1565"/>
      <c r="J162" s="1565"/>
      <c r="K162" s="1616"/>
    </row>
    <row r="163" spans="1:11" ht="12.75" customHeight="1" thickTop="1" thickBot="1" x14ac:dyDescent="0.25">
      <c r="A163" s="1260" t="s">
        <v>1432</v>
      </c>
      <c r="B163" s="483">
        <v>3780</v>
      </c>
      <c r="C163" s="1617"/>
      <c r="D163" s="1616"/>
      <c r="E163" s="1617"/>
      <c r="F163" s="1617"/>
      <c r="G163" s="1617"/>
      <c r="H163" s="1617"/>
      <c r="I163" s="1565"/>
      <c r="J163" s="1565"/>
      <c r="K163" s="1617"/>
    </row>
    <row r="164" spans="1:11" ht="12.75" customHeight="1" thickTop="1" thickBot="1" x14ac:dyDescent="0.25">
      <c r="A164" s="1260" t="s">
        <v>853</v>
      </c>
      <c r="B164" s="483">
        <v>3815</v>
      </c>
      <c r="C164" s="1641"/>
      <c r="D164" s="1565"/>
      <c r="E164" s="1630"/>
      <c r="F164" s="1641"/>
      <c r="G164" s="1565"/>
      <c r="H164" s="1565"/>
      <c r="I164" s="1565"/>
      <c r="J164" s="1565"/>
      <c r="K164" s="1565"/>
    </row>
    <row r="165" spans="1:11" ht="12.75" customHeight="1" thickTop="1" thickBot="1" x14ac:dyDescent="0.25">
      <c r="A165" s="1260" t="s">
        <v>394</v>
      </c>
      <c r="B165" s="483">
        <v>3825</v>
      </c>
      <c r="C165" s="1641"/>
      <c r="D165" s="1565"/>
      <c r="E165" s="1630"/>
      <c r="F165" s="1641"/>
      <c r="G165" s="1565"/>
      <c r="H165" s="1565"/>
      <c r="I165" s="1565"/>
      <c r="J165" s="1565"/>
      <c r="K165" s="1565"/>
    </row>
    <row r="166" spans="1:11" ht="12.75" customHeight="1" thickTop="1" thickBot="1" x14ac:dyDescent="0.25">
      <c r="A166" s="1260" t="s">
        <v>345</v>
      </c>
      <c r="B166" s="483">
        <v>3920</v>
      </c>
      <c r="C166" s="1635"/>
      <c r="D166" s="1643"/>
      <c r="E166" s="1565"/>
      <c r="F166" s="1635"/>
      <c r="G166" s="1565"/>
      <c r="H166" s="1616"/>
      <c r="I166" s="1565"/>
      <c r="J166" s="1565"/>
      <c r="K166" s="1565"/>
    </row>
    <row r="167" spans="1:11" ht="12.75" customHeight="1" thickTop="1" thickBot="1" x14ac:dyDescent="0.25">
      <c r="A167" s="1260" t="s">
        <v>346</v>
      </c>
      <c r="B167" s="483">
        <v>3925</v>
      </c>
      <c r="C167" s="1607"/>
      <c r="D167" s="1641"/>
      <c r="E167" s="1607"/>
      <c r="F167" s="1607"/>
      <c r="G167" s="1565"/>
      <c r="H167" s="1617"/>
      <c r="I167" s="1565"/>
      <c r="J167" s="1565"/>
      <c r="K167" s="1616"/>
    </row>
    <row r="168" spans="1:11" ht="14.25" thickTop="1" thickBot="1" x14ac:dyDescent="0.25">
      <c r="A168" s="1260" t="s">
        <v>70</v>
      </c>
      <c r="B168" s="483">
        <v>3999</v>
      </c>
      <c r="C168" s="1644">
        <v>37295</v>
      </c>
      <c r="D168" s="1645"/>
      <c r="E168" s="1645"/>
      <c r="F168" s="1645"/>
      <c r="G168" s="1646"/>
      <c r="H168" s="1647"/>
      <c r="I168" s="1646"/>
      <c r="J168" s="1646"/>
      <c r="K168" s="1647"/>
    </row>
    <row r="169" spans="1:11" ht="12.75" customHeight="1" thickTop="1" thickBot="1" x14ac:dyDescent="0.25">
      <c r="A169" s="2298" t="s">
        <v>395</v>
      </c>
      <c r="B169" s="2299"/>
      <c r="C169" s="1648">
        <f t="shared" ref="C169:K169" si="6">SUM(C132,C141,C145,C146:C150,C155,C156:C167,C168)</f>
        <v>453285</v>
      </c>
      <c r="D169" s="1648">
        <f t="shared" si="6"/>
        <v>0</v>
      </c>
      <c r="E169" s="1648">
        <f t="shared" si="6"/>
        <v>0</v>
      </c>
      <c r="F169" s="1648">
        <f t="shared" si="6"/>
        <v>775958</v>
      </c>
      <c r="G169" s="1648">
        <f t="shared" si="6"/>
        <v>0</v>
      </c>
      <c r="H169" s="1648">
        <f t="shared" si="6"/>
        <v>0</v>
      </c>
      <c r="I169" s="1648">
        <f t="shared" si="6"/>
        <v>0</v>
      </c>
      <c r="J169" s="1648">
        <f t="shared" si="6"/>
        <v>0</v>
      </c>
      <c r="K169" s="1614">
        <f t="shared" si="6"/>
        <v>0</v>
      </c>
    </row>
    <row r="170" spans="1:11" ht="12.75" customHeight="1" thickTop="1" thickBot="1" x14ac:dyDescent="0.25">
      <c r="A170" s="1396" t="s">
        <v>396</v>
      </c>
      <c r="B170" s="1400" t="s">
        <v>571</v>
      </c>
      <c r="C170" s="1631">
        <f t="shared" ref="C170:K170" si="7">SUM(C122,C169)</f>
        <v>7170971</v>
      </c>
      <c r="D170" s="1631">
        <f t="shared" si="7"/>
        <v>825000</v>
      </c>
      <c r="E170" s="1631">
        <f t="shared" si="7"/>
        <v>0</v>
      </c>
      <c r="F170" s="1631">
        <f t="shared" si="7"/>
        <v>775958</v>
      </c>
      <c r="G170" s="1631">
        <f t="shared" si="7"/>
        <v>0</v>
      </c>
      <c r="H170" s="1631">
        <f t="shared" si="7"/>
        <v>0</v>
      </c>
      <c r="I170" s="1631">
        <f t="shared" si="7"/>
        <v>0</v>
      </c>
      <c r="J170" s="1631">
        <f t="shared" si="7"/>
        <v>0</v>
      </c>
      <c r="K170" s="1619">
        <f t="shared" si="7"/>
        <v>0</v>
      </c>
    </row>
    <row r="171" spans="1:11" ht="16.7" customHeight="1" thickTop="1" x14ac:dyDescent="0.2">
      <c r="A171" s="1317" t="s">
        <v>799</v>
      </c>
      <c r="B171" s="1300"/>
      <c r="C171" s="1592"/>
      <c r="D171" s="1593"/>
      <c r="E171" s="1593"/>
      <c r="F171" s="1593"/>
      <c r="G171" s="1593"/>
      <c r="H171" s="1593"/>
      <c r="I171" s="1593"/>
      <c r="J171" s="1593"/>
      <c r="K171" s="1605"/>
    </row>
    <row r="172" spans="1:11" ht="15.75" customHeight="1" x14ac:dyDescent="0.2">
      <c r="A172" s="2300" t="s">
        <v>1475</v>
      </c>
      <c r="B172" s="2301"/>
      <c r="C172" s="1606"/>
      <c r="D172" s="1606"/>
      <c r="E172" s="1599"/>
      <c r="F172" s="1565"/>
      <c r="G172" s="1565"/>
      <c r="H172" s="1565"/>
      <c r="I172" s="1565"/>
      <c r="J172" s="1565"/>
      <c r="K172" s="1565"/>
    </row>
    <row r="173" spans="1:11" ht="12.6" customHeight="1" x14ac:dyDescent="0.2">
      <c r="A173" s="435" t="s">
        <v>1035</v>
      </c>
      <c r="B173" s="434">
        <v>4001</v>
      </c>
      <c r="C173" s="1603"/>
      <c r="D173" s="1576"/>
      <c r="E173" s="1564"/>
      <c r="F173" s="1563"/>
      <c r="G173" s="1563"/>
      <c r="H173" s="1564"/>
      <c r="I173" s="1564"/>
      <c r="J173" s="1564"/>
      <c r="K173" s="1564"/>
    </row>
    <row r="174" spans="1:11" ht="22.5" x14ac:dyDescent="0.2">
      <c r="A174" s="478" t="s">
        <v>800</v>
      </c>
      <c r="B174" s="484">
        <v>4009</v>
      </c>
      <c r="C174" s="1622"/>
      <c r="D174" s="1563"/>
      <c r="E174" s="1564"/>
      <c r="F174" s="1563"/>
      <c r="G174" s="1563"/>
      <c r="H174" s="1564"/>
      <c r="I174" s="1564"/>
      <c r="J174" s="1564"/>
      <c r="K174" s="1564"/>
    </row>
    <row r="175" spans="1:11" ht="13.5" thickBot="1" x14ac:dyDescent="0.25">
      <c r="A175" s="2304" t="s">
        <v>1646</v>
      </c>
      <c r="B175" s="2305"/>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4">
        <f t="shared" si="8"/>
        <v>0</v>
      </c>
    </row>
    <row r="176" spans="1:11" s="420" customFormat="1" ht="15.75" customHeight="1" thickTop="1" x14ac:dyDescent="0.2">
      <c r="A176" s="2308" t="s">
        <v>1645</v>
      </c>
      <c r="B176" s="2309"/>
      <c r="C176" s="1649"/>
      <c r="D176" s="1650"/>
      <c r="E176" s="1651"/>
      <c r="F176" s="1652"/>
      <c r="G176" s="1652"/>
      <c r="H176" s="1652"/>
      <c r="I176" s="1652"/>
      <c r="J176" s="1652"/>
      <c r="K176" s="1652"/>
    </row>
    <row r="177" spans="1:11" ht="12.75" customHeight="1" x14ac:dyDescent="0.2">
      <c r="A177" s="426" t="s">
        <v>1036</v>
      </c>
      <c r="B177" s="428">
        <v>4045</v>
      </c>
      <c r="C177" s="1622"/>
      <c r="D177" s="1565"/>
      <c r="E177" s="1630"/>
      <c r="F177" s="1565"/>
      <c r="G177" s="1565"/>
      <c r="H177" s="1565"/>
      <c r="I177" s="1565"/>
      <c r="J177" s="1565"/>
      <c r="K177" s="1565"/>
    </row>
    <row r="178" spans="1:11" ht="12.75" customHeight="1" x14ac:dyDescent="0.2">
      <c r="A178" s="426" t="s">
        <v>1037</v>
      </c>
      <c r="B178" s="428">
        <v>4050</v>
      </c>
      <c r="C178" s="1622"/>
      <c r="D178" s="1564"/>
      <c r="E178" s="1630"/>
      <c r="F178" s="1565"/>
      <c r="G178" s="1565"/>
      <c r="H178" s="1564"/>
      <c r="I178" s="1565"/>
      <c r="J178" s="1565"/>
      <c r="K178" s="1565"/>
    </row>
    <row r="179" spans="1:11" ht="12.75" customHeight="1" x14ac:dyDescent="0.2">
      <c r="A179" s="426" t="s">
        <v>258</v>
      </c>
      <c r="B179" s="428">
        <v>4060</v>
      </c>
      <c r="C179" s="1603"/>
      <c r="D179" s="1563"/>
      <c r="E179" s="1565"/>
      <c r="F179" s="1563"/>
      <c r="G179" s="1563"/>
      <c r="H179" s="1563"/>
      <c r="I179" s="1565"/>
      <c r="J179" s="1565"/>
      <c r="K179" s="1607"/>
    </row>
    <row r="180" spans="1:11" ht="22.5" x14ac:dyDescent="0.2">
      <c r="A180" s="478" t="s">
        <v>781</v>
      </c>
      <c r="B180" s="484">
        <v>4090</v>
      </c>
      <c r="C180" s="1622"/>
      <c r="D180" s="1563"/>
      <c r="E180" s="1565"/>
      <c r="F180" s="1563"/>
      <c r="G180" s="1563"/>
      <c r="H180" s="1563"/>
      <c r="I180" s="1565"/>
      <c r="J180" s="1565"/>
      <c r="K180" s="1563"/>
    </row>
    <row r="181" spans="1:11" ht="13.5" thickBot="1" x14ac:dyDescent="0.25">
      <c r="A181" s="2306" t="s">
        <v>780</v>
      </c>
      <c r="B181" s="2307"/>
      <c r="C181" s="1623">
        <f>SUM(C177:C180)</f>
        <v>0</v>
      </c>
      <c r="D181" s="1623">
        <f>SUM(D177:D180)</f>
        <v>0</v>
      </c>
      <c r="E181" s="1565"/>
      <c r="F181" s="1623">
        <f>SUM(F177:F180)</f>
        <v>0</v>
      </c>
      <c r="G181" s="1623">
        <f>SUM(G177:G180)</f>
        <v>0</v>
      </c>
      <c r="H181" s="1623">
        <f>SUM(H177:H180)</f>
        <v>0</v>
      </c>
      <c r="I181" s="1565"/>
      <c r="J181" s="1565"/>
      <c r="K181" s="1584">
        <f>SUM(K177:K180)</f>
        <v>0</v>
      </c>
    </row>
    <row r="182" spans="1:11" ht="22.5" customHeight="1" thickTop="1" x14ac:dyDescent="0.2">
      <c r="A182" s="2302" t="s">
        <v>1777</v>
      </c>
      <c r="B182" s="2303"/>
      <c r="C182" s="1653"/>
      <c r="D182" s="1635"/>
      <c r="E182" s="1599"/>
      <c r="F182" s="1635"/>
      <c r="G182" s="1635"/>
      <c r="H182" s="1565"/>
      <c r="I182" s="1565"/>
      <c r="J182" s="1565"/>
      <c r="K182" s="1565"/>
    </row>
    <row r="183" spans="1:11" ht="15.75" customHeight="1" x14ac:dyDescent="0.2">
      <c r="A183" s="1331" t="s">
        <v>1585</v>
      </c>
      <c r="B183" s="1332"/>
      <c r="C183" s="1633"/>
      <c r="D183" s="1607"/>
      <c r="E183" s="1599"/>
      <c r="F183" s="1607"/>
      <c r="G183" s="1607"/>
      <c r="H183" s="1565"/>
      <c r="I183" s="1565"/>
      <c r="J183" s="1565"/>
      <c r="K183" s="1565"/>
    </row>
    <row r="184" spans="1:11" ht="12.75" customHeight="1" x14ac:dyDescent="0.2">
      <c r="A184" s="426" t="s">
        <v>1586</v>
      </c>
      <c r="B184" s="428">
        <v>4100</v>
      </c>
      <c r="C184" s="1603"/>
      <c r="D184" s="1576"/>
      <c r="E184" s="1630"/>
      <c r="F184" s="1576"/>
      <c r="G184" s="1576"/>
      <c r="H184" s="1565"/>
      <c r="I184" s="1565"/>
      <c r="J184" s="1565"/>
      <c r="K184" s="1565"/>
    </row>
    <row r="185" spans="1:11" ht="12.75" customHeight="1" x14ac:dyDescent="0.2">
      <c r="A185" s="426" t="s">
        <v>1587</v>
      </c>
      <c r="B185" s="428">
        <v>4105</v>
      </c>
      <c r="C185" s="1622"/>
      <c r="D185" s="1563"/>
      <c r="E185" s="1630"/>
      <c r="F185" s="1563"/>
      <c r="G185" s="1563"/>
      <c r="H185" s="1565"/>
      <c r="I185" s="1565"/>
      <c r="J185" s="1565"/>
      <c r="K185" s="1565"/>
    </row>
    <row r="186" spans="1:11" ht="12.75" customHeight="1" x14ac:dyDescent="0.2">
      <c r="A186" s="426" t="s">
        <v>1589</v>
      </c>
      <c r="B186" s="428">
        <v>4107</v>
      </c>
      <c r="C186" s="1622"/>
      <c r="D186" s="1563"/>
      <c r="E186" s="1630"/>
      <c r="F186" s="1563"/>
      <c r="G186" s="1563"/>
      <c r="H186" s="1565"/>
      <c r="I186" s="1565"/>
      <c r="J186" s="1565"/>
      <c r="K186" s="1565"/>
    </row>
    <row r="187" spans="1:11" ht="12.75" customHeight="1" x14ac:dyDescent="0.2">
      <c r="A187" s="426" t="s">
        <v>1588</v>
      </c>
      <c r="B187" s="428">
        <v>4199</v>
      </c>
      <c r="C187" s="1622"/>
      <c r="D187" s="1563"/>
      <c r="E187" s="1630"/>
      <c r="F187" s="1563"/>
      <c r="G187" s="1563"/>
      <c r="H187" s="1565"/>
      <c r="I187" s="1565"/>
      <c r="J187" s="1565"/>
      <c r="K187" s="1565"/>
    </row>
    <row r="188" spans="1:11" ht="12.75" customHeight="1" thickBot="1" x14ac:dyDescent="0.25">
      <c r="A188" s="1396" t="s">
        <v>1590</v>
      </c>
      <c r="B188" s="1397"/>
      <c r="C188" s="1623">
        <f>SUM(C184:C187)</f>
        <v>0</v>
      </c>
      <c r="D188" s="1623">
        <f>SUM(D184:D187)</f>
        <v>0</v>
      </c>
      <c r="E188" s="1630"/>
      <c r="F188" s="1623">
        <f>SUM(F184:F187)</f>
        <v>0</v>
      </c>
      <c r="G188" s="1623">
        <f>SUM(G184:G187)</f>
        <v>0</v>
      </c>
      <c r="H188" s="1565"/>
      <c r="I188" s="1565"/>
      <c r="J188" s="1565"/>
      <c r="K188" s="1565"/>
    </row>
    <row r="189" spans="1:11" ht="15.75" customHeight="1" thickTop="1" x14ac:dyDescent="0.2">
      <c r="A189" s="1328" t="s">
        <v>452</v>
      </c>
      <c r="B189" s="1333"/>
      <c r="C189" s="1624"/>
      <c r="D189" s="1635"/>
      <c r="E189" s="1630"/>
      <c r="F189" s="1624"/>
      <c r="G189" s="1624"/>
      <c r="H189" s="1565"/>
      <c r="I189" s="1565"/>
      <c r="J189" s="1565"/>
      <c r="K189" s="1565"/>
    </row>
    <row r="190" spans="1:11" x14ac:dyDescent="0.2">
      <c r="A190" s="426" t="s">
        <v>1433</v>
      </c>
      <c r="B190" s="428">
        <v>4200</v>
      </c>
      <c r="C190" s="1564"/>
      <c r="D190" s="1565"/>
      <c r="E190" s="1630"/>
      <c r="F190" s="1624"/>
      <c r="G190" s="1654"/>
      <c r="H190" s="1565"/>
      <c r="I190" s="1565"/>
      <c r="J190" s="1565"/>
      <c r="K190" s="1565"/>
    </row>
    <row r="191" spans="1:11" ht="12.75" customHeight="1" x14ac:dyDescent="0.2">
      <c r="A191" s="426" t="s">
        <v>1049</v>
      </c>
      <c r="B191" s="428">
        <v>4210</v>
      </c>
      <c r="C191" s="1563">
        <v>341966</v>
      </c>
      <c r="D191" s="1565"/>
      <c r="E191" s="1630"/>
      <c r="F191" s="1565"/>
      <c r="G191" s="1654"/>
      <c r="H191" s="1565"/>
      <c r="I191" s="1565"/>
      <c r="J191" s="1565"/>
      <c r="K191" s="1565"/>
    </row>
    <row r="192" spans="1:11" ht="12.75" customHeight="1" x14ac:dyDescent="0.2">
      <c r="A192" s="426" t="s">
        <v>1038</v>
      </c>
      <c r="B192" s="428">
        <v>4215</v>
      </c>
      <c r="C192" s="1622"/>
      <c r="D192" s="1565"/>
      <c r="E192" s="1630"/>
      <c r="F192" s="1565"/>
      <c r="G192" s="1654"/>
      <c r="H192" s="1565"/>
      <c r="I192" s="1565"/>
      <c r="J192" s="1565"/>
      <c r="K192" s="1565"/>
    </row>
    <row r="193" spans="1:11" ht="12.75" customHeight="1" x14ac:dyDescent="0.2">
      <c r="A193" s="426" t="s">
        <v>1050</v>
      </c>
      <c r="B193" s="428">
        <v>4220</v>
      </c>
      <c r="C193" s="1622">
        <v>152803</v>
      </c>
      <c r="D193" s="1565"/>
      <c r="E193" s="1630"/>
      <c r="F193" s="1565"/>
      <c r="G193" s="1654"/>
      <c r="H193" s="1565"/>
      <c r="I193" s="1565"/>
      <c r="J193" s="1565"/>
      <c r="K193" s="1565"/>
    </row>
    <row r="194" spans="1:11" ht="12.75" customHeight="1" x14ac:dyDescent="0.2">
      <c r="A194" s="426" t="s">
        <v>1434</v>
      </c>
      <c r="B194" s="428">
        <v>4225</v>
      </c>
      <c r="C194" s="1622">
        <v>149804</v>
      </c>
      <c r="D194" s="1565"/>
      <c r="E194" s="1630"/>
      <c r="F194" s="1565"/>
      <c r="G194" s="1654"/>
      <c r="H194" s="1565"/>
      <c r="I194" s="1565"/>
      <c r="J194" s="1565"/>
      <c r="K194" s="1565"/>
    </row>
    <row r="195" spans="1:11" ht="12.75" customHeight="1" x14ac:dyDescent="0.2">
      <c r="A195" s="426" t="s">
        <v>1435</v>
      </c>
      <c r="B195" s="428">
        <v>4226</v>
      </c>
      <c r="C195" s="1622">
        <v>23355</v>
      </c>
      <c r="D195" s="1565"/>
      <c r="E195" s="1630"/>
      <c r="F195" s="1565"/>
      <c r="G195" s="1654"/>
      <c r="H195" s="1565"/>
      <c r="I195" s="1565"/>
      <c r="J195" s="1565"/>
      <c r="K195" s="1565"/>
    </row>
    <row r="196" spans="1:11" ht="12.75" customHeight="1" x14ac:dyDescent="0.2">
      <c r="A196" s="426" t="s">
        <v>787</v>
      </c>
      <c r="B196" s="428">
        <v>4240</v>
      </c>
      <c r="C196" s="1588"/>
      <c r="D196" s="1565"/>
      <c r="E196" s="1630"/>
      <c r="F196" s="1565"/>
      <c r="G196" s="1655"/>
      <c r="H196" s="1565"/>
      <c r="I196" s="1565"/>
      <c r="J196" s="1565"/>
      <c r="K196" s="1565"/>
    </row>
    <row r="197" spans="1:11" ht="12.75" customHeight="1" x14ac:dyDescent="0.2">
      <c r="A197" s="426" t="s">
        <v>71</v>
      </c>
      <c r="B197" s="428">
        <v>4299</v>
      </c>
      <c r="C197" s="1622"/>
      <c r="D197" s="1565"/>
      <c r="E197" s="1630"/>
      <c r="F197" s="1565"/>
      <c r="G197" s="1654"/>
      <c r="H197" s="1565"/>
      <c r="I197" s="1565"/>
      <c r="J197" s="1565"/>
      <c r="K197" s="1565"/>
    </row>
    <row r="198" spans="1:11" ht="12.75" customHeight="1" thickBot="1" x14ac:dyDescent="0.25">
      <c r="A198" s="1396" t="s">
        <v>544</v>
      </c>
      <c r="B198" s="1397"/>
      <c r="C198" s="1584">
        <f>SUM(C190:C197)</f>
        <v>667928</v>
      </c>
      <c r="D198" s="1565"/>
      <c r="E198" s="1565"/>
      <c r="F198" s="1565"/>
      <c r="G198" s="1584">
        <f>SUM(G190:G197)</f>
        <v>0</v>
      </c>
      <c r="H198" s="1565"/>
      <c r="I198" s="1565"/>
      <c r="J198" s="1565"/>
      <c r="K198" s="1565"/>
    </row>
    <row r="199" spans="1:11" ht="15.75" customHeight="1" thickTop="1" x14ac:dyDescent="0.2">
      <c r="A199" s="1328" t="s">
        <v>1128</v>
      </c>
      <c r="B199" s="1333"/>
      <c r="C199" s="1624"/>
      <c r="D199" s="1565"/>
      <c r="E199" s="1565"/>
      <c r="F199" s="1565"/>
      <c r="G199" s="1565"/>
      <c r="H199" s="1565"/>
      <c r="I199" s="1565"/>
      <c r="J199" s="1565"/>
      <c r="K199" s="1565"/>
    </row>
    <row r="200" spans="1:11" ht="12.75" customHeight="1" x14ac:dyDescent="0.2">
      <c r="A200" s="426" t="s">
        <v>912</v>
      </c>
      <c r="B200" s="428">
        <v>4300</v>
      </c>
      <c r="C200" s="1563">
        <v>314805</v>
      </c>
      <c r="D200" s="1563"/>
      <c r="E200" s="1565"/>
      <c r="F200" s="1563"/>
      <c r="G200" s="1563"/>
      <c r="H200" s="1565"/>
      <c r="I200" s="1565"/>
      <c r="J200" s="1565"/>
      <c r="K200" s="1565"/>
    </row>
    <row r="201" spans="1:11" ht="12.75" customHeight="1" x14ac:dyDescent="0.2">
      <c r="A201" s="426" t="s">
        <v>913</v>
      </c>
      <c r="B201" s="428">
        <v>4305</v>
      </c>
      <c r="C201" s="1622"/>
      <c r="D201" s="1563"/>
      <c r="E201" s="1565"/>
      <c r="F201" s="1563"/>
      <c r="G201" s="1563"/>
      <c r="H201" s="1565"/>
      <c r="I201" s="1565"/>
      <c r="J201" s="1565"/>
      <c r="K201" s="1565"/>
    </row>
    <row r="202" spans="1:11" ht="12.75" customHeight="1" x14ac:dyDescent="0.2">
      <c r="A202" s="426" t="s">
        <v>1024</v>
      </c>
      <c r="B202" s="428">
        <v>4340</v>
      </c>
      <c r="C202" s="1622"/>
      <c r="D202" s="1563"/>
      <c r="E202" s="1565"/>
      <c r="F202" s="1563"/>
      <c r="G202" s="1563"/>
      <c r="H202" s="1565"/>
      <c r="I202" s="1565"/>
      <c r="J202" s="1565"/>
      <c r="K202" s="1565"/>
    </row>
    <row r="203" spans="1:11" ht="12.75" customHeight="1" x14ac:dyDescent="0.2">
      <c r="A203" s="426" t="s">
        <v>72</v>
      </c>
      <c r="B203" s="428">
        <v>4399</v>
      </c>
      <c r="C203" s="1622">
        <v>0</v>
      </c>
      <c r="D203" s="1563"/>
      <c r="E203" s="1565"/>
      <c r="F203" s="1563"/>
      <c r="G203" s="1563"/>
      <c r="H203" s="1565"/>
      <c r="I203" s="1565"/>
      <c r="J203" s="1565"/>
      <c r="K203" s="1565"/>
    </row>
    <row r="204" spans="1:11" ht="12.75" customHeight="1" thickBot="1" x14ac:dyDescent="0.25">
      <c r="A204" s="1396" t="s">
        <v>397</v>
      </c>
      <c r="B204" s="1397"/>
      <c r="C204" s="1623">
        <f>SUM(C200:C203)</f>
        <v>314805</v>
      </c>
      <c r="D204" s="1623">
        <f>SUM(D200:D203)</f>
        <v>0</v>
      </c>
      <c r="E204" s="1565"/>
      <c r="F204" s="1623">
        <f>SUM(F200:F203)</f>
        <v>0</v>
      </c>
      <c r="G204" s="1623">
        <f>SUM(G200:G203)</f>
        <v>0</v>
      </c>
      <c r="H204" s="1565"/>
      <c r="I204" s="1565"/>
      <c r="J204" s="1565"/>
      <c r="K204" s="1565"/>
    </row>
    <row r="205" spans="1:11" ht="15.75" customHeight="1" thickTop="1" x14ac:dyDescent="0.2">
      <c r="A205" s="1328" t="s">
        <v>1129</v>
      </c>
      <c r="B205" s="1333"/>
      <c r="C205" s="1624"/>
      <c r="D205" s="1624"/>
      <c r="E205" s="1565"/>
      <c r="F205" s="1624"/>
      <c r="G205" s="1624"/>
      <c r="H205" s="1565"/>
      <c r="I205" s="1565"/>
      <c r="J205" s="1565"/>
      <c r="K205" s="1565"/>
    </row>
    <row r="206" spans="1:11" ht="12.75" customHeight="1" x14ac:dyDescent="0.2">
      <c r="A206" s="426" t="s">
        <v>754</v>
      </c>
      <c r="B206" s="428">
        <v>4400</v>
      </c>
      <c r="C206" s="1622">
        <v>879</v>
      </c>
      <c r="D206" s="1563"/>
      <c r="E206" s="1565"/>
      <c r="F206" s="1563"/>
      <c r="G206" s="1563"/>
      <c r="H206" s="1565"/>
      <c r="I206" s="1565"/>
      <c r="J206" s="1565"/>
      <c r="K206" s="1565"/>
    </row>
    <row r="207" spans="1:11" ht="12.75" customHeight="1" x14ac:dyDescent="0.2">
      <c r="A207" s="426" t="s">
        <v>1436</v>
      </c>
      <c r="B207" s="428">
        <v>4421</v>
      </c>
      <c r="C207" s="1622"/>
      <c r="D207" s="1563"/>
      <c r="E207" s="1565"/>
      <c r="F207" s="1563"/>
      <c r="G207" s="1563"/>
      <c r="H207" s="1565"/>
      <c r="I207" s="1565"/>
      <c r="J207" s="1565"/>
      <c r="K207" s="1565"/>
    </row>
    <row r="208" spans="1:11" ht="12.75" customHeight="1" x14ac:dyDescent="0.2">
      <c r="A208" s="426" t="s">
        <v>73</v>
      </c>
      <c r="B208" s="428">
        <v>4499</v>
      </c>
      <c r="C208" s="1622"/>
      <c r="D208" s="1563"/>
      <c r="E208" s="1565"/>
      <c r="F208" s="1563"/>
      <c r="G208" s="1563"/>
      <c r="H208" s="1565"/>
      <c r="I208" s="1565"/>
      <c r="J208" s="1565"/>
      <c r="K208" s="1565"/>
    </row>
    <row r="209" spans="1:11" ht="12.75" customHeight="1" thickBot="1" x14ac:dyDescent="0.25">
      <c r="A209" s="1396" t="s">
        <v>883</v>
      </c>
      <c r="B209" s="1397"/>
      <c r="C209" s="1623">
        <f>SUM(C206:C208)</f>
        <v>879</v>
      </c>
      <c r="D209" s="1623">
        <f>SUM(D206:D208)</f>
        <v>0</v>
      </c>
      <c r="E209" s="1565" t="s">
        <v>1159</v>
      </c>
      <c r="F209" s="1623">
        <f>SUM(F206:F208)</f>
        <v>0</v>
      </c>
      <c r="G209" s="1623">
        <f>SUM(G206:G208)</f>
        <v>0</v>
      </c>
      <c r="H209" s="1565"/>
      <c r="I209" s="1565"/>
      <c r="J209" s="1565"/>
      <c r="K209" s="1565"/>
    </row>
    <row r="210" spans="1:11" ht="15.75" customHeight="1" thickTop="1" x14ac:dyDescent="0.2">
      <c r="A210" s="1328" t="s">
        <v>1083</v>
      </c>
      <c r="B210" s="1333"/>
      <c r="C210" s="1624"/>
      <c r="D210" s="1624"/>
      <c r="E210" s="1565"/>
      <c r="F210" s="1624"/>
      <c r="G210" s="1624"/>
      <c r="H210" s="1565"/>
      <c r="I210" s="1565"/>
      <c r="J210" s="1565"/>
      <c r="K210" s="1565"/>
    </row>
    <row r="211" spans="1:11" ht="12.75" customHeight="1" x14ac:dyDescent="0.2">
      <c r="A211" s="426" t="s">
        <v>1043</v>
      </c>
      <c r="B211" s="428">
        <v>4600</v>
      </c>
      <c r="C211" s="1622">
        <v>11679</v>
      </c>
      <c r="D211" s="1563"/>
      <c r="E211" s="1565"/>
      <c r="F211" s="1563"/>
      <c r="G211" s="1563"/>
      <c r="H211" s="1565"/>
      <c r="I211" s="1565"/>
      <c r="J211" s="1565"/>
      <c r="K211" s="1565"/>
    </row>
    <row r="212" spans="1:11" ht="12.75" customHeight="1" x14ac:dyDescent="0.2">
      <c r="A212" s="426" t="s">
        <v>1044</v>
      </c>
      <c r="B212" s="428">
        <v>4605</v>
      </c>
      <c r="C212" s="1622"/>
      <c r="D212" s="1563"/>
      <c r="E212" s="1565"/>
      <c r="F212" s="1563"/>
      <c r="G212" s="1563"/>
      <c r="H212" s="1565"/>
      <c r="I212" s="1565"/>
      <c r="J212" s="1565"/>
      <c r="K212" s="1565"/>
    </row>
    <row r="213" spans="1:11" ht="12.75" customHeight="1" x14ac:dyDescent="0.2">
      <c r="A213" s="426" t="s">
        <v>1437</v>
      </c>
      <c r="B213" s="474">
        <v>4620</v>
      </c>
      <c r="C213" s="1622">
        <v>323216</v>
      </c>
      <c r="D213" s="1563"/>
      <c r="E213" s="1565"/>
      <c r="F213" s="1563"/>
      <c r="G213" s="1563"/>
      <c r="H213" s="1565"/>
      <c r="I213" s="1565"/>
      <c r="J213" s="1565"/>
      <c r="K213" s="1565"/>
    </row>
    <row r="214" spans="1:11" ht="12.75" customHeight="1" x14ac:dyDescent="0.2">
      <c r="A214" s="426" t="s">
        <v>1045</v>
      </c>
      <c r="B214" s="428">
        <v>4625</v>
      </c>
      <c r="C214" s="1622">
        <v>0</v>
      </c>
      <c r="D214" s="1563"/>
      <c r="E214" s="1565"/>
      <c r="F214" s="1563"/>
      <c r="G214" s="1563"/>
      <c r="H214" s="1565"/>
      <c r="I214" s="1565"/>
      <c r="J214" s="1565"/>
      <c r="K214" s="1565"/>
    </row>
    <row r="215" spans="1:11" ht="12.75" customHeight="1" x14ac:dyDescent="0.2">
      <c r="A215" s="426" t="s">
        <v>1046</v>
      </c>
      <c r="B215" s="428">
        <v>4630</v>
      </c>
      <c r="C215" s="1622"/>
      <c r="D215" s="1563"/>
      <c r="E215" s="1565"/>
      <c r="F215" s="1563"/>
      <c r="G215" s="1563"/>
      <c r="H215" s="1565"/>
      <c r="I215" s="1565"/>
      <c r="J215" s="1565"/>
      <c r="K215" s="1565"/>
    </row>
    <row r="216" spans="1:11" ht="12.75" customHeight="1" x14ac:dyDescent="0.2">
      <c r="A216" s="1261" t="s">
        <v>74</v>
      </c>
      <c r="B216" s="474">
        <v>4699</v>
      </c>
      <c r="C216" s="1622"/>
      <c r="D216" s="1563"/>
      <c r="E216" s="1565"/>
      <c r="F216" s="1563"/>
      <c r="G216" s="1563"/>
      <c r="H216" s="1565"/>
      <c r="I216" s="1565"/>
      <c r="J216" s="1565"/>
      <c r="K216" s="1565"/>
    </row>
    <row r="217" spans="1:11" ht="12.75" customHeight="1" thickBot="1" x14ac:dyDescent="0.25">
      <c r="A217" s="1396" t="s">
        <v>444</v>
      </c>
      <c r="B217" s="1397"/>
      <c r="C217" s="1623">
        <f>SUM(C211:C216)</f>
        <v>334895</v>
      </c>
      <c r="D217" s="1623">
        <f>SUM(D211:D216)</f>
        <v>0</v>
      </c>
      <c r="E217" s="1565"/>
      <c r="F217" s="1623">
        <f>SUM(F211:F216)</f>
        <v>0</v>
      </c>
      <c r="G217" s="1623">
        <f>SUM(G211:G216)</f>
        <v>0</v>
      </c>
      <c r="H217" s="1565"/>
      <c r="I217" s="1565"/>
      <c r="J217" s="1565"/>
      <c r="K217" s="1565"/>
    </row>
    <row r="218" spans="1:11" ht="15.75" customHeight="1" thickTop="1" x14ac:dyDescent="0.2">
      <c r="A218" s="1328" t="s">
        <v>1084</v>
      </c>
      <c r="B218" s="1333"/>
      <c r="C218" s="1624"/>
      <c r="D218" s="1624"/>
      <c r="E218" s="1565"/>
      <c r="F218" s="1624"/>
      <c r="G218" s="1624"/>
      <c r="H218" s="1565"/>
      <c r="I218" s="1565"/>
      <c r="J218" s="1565"/>
      <c r="K218" s="1565"/>
    </row>
    <row r="219" spans="1:11" ht="12.75" customHeight="1" x14ac:dyDescent="0.2">
      <c r="A219" s="426" t="s">
        <v>782</v>
      </c>
      <c r="B219" s="428">
        <v>4770</v>
      </c>
      <c r="C219" s="1622"/>
      <c r="D219" s="1563"/>
      <c r="E219" s="1565"/>
      <c r="F219" s="1565"/>
      <c r="G219" s="1563"/>
      <c r="H219" s="1565"/>
      <c r="I219" s="1565"/>
      <c r="J219" s="1565"/>
      <c r="K219" s="1565"/>
    </row>
    <row r="220" spans="1:11" ht="12.75" customHeight="1" x14ac:dyDescent="0.2">
      <c r="A220" s="426" t="s">
        <v>67</v>
      </c>
      <c r="B220" s="428">
        <v>4799</v>
      </c>
      <c r="C220" s="1622"/>
      <c r="D220" s="1563"/>
      <c r="E220" s="1565"/>
      <c r="F220" s="1565"/>
      <c r="G220" s="1563"/>
      <c r="H220" s="1565"/>
      <c r="I220" s="1565"/>
      <c r="J220" s="1565"/>
      <c r="K220" s="1565"/>
    </row>
    <row r="221" spans="1:11" ht="12.75" customHeight="1" thickBot="1" x14ac:dyDescent="0.25">
      <c r="A221" s="1405" t="s">
        <v>1076</v>
      </c>
      <c r="B221" s="1406"/>
      <c r="C221" s="1623">
        <f>SUM(C219:C220)</f>
        <v>0</v>
      </c>
      <c r="D221" s="1623">
        <f>SUM(D219:D220)</f>
        <v>0</v>
      </c>
      <c r="E221" s="1565"/>
      <c r="F221" s="1565"/>
      <c r="G221" s="1623">
        <f>SUM(G219:G220)</f>
        <v>0</v>
      </c>
      <c r="H221" s="1565"/>
      <c r="I221" s="1565"/>
      <c r="J221" s="1565"/>
      <c r="K221" s="1565"/>
    </row>
    <row r="222" spans="1:11" ht="12.75" customHeight="1" thickTop="1" thickBot="1" x14ac:dyDescent="0.25">
      <c r="A222" s="435" t="s">
        <v>752</v>
      </c>
      <c r="B222" s="434">
        <v>4810</v>
      </c>
      <c r="C222" s="1640"/>
      <c r="D222" s="1641"/>
      <c r="E222" s="1565"/>
      <c r="F222" s="1565"/>
      <c r="G222" s="1641"/>
      <c r="H222" s="1565"/>
      <c r="I222" s="1565"/>
      <c r="J222" s="1565"/>
      <c r="K222" s="1565"/>
    </row>
    <row r="223" spans="1:11" ht="12.75" customHeight="1" thickTop="1" x14ac:dyDescent="0.2">
      <c r="A223" s="435" t="s">
        <v>347</v>
      </c>
      <c r="B223" s="434">
        <v>4850</v>
      </c>
      <c r="C223" s="1588"/>
      <c r="D223" s="1564"/>
      <c r="E223" s="1564"/>
      <c r="F223" s="1564"/>
      <c r="G223" s="1564"/>
      <c r="H223" s="1564"/>
      <c r="I223" s="1565"/>
      <c r="J223" s="1564"/>
      <c r="K223" s="1564"/>
    </row>
    <row r="224" spans="1:11" ht="12.75" customHeight="1" x14ac:dyDescent="0.2">
      <c r="A224" s="435" t="s">
        <v>348</v>
      </c>
      <c r="B224" s="434">
        <v>4851</v>
      </c>
      <c r="C224" s="1588"/>
      <c r="D224" s="1564"/>
      <c r="E224" s="1565"/>
      <c r="F224" s="1569"/>
      <c r="G224" s="1564"/>
      <c r="H224" s="1565"/>
      <c r="I224" s="1565"/>
      <c r="J224" s="1565"/>
      <c r="K224" s="1565"/>
    </row>
    <row r="225" spans="1:11" ht="12.75" customHeight="1" x14ac:dyDescent="0.2">
      <c r="A225" s="435" t="s">
        <v>349</v>
      </c>
      <c r="B225" s="434">
        <v>4852</v>
      </c>
      <c r="C225" s="1588"/>
      <c r="D225" s="1564"/>
      <c r="E225" s="1564"/>
      <c r="F225" s="1564"/>
      <c r="G225" s="1564"/>
      <c r="H225" s="1564"/>
      <c r="I225" s="1565"/>
      <c r="J225" s="1564"/>
      <c r="K225" s="1564"/>
    </row>
    <row r="226" spans="1:11" ht="12.75" customHeight="1" x14ac:dyDescent="0.2">
      <c r="A226" s="435" t="s">
        <v>350</v>
      </c>
      <c r="B226" s="434">
        <v>4853</v>
      </c>
      <c r="C226" s="1588"/>
      <c r="D226" s="1564"/>
      <c r="E226" s="1564"/>
      <c r="F226" s="1564"/>
      <c r="G226" s="1564"/>
      <c r="H226" s="1564"/>
      <c r="I226" s="1565"/>
      <c r="J226" s="1564"/>
      <c r="K226" s="1564"/>
    </row>
    <row r="227" spans="1:11" ht="12.75" customHeight="1" x14ac:dyDescent="0.2">
      <c r="A227" s="435" t="s">
        <v>351</v>
      </c>
      <c r="B227" s="434">
        <v>4854</v>
      </c>
      <c r="C227" s="1588"/>
      <c r="D227" s="1564"/>
      <c r="E227" s="1564"/>
      <c r="F227" s="1564"/>
      <c r="G227" s="1564"/>
      <c r="H227" s="1564"/>
      <c r="I227" s="1565"/>
      <c r="J227" s="1564"/>
      <c r="K227" s="1564"/>
    </row>
    <row r="228" spans="1:11" ht="12.75" customHeight="1" x14ac:dyDescent="0.2">
      <c r="A228" s="435" t="s">
        <v>461</v>
      </c>
      <c r="B228" s="434">
        <v>4855</v>
      </c>
      <c r="C228" s="1588"/>
      <c r="D228" s="1564"/>
      <c r="E228" s="1564"/>
      <c r="F228" s="1564"/>
      <c r="G228" s="1564"/>
      <c r="H228" s="1564"/>
      <c r="I228" s="1565"/>
      <c r="J228" s="1564"/>
      <c r="K228" s="1564"/>
    </row>
    <row r="229" spans="1:11" ht="12.75" customHeight="1" x14ac:dyDescent="0.2">
      <c r="A229" s="435" t="s">
        <v>352</v>
      </c>
      <c r="B229" s="434">
        <v>4856</v>
      </c>
      <c r="C229" s="1588"/>
      <c r="D229" s="1564"/>
      <c r="E229" s="1564"/>
      <c r="F229" s="1564"/>
      <c r="G229" s="1564"/>
      <c r="H229" s="1564"/>
      <c r="I229" s="1565"/>
      <c r="J229" s="1564"/>
      <c r="K229" s="1564"/>
    </row>
    <row r="230" spans="1:11" ht="12.75" customHeight="1" x14ac:dyDescent="0.2">
      <c r="A230" s="435" t="s">
        <v>353</v>
      </c>
      <c r="B230" s="434">
        <v>4857</v>
      </c>
      <c r="C230" s="1588"/>
      <c r="D230" s="1564"/>
      <c r="E230" s="1564"/>
      <c r="F230" s="1564"/>
      <c r="G230" s="1564"/>
      <c r="H230" s="1564"/>
      <c r="I230" s="1565"/>
      <c r="J230" s="1564"/>
      <c r="K230" s="1564"/>
    </row>
    <row r="231" spans="1:11" ht="12.75" customHeight="1" x14ac:dyDescent="0.2">
      <c r="A231" s="435" t="s">
        <v>354</v>
      </c>
      <c r="B231" s="434">
        <v>4860</v>
      </c>
      <c r="C231" s="1588"/>
      <c r="D231" s="1564"/>
      <c r="E231" s="1564"/>
      <c r="F231" s="1564"/>
      <c r="G231" s="1564"/>
      <c r="H231" s="1564"/>
      <c r="I231" s="1565"/>
      <c r="J231" s="1564"/>
      <c r="K231" s="1564"/>
    </row>
    <row r="232" spans="1:11" ht="12.75" customHeight="1" x14ac:dyDescent="0.2">
      <c r="A232" s="435" t="s">
        <v>355</v>
      </c>
      <c r="B232" s="434">
        <v>4861</v>
      </c>
      <c r="C232" s="1588"/>
      <c r="D232" s="1564"/>
      <c r="E232" s="1564"/>
      <c r="F232" s="1564"/>
      <c r="G232" s="1564"/>
      <c r="H232" s="1564"/>
      <c r="I232" s="1565"/>
      <c r="J232" s="1564"/>
      <c r="K232" s="1564"/>
    </row>
    <row r="233" spans="1:11" ht="12.75" customHeight="1" x14ac:dyDescent="0.2">
      <c r="A233" s="435" t="s">
        <v>356</v>
      </c>
      <c r="B233" s="434">
        <v>4862</v>
      </c>
      <c r="C233" s="1588"/>
      <c r="D233" s="1564"/>
      <c r="E233" s="1570"/>
      <c r="F233" s="1564"/>
      <c r="G233" s="1564"/>
      <c r="H233" s="1570"/>
      <c r="I233" s="1565"/>
      <c r="J233" s="1570"/>
      <c r="K233" s="1570"/>
    </row>
    <row r="234" spans="1:11" ht="12.75" customHeight="1" x14ac:dyDescent="0.2">
      <c r="A234" s="435" t="s">
        <v>357</v>
      </c>
      <c r="B234" s="434">
        <v>4863</v>
      </c>
      <c r="C234" s="1588"/>
      <c r="D234" s="1564"/>
      <c r="E234" s="1565"/>
      <c r="F234" s="1570"/>
      <c r="G234" s="1613"/>
      <c r="H234" s="1565"/>
      <c r="I234" s="1565"/>
      <c r="J234" s="1565"/>
      <c r="K234" s="1565"/>
    </row>
    <row r="235" spans="1:11" ht="12.75" customHeight="1" x14ac:dyDescent="0.2">
      <c r="A235" s="435" t="s">
        <v>466</v>
      </c>
      <c r="B235" s="434">
        <v>4864</v>
      </c>
      <c r="C235" s="1588"/>
      <c r="D235" s="1564"/>
      <c r="E235" s="1564"/>
      <c r="F235" s="1564"/>
      <c r="G235" s="1564"/>
      <c r="H235" s="1564"/>
      <c r="I235" s="1565"/>
      <c r="J235" s="1564"/>
      <c r="K235" s="1564"/>
    </row>
    <row r="236" spans="1:11" ht="12.75" customHeight="1" x14ac:dyDescent="0.2">
      <c r="A236" s="435" t="s">
        <v>467</v>
      </c>
      <c r="B236" s="434">
        <v>4865</v>
      </c>
      <c r="C236" s="1588"/>
      <c r="D236" s="1564"/>
      <c r="E236" s="1564"/>
      <c r="F236" s="1564"/>
      <c r="G236" s="1564"/>
      <c r="H236" s="1564"/>
      <c r="I236" s="1565"/>
      <c r="J236" s="1564"/>
      <c r="K236" s="1564"/>
    </row>
    <row r="237" spans="1:11" ht="12.75" customHeight="1" x14ac:dyDescent="0.2">
      <c r="A237" s="435" t="s">
        <v>465</v>
      </c>
      <c r="B237" s="434">
        <v>4866</v>
      </c>
      <c r="C237" s="1588"/>
      <c r="D237" s="1564"/>
      <c r="E237" s="1564"/>
      <c r="F237" s="1564"/>
      <c r="G237" s="1564"/>
      <c r="H237" s="1564"/>
      <c r="I237" s="1565"/>
      <c r="J237" s="1564"/>
      <c r="K237" s="1564"/>
    </row>
    <row r="238" spans="1:11" ht="12.75" customHeight="1" x14ac:dyDescent="0.2">
      <c r="A238" s="435" t="s">
        <v>464</v>
      </c>
      <c r="B238" s="434">
        <v>4867</v>
      </c>
      <c r="C238" s="1588"/>
      <c r="D238" s="1564"/>
      <c r="E238" s="1564"/>
      <c r="F238" s="1564"/>
      <c r="G238" s="1564"/>
      <c r="H238" s="1564"/>
      <c r="I238" s="1565"/>
      <c r="J238" s="1564"/>
      <c r="K238" s="1564"/>
    </row>
    <row r="239" spans="1:11" ht="12.75" customHeight="1" x14ac:dyDescent="0.2">
      <c r="A239" s="435" t="s">
        <v>463</v>
      </c>
      <c r="B239" s="434">
        <v>4868</v>
      </c>
      <c r="C239" s="1588"/>
      <c r="D239" s="1564"/>
      <c r="E239" s="1564"/>
      <c r="F239" s="1564"/>
      <c r="G239" s="1564"/>
      <c r="H239" s="1564"/>
      <c r="I239" s="1565"/>
      <c r="J239" s="1564"/>
      <c r="K239" s="1564"/>
    </row>
    <row r="240" spans="1:11" ht="12.75" customHeight="1" x14ac:dyDescent="0.2">
      <c r="A240" s="435" t="s">
        <v>462</v>
      </c>
      <c r="B240" s="434">
        <v>4869</v>
      </c>
      <c r="C240" s="1588"/>
      <c r="D240" s="1564"/>
      <c r="E240" s="1564"/>
      <c r="F240" s="1564"/>
      <c r="G240" s="1564"/>
      <c r="H240" s="1564"/>
      <c r="I240" s="1565"/>
      <c r="J240" s="1564"/>
      <c r="K240" s="1564"/>
    </row>
    <row r="241" spans="1:11" ht="12.75" customHeight="1" x14ac:dyDescent="0.2">
      <c r="A241" s="435" t="s">
        <v>1118</v>
      </c>
      <c r="B241" s="434">
        <v>4870</v>
      </c>
      <c r="C241" s="1588"/>
      <c r="D241" s="1564"/>
      <c r="E241" s="1564"/>
      <c r="F241" s="1564"/>
      <c r="G241" s="1564"/>
      <c r="H241" s="1564"/>
      <c r="I241" s="1565"/>
      <c r="J241" s="1564"/>
      <c r="K241" s="1564"/>
    </row>
    <row r="242" spans="1:11" ht="12.75" customHeight="1" x14ac:dyDescent="0.2">
      <c r="A242" s="435" t="s">
        <v>783</v>
      </c>
      <c r="B242" s="434">
        <v>4871</v>
      </c>
      <c r="C242" s="1588"/>
      <c r="D242" s="1564"/>
      <c r="E242" s="1564"/>
      <c r="F242" s="1564"/>
      <c r="G242" s="1564"/>
      <c r="H242" s="1564"/>
      <c r="I242" s="1565"/>
      <c r="J242" s="1564"/>
      <c r="K242" s="1564"/>
    </row>
    <row r="243" spans="1:11" ht="12.75" customHeight="1" x14ac:dyDescent="0.2">
      <c r="A243" s="435" t="s">
        <v>784</v>
      </c>
      <c r="B243" s="434">
        <v>4872</v>
      </c>
      <c r="C243" s="1588"/>
      <c r="D243" s="1564"/>
      <c r="E243" s="1564"/>
      <c r="F243" s="1564"/>
      <c r="G243" s="1564"/>
      <c r="H243" s="1564"/>
      <c r="I243" s="1565"/>
      <c r="J243" s="1564"/>
      <c r="K243" s="1564"/>
    </row>
    <row r="244" spans="1:11" ht="12.75" customHeight="1" x14ac:dyDescent="0.2">
      <c r="A244" s="435" t="s">
        <v>785</v>
      </c>
      <c r="B244" s="434">
        <v>4873</v>
      </c>
      <c r="C244" s="1588"/>
      <c r="D244" s="1564"/>
      <c r="E244" s="1564"/>
      <c r="F244" s="1564"/>
      <c r="G244" s="1564"/>
      <c r="H244" s="1564"/>
      <c r="I244" s="1565"/>
      <c r="J244" s="1564"/>
      <c r="K244" s="1564"/>
    </row>
    <row r="245" spans="1:11" ht="12.75" customHeight="1" x14ac:dyDescent="0.2">
      <c r="A245" s="435" t="s">
        <v>786</v>
      </c>
      <c r="B245" s="434">
        <v>4874</v>
      </c>
      <c r="C245" s="1588"/>
      <c r="D245" s="1564"/>
      <c r="E245" s="1564"/>
      <c r="F245" s="1564"/>
      <c r="G245" s="1564"/>
      <c r="H245" s="1564"/>
      <c r="I245" s="1565"/>
      <c r="J245" s="1564"/>
      <c r="K245" s="1564"/>
    </row>
    <row r="246" spans="1:11" ht="12.75" customHeight="1" x14ac:dyDescent="0.2">
      <c r="A246" s="435" t="s">
        <v>468</v>
      </c>
      <c r="B246" s="434">
        <v>4875</v>
      </c>
      <c r="C246" s="1588"/>
      <c r="D246" s="1564"/>
      <c r="E246" s="1564"/>
      <c r="F246" s="1564"/>
      <c r="G246" s="1564"/>
      <c r="H246" s="1564"/>
      <c r="I246" s="1565"/>
      <c r="J246" s="1564"/>
      <c r="K246" s="1564"/>
    </row>
    <row r="247" spans="1:11" ht="12.75" customHeight="1" x14ac:dyDescent="0.2">
      <c r="A247" s="435" t="s">
        <v>765</v>
      </c>
      <c r="B247" s="434">
        <v>4876</v>
      </c>
      <c r="C247" s="1588"/>
      <c r="D247" s="1564"/>
      <c r="E247" s="1564"/>
      <c r="F247" s="1564"/>
      <c r="G247" s="1564"/>
      <c r="H247" s="1564"/>
      <c r="I247" s="1565"/>
      <c r="J247" s="1564"/>
      <c r="K247" s="1564"/>
    </row>
    <row r="248" spans="1:11" ht="12.75" customHeight="1" x14ac:dyDescent="0.2">
      <c r="A248" s="435" t="s">
        <v>766</v>
      </c>
      <c r="B248" s="434">
        <v>4877</v>
      </c>
      <c r="C248" s="1588"/>
      <c r="D248" s="1564"/>
      <c r="E248" s="1564"/>
      <c r="F248" s="1564"/>
      <c r="G248" s="1564"/>
      <c r="H248" s="1564"/>
      <c r="I248" s="1565"/>
      <c r="J248" s="1564"/>
      <c r="K248" s="1564"/>
    </row>
    <row r="249" spans="1:11" ht="12.75" customHeight="1" x14ac:dyDescent="0.2">
      <c r="A249" s="435" t="s">
        <v>767</v>
      </c>
      <c r="B249" s="434">
        <v>4878</v>
      </c>
      <c r="C249" s="1588"/>
      <c r="D249" s="1564"/>
      <c r="E249" s="1564"/>
      <c r="F249" s="1564"/>
      <c r="G249" s="1564"/>
      <c r="H249" s="1564"/>
      <c r="I249" s="1565"/>
      <c r="J249" s="1564"/>
      <c r="K249" s="1564"/>
    </row>
    <row r="250" spans="1:11" ht="12.75" customHeight="1" x14ac:dyDescent="0.2">
      <c r="A250" s="435" t="s">
        <v>768</v>
      </c>
      <c r="B250" s="434">
        <v>4879</v>
      </c>
      <c r="C250" s="1588"/>
      <c r="D250" s="1564"/>
      <c r="E250" s="1564"/>
      <c r="F250" s="1564"/>
      <c r="G250" s="1564"/>
      <c r="H250" s="1564"/>
      <c r="I250" s="1565"/>
      <c r="J250" s="1564"/>
      <c r="K250" s="1564"/>
    </row>
    <row r="251" spans="1:11" ht="12.75" customHeight="1" x14ac:dyDescent="0.2">
      <c r="A251" s="219" t="s">
        <v>1438</v>
      </c>
      <c r="B251" s="485">
        <v>4880</v>
      </c>
      <c r="C251" s="1588"/>
      <c r="D251" s="1564"/>
      <c r="E251" s="1564"/>
      <c r="F251" s="1564"/>
      <c r="G251" s="1564"/>
      <c r="H251" s="1564"/>
      <c r="I251" s="1565"/>
      <c r="J251" s="1564"/>
      <c r="K251" s="1564"/>
    </row>
    <row r="252" spans="1:11" ht="12.75" customHeight="1" thickBot="1" x14ac:dyDescent="0.25">
      <c r="A252" s="1407" t="s">
        <v>769</v>
      </c>
      <c r="B252" s="1408"/>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4">
        <f>SUM(K223:K251)</f>
        <v>0</v>
      </c>
    </row>
    <row r="253" spans="1:11" ht="12.75" customHeight="1" thickTop="1" thickBot="1" x14ac:dyDescent="0.25">
      <c r="A253" s="1262" t="s">
        <v>1404</v>
      </c>
      <c r="B253" s="486">
        <v>4901</v>
      </c>
      <c r="C253" s="1656"/>
      <c r="D253" s="1566"/>
      <c r="E253" s="1565"/>
      <c r="F253" s="1565"/>
      <c r="G253" s="1565"/>
      <c r="H253" s="1565"/>
      <c r="I253" s="1565"/>
      <c r="J253" s="1565"/>
      <c r="K253" s="1565"/>
    </row>
    <row r="254" spans="1:11" ht="12.75" customHeight="1" thickTop="1" thickBot="1" x14ac:dyDescent="0.25">
      <c r="A254" s="1263" t="s">
        <v>1446</v>
      </c>
      <c r="B254" s="487">
        <v>4902</v>
      </c>
      <c r="C254" s="1657"/>
      <c r="D254" s="1658"/>
      <c r="E254" s="1566"/>
      <c r="F254" s="1658"/>
      <c r="G254" s="1658"/>
      <c r="H254" s="1566"/>
      <c r="I254" s="1565"/>
      <c r="J254" s="1566"/>
      <c r="K254" s="1566"/>
    </row>
    <row r="255" spans="1:11" ht="12.75" customHeight="1" thickTop="1" thickBot="1" x14ac:dyDescent="0.25">
      <c r="A255" s="426" t="s">
        <v>1439</v>
      </c>
      <c r="B255" s="428">
        <v>4905</v>
      </c>
      <c r="C255" s="1639"/>
      <c r="D255" s="1565"/>
      <c r="E255" s="1565"/>
      <c r="F255" s="1643"/>
      <c r="G255" s="1639"/>
      <c r="H255" s="1565"/>
      <c r="I255" s="1565"/>
      <c r="J255" s="1565"/>
      <c r="K255" s="1565"/>
    </row>
    <row r="256" spans="1:11" ht="12.75" customHeight="1" thickTop="1" thickBot="1" x14ac:dyDescent="0.25">
      <c r="A256" s="426" t="s">
        <v>1440</v>
      </c>
      <c r="B256" s="428">
        <v>4909</v>
      </c>
      <c r="C256" s="1641"/>
      <c r="D256" s="1565"/>
      <c r="E256" s="1565"/>
      <c r="F256" s="1641"/>
      <c r="G256" s="1641"/>
      <c r="H256" s="1565"/>
      <c r="I256" s="1565"/>
      <c r="J256" s="1565"/>
      <c r="K256" s="1565"/>
    </row>
    <row r="257" spans="1:11" ht="12.75" customHeight="1" thickTop="1" thickBot="1" x14ac:dyDescent="0.25">
      <c r="A257" s="426" t="s">
        <v>191</v>
      </c>
      <c r="B257" s="428">
        <v>4920</v>
      </c>
      <c r="C257" s="1641"/>
      <c r="D257" s="1643"/>
      <c r="E257" s="1565"/>
      <c r="F257" s="1639"/>
      <c r="G257" s="1639"/>
      <c r="H257" s="1565"/>
      <c r="I257" s="1565"/>
      <c r="J257" s="1565"/>
      <c r="K257" s="1565"/>
    </row>
    <row r="258" spans="1:11" ht="12.75" customHeight="1" thickTop="1" thickBot="1" x14ac:dyDescent="0.25">
      <c r="A258" s="426" t="s">
        <v>418</v>
      </c>
      <c r="B258" s="428">
        <v>4930</v>
      </c>
      <c r="C258" s="1641"/>
      <c r="D258" s="1641"/>
      <c r="E258" s="1565"/>
      <c r="F258" s="1641"/>
      <c r="G258" s="1641"/>
      <c r="H258" s="1565"/>
      <c r="I258" s="1565"/>
      <c r="J258" s="1565"/>
      <c r="K258" s="1565"/>
    </row>
    <row r="259" spans="1:11" ht="12.75" customHeight="1" thickTop="1" thickBot="1" x14ac:dyDescent="0.25">
      <c r="A259" s="426" t="s">
        <v>753</v>
      </c>
      <c r="B259" s="428">
        <v>4932</v>
      </c>
      <c r="C259" s="1641">
        <v>63207</v>
      </c>
      <c r="D259" s="1641"/>
      <c r="E259" s="1565"/>
      <c r="F259" s="1641"/>
      <c r="G259" s="1641"/>
      <c r="H259" s="1565"/>
      <c r="I259" s="1565"/>
      <c r="J259" s="1565"/>
      <c r="K259" s="1565"/>
    </row>
    <row r="260" spans="1:11" ht="12.75" customHeight="1" thickTop="1" thickBot="1" x14ac:dyDescent="0.25">
      <c r="A260" s="426" t="s">
        <v>884</v>
      </c>
      <c r="B260" s="428">
        <v>4960</v>
      </c>
      <c r="C260" s="1640"/>
      <c r="D260" s="1641"/>
      <c r="E260" s="1565"/>
      <c r="F260" s="1641"/>
      <c r="G260" s="1641"/>
      <c r="H260" s="1565"/>
      <c r="I260" s="1565"/>
      <c r="J260" s="1565"/>
      <c r="K260" s="1565"/>
    </row>
    <row r="261" spans="1:11" ht="12.75" customHeight="1" thickTop="1" thickBot="1" x14ac:dyDescent="0.25">
      <c r="A261" s="1529" t="s">
        <v>1893</v>
      </c>
      <c r="B261" s="428">
        <v>4981</v>
      </c>
      <c r="C261" s="1640"/>
      <c r="D261" s="1641"/>
      <c r="E261" s="1565"/>
      <c r="F261" s="1641"/>
      <c r="G261" s="1641"/>
      <c r="H261" s="1565"/>
      <c r="I261" s="1565"/>
      <c r="J261" s="1565"/>
      <c r="K261" s="1565"/>
    </row>
    <row r="262" spans="1:11" ht="12.75" customHeight="1" thickTop="1" thickBot="1" x14ac:dyDescent="0.25">
      <c r="A262" s="1530" t="s">
        <v>1894</v>
      </c>
      <c r="B262" s="428">
        <v>4982</v>
      </c>
      <c r="C262" s="1640"/>
      <c r="D262" s="1641"/>
      <c r="E262" s="1565"/>
      <c r="F262" s="1641"/>
      <c r="G262" s="1641"/>
      <c r="H262" s="1565"/>
      <c r="I262" s="1565"/>
      <c r="J262" s="1565"/>
      <c r="K262" s="1565"/>
    </row>
    <row r="263" spans="1:11" ht="12.75" customHeight="1" thickTop="1" thickBot="1" x14ac:dyDescent="0.25">
      <c r="A263" s="426" t="s">
        <v>564</v>
      </c>
      <c r="B263" s="428">
        <v>4991</v>
      </c>
      <c r="C263" s="1640">
        <v>28085</v>
      </c>
      <c r="D263" s="1641"/>
      <c r="E263" s="1565"/>
      <c r="F263" s="1641"/>
      <c r="G263" s="1641"/>
      <c r="H263" s="1565"/>
      <c r="I263" s="1565"/>
      <c r="J263" s="1565"/>
      <c r="K263" s="1565"/>
    </row>
    <row r="264" spans="1:11" ht="12.75" customHeight="1" thickTop="1" thickBot="1" x14ac:dyDescent="0.25">
      <c r="A264" s="426" t="s">
        <v>374</v>
      </c>
      <c r="B264" s="428">
        <v>4992</v>
      </c>
      <c r="C264" s="1640">
        <v>36446</v>
      </c>
      <c r="D264" s="1641"/>
      <c r="E264" s="1565"/>
      <c r="F264" s="1641"/>
      <c r="G264" s="1641"/>
      <c r="H264" s="1565"/>
      <c r="I264" s="1565"/>
      <c r="J264" s="1565"/>
      <c r="K264" s="1565"/>
    </row>
    <row r="265" spans="1:11" s="488" customFormat="1" ht="12.75" customHeight="1" thickTop="1" thickBot="1" x14ac:dyDescent="0.25">
      <c r="A265" s="478" t="s">
        <v>75</v>
      </c>
      <c r="B265" s="474">
        <v>4998</v>
      </c>
      <c r="C265" s="1640"/>
      <c r="D265" s="1641"/>
      <c r="E265" s="1565"/>
      <c r="F265" s="1641"/>
      <c r="G265" s="1641"/>
      <c r="H265" s="1616"/>
      <c r="I265" s="1565"/>
      <c r="J265" s="1565"/>
      <c r="K265" s="1616"/>
    </row>
    <row r="266" spans="1:11" ht="14.25" thickTop="1" thickBot="1" x14ac:dyDescent="0.25">
      <c r="A266" s="1396" t="s">
        <v>1647</v>
      </c>
      <c r="B266" s="1409"/>
      <c r="C266" s="1631">
        <f t="shared" ref="C266:H266" si="10">SUM(C188,C198,C204,C209,C217,C221,C222,C252:C265)</f>
        <v>1446245</v>
      </c>
      <c r="D266" s="1631">
        <f t="shared" si="10"/>
        <v>0</v>
      </c>
      <c r="E266" s="1631">
        <f t="shared" si="10"/>
        <v>0</v>
      </c>
      <c r="F266" s="1631">
        <f t="shared" si="10"/>
        <v>0</v>
      </c>
      <c r="G266" s="1631">
        <f t="shared" si="10"/>
        <v>0</v>
      </c>
      <c r="H266" s="1631">
        <f t="shared" si="10"/>
        <v>0</v>
      </c>
      <c r="I266" s="1565"/>
      <c r="J266" s="1631">
        <f>SUM(J188,J198,J204,J209,J217,J221,J222,J252:J265)</f>
        <v>0</v>
      </c>
      <c r="K266" s="1619">
        <f>SUM(K188,K198,K204,K209,K217,K221,K222,K252:K265)</f>
        <v>0</v>
      </c>
    </row>
    <row r="267" spans="1:11" ht="14.25" thickTop="1" thickBot="1" x14ac:dyDescent="0.25">
      <c r="A267" s="1410" t="s">
        <v>1077</v>
      </c>
      <c r="B267" s="1411" t="s">
        <v>855</v>
      </c>
      <c r="C267" s="1631">
        <f>SUM(C175,C181,C266)</f>
        <v>1446245</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2" t="s">
        <v>249</v>
      </c>
      <c r="B268" s="1413"/>
      <c r="C268" s="1631">
        <f t="shared" ref="C268:K268" si="12">SUM(C109,C114,C170,C267)</f>
        <v>12531872</v>
      </c>
      <c r="D268" s="1631">
        <f t="shared" si="12"/>
        <v>1411690</v>
      </c>
      <c r="E268" s="1631">
        <f t="shared" si="12"/>
        <v>1082084</v>
      </c>
      <c r="F268" s="1631">
        <f t="shared" si="12"/>
        <v>1754139</v>
      </c>
      <c r="G268" s="1631">
        <f t="shared" si="12"/>
        <v>134055</v>
      </c>
      <c r="H268" s="1631">
        <f t="shared" si="12"/>
        <v>15</v>
      </c>
      <c r="I268" s="1631">
        <f t="shared" si="12"/>
        <v>34790</v>
      </c>
      <c r="J268" s="1631">
        <f t="shared" si="12"/>
        <v>55895</v>
      </c>
      <c r="K268" s="1619">
        <f t="shared" si="12"/>
        <v>-2310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42" activePane="bottomLeft" state="frozen"/>
      <selection pane="bottomLeft" activeCell="A278" sqref="A278"/>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78"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31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316" t="s">
        <v>294</v>
      </c>
      <c r="B3" s="2317"/>
      <c r="C3" s="1291"/>
      <c r="D3" s="1291"/>
      <c r="E3" s="1291"/>
      <c r="F3" s="1291"/>
      <c r="G3" s="1291"/>
      <c r="H3" s="1291"/>
      <c r="I3" s="1291"/>
      <c r="J3" s="1291"/>
      <c r="K3" s="1292"/>
      <c r="L3" s="1293"/>
      <c r="M3" s="500"/>
      <c r="N3" s="500"/>
    </row>
    <row r="4" spans="1:14" s="253" customFormat="1" ht="15.75" customHeight="1" x14ac:dyDescent="0.2">
      <c r="A4" s="1334" t="s">
        <v>44</v>
      </c>
      <c r="B4" s="1335" t="s">
        <v>566</v>
      </c>
      <c r="C4" s="1659"/>
      <c r="D4" s="1659"/>
      <c r="E4" s="1659"/>
      <c r="F4" s="1659"/>
      <c r="G4" s="1659"/>
      <c r="H4" s="1659"/>
      <c r="I4" s="1660"/>
      <c r="J4" s="1659"/>
      <c r="K4" s="1661"/>
      <c r="L4" s="1659"/>
      <c r="M4" s="501"/>
      <c r="N4" s="501"/>
    </row>
    <row r="5" spans="1:14" x14ac:dyDescent="0.2">
      <c r="A5" s="1264" t="s">
        <v>955</v>
      </c>
      <c r="B5" s="502">
        <v>1100</v>
      </c>
      <c r="C5" s="1563">
        <v>3207565</v>
      </c>
      <c r="D5" s="1563">
        <v>499942</v>
      </c>
      <c r="E5" s="1563">
        <v>135366</v>
      </c>
      <c r="F5" s="1563">
        <v>138648</v>
      </c>
      <c r="G5" s="1563">
        <v>26410</v>
      </c>
      <c r="H5" s="1563">
        <v>611</v>
      </c>
      <c r="I5" s="1564"/>
      <c r="J5" s="1564"/>
      <c r="K5" s="1662">
        <f>SUM(C5:J5)</f>
        <v>4008542</v>
      </c>
      <c r="L5" s="1563">
        <v>4022500</v>
      </c>
    </row>
    <row r="6" spans="1:14" x14ac:dyDescent="0.2">
      <c r="A6" s="1264" t="s">
        <v>1416</v>
      </c>
      <c r="B6" s="502" t="s">
        <v>1414</v>
      </c>
      <c r="C6" s="1572"/>
      <c r="D6" s="1572"/>
      <c r="E6" s="1563"/>
      <c r="F6" s="1572"/>
      <c r="G6" s="1572"/>
      <c r="H6" s="1572"/>
      <c r="I6" s="1572"/>
      <c r="J6" s="1572"/>
      <c r="K6" s="1662">
        <f>SUM(C6,E6)</f>
        <v>0</v>
      </c>
      <c r="L6" s="1563"/>
    </row>
    <row r="7" spans="1:14" x14ac:dyDescent="0.2">
      <c r="A7" s="1264" t="s">
        <v>162</v>
      </c>
      <c r="B7" s="502" t="s">
        <v>961</v>
      </c>
      <c r="C7" s="1564"/>
      <c r="D7" s="1564"/>
      <c r="E7" s="1564"/>
      <c r="F7" s="1564"/>
      <c r="G7" s="1564"/>
      <c r="H7" s="1564"/>
      <c r="I7" s="1564"/>
      <c r="J7" s="1564"/>
      <c r="K7" s="1662">
        <f t="shared" ref="K7:K32" si="0">SUM(C7:J7)</f>
        <v>0</v>
      </c>
      <c r="L7" s="1563"/>
    </row>
    <row r="8" spans="1:14" x14ac:dyDescent="0.2">
      <c r="A8" s="1264" t="s">
        <v>163</v>
      </c>
      <c r="B8" s="502">
        <v>1200</v>
      </c>
      <c r="C8" s="1563">
        <v>474260</v>
      </c>
      <c r="D8" s="1563">
        <v>107578</v>
      </c>
      <c r="E8" s="1563">
        <v>1350</v>
      </c>
      <c r="F8" s="1563">
        <v>10126</v>
      </c>
      <c r="G8" s="1563"/>
      <c r="H8" s="1563">
        <v>164</v>
      </c>
      <c r="I8" s="1564"/>
      <c r="J8" s="1564"/>
      <c r="K8" s="1662">
        <f t="shared" si="0"/>
        <v>593478</v>
      </c>
      <c r="L8" s="1563">
        <v>579500</v>
      </c>
    </row>
    <row r="9" spans="1:14" x14ac:dyDescent="0.2">
      <c r="A9" s="1264" t="s">
        <v>716</v>
      </c>
      <c r="B9" s="502" t="s">
        <v>962</v>
      </c>
      <c r="C9" s="1564"/>
      <c r="D9" s="1564"/>
      <c r="E9" s="1564"/>
      <c r="F9" s="1564"/>
      <c r="G9" s="1564"/>
      <c r="H9" s="1564"/>
      <c r="I9" s="1564"/>
      <c r="J9" s="1564"/>
      <c r="K9" s="1662">
        <f t="shared" si="0"/>
        <v>0</v>
      </c>
      <c r="L9" s="1563"/>
    </row>
    <row r="10" spans="1:14" x14ac:dyDescent="0.2">
      <c r="A10" s="1264" t="s">
        <v>717</v>
      </c>
      <c r="B10" s="502">
        <v>1250</v>
      </c>
      <c r="C10" s="1563"/>
      <c r="D10" s="1563"/>
      <c r="E10" s="1563"/>
      <c r="F10" s="1563"/>
      <c r="G10" s="1563"/>
      <c r="H10" s="1563"/>
      <c r="I10" s="1564"/>
      <c r="J10" s="1564"/>
      <c r="K10" s="1662">
        <f t="shared" si="0"/>
        <v>0</v>
      </c>
      <c r="L10" s="1563"/>
    </row>
    <row r="11" spans="1:14" x14ac:dyDescent="0.2">
      <c r="A11" s="1264" t="s">
        <v>1120</v>
      </c>
      <c r="B11" s="502" t="s">
        <v>160</v>
      </c>
      <c r="C11" s="1564"/>
      <c r="D11" s="1564"/>
      <c r="E11" s="1564"/>
      <c r="F11" s="1564"/>
      <c r="G11" s="1564"/>
      <c r="H11" s="1564"/>
      <c r="I11" s="1564"/>
      <c r="J11" s="1564"/>
      <c r="K11" s="1662">
        <f t="shared" si="0"/>
        <v>0</v>
      </c>
      <c r="L11" s="1563"/>
    </row>
    <row r="12" spans="1:14" x14ac:dyDescent="0.2">
      <c r="A12" s="1264" t="s">
        <v>956</v>
      </c>
      <c r="B12" s="502">
        <v>1300</v>
      </c>
      <c r="C12" s="1563"/>
      <c r="D12" s="1563"/>
      <c r="E12" s="1563"/>
      <c r="F12" s="1563"/>
      <c r="G12" s="1563"/>
      <c r="H12" s="1563"/>
      <c r="I12" s="1564"/>
      <c r="J12" s="1564"/>
      <c r="K12" s="1662">
        <f t="shared" si="0"/>
        <v>0</v>
      </c>
      <c r="L12" s="1563"/>
    </row>
    <row r="13" spans="1:14" x14ac:dyDescent="0.2">
      <c r="A13" s="1264" t="s">
        <v>718</v>
      </c>
      <c r="B13" s="502">
        <v>1400</v>
      </c>
      <c r="C13" s="1563"/>
      <c r="D13" s="1563"/>
      <c r="E13" s="1563"/>
      <c r="F13" s="1563"/>
      <c r="G13" s="1563"/>
      <c r="H13" s="1563"/>
      <c r="I13" s="1564"/>
      <c r="J13" s="1564"/>
      <c r="K13" s="1662">
        <f t="shared" si="0"/>
        <v>0</v>
      </c>
      <c r="L13" s="1563"/>
    </row>
    <row r="14" spans="1:14" x14ac:dyDescent="0.2">
      <c r="A14" s="1264" t="s">
        <v>957</v>
      </c>
      <c r="B14" s="502">
        <v>1500</v>
      </c>
      <c r="C14" s="1563">
        <v>46407</v>
      </c>
      <c r="D14" s="1563">
        <v>215</v>
      </c>
      <c r="E14" s="1563"/>
      <c r="F14" s="1563">
        <v>0</v>
      </c>
      <c r="G14" s="1563"/>
      <c r="H14" s="1563"/>
      <c r="I14" s="1564"/>
      <c r="J14" s="1564"/>
      <c r="K14" s="1662">
        <f t="shared" si="0"/>
        <v>46622</v>
      </c>
      <c r="L14" s="1563">
        <v>92000</v>
      </c>
    </row>
    <row r="15" spans="1:14" x14ac:dyDescent="0.2">
      <c r="A15" s="1264" t="s">
        <v>958</v>
      </c>
      <c r="B15" s="502">
        <v>1600</v>
      </c>
      <c r="C15" s="1563"/>
      <c r="D15" s="1563"/>
      <c r="E15" s="1563"/>
      <c r="F15" s="1563"/>
      <c r="G15" s="1563"/>
      <c r="H15" s="1563"/>
      <c r="I15" s="1564"/>
      <c r="J15" s="1564"/>
      <c r="K15" s="1662">
        <f t="shared" si="0"/>
        <v>0</v>
      </c>
      <c r="L15" s="1563"/>
    </row>
    <row r="16" spans="1:14" x14ac:dyDescent="0.2">
      <c r="A16" s="1264" t="s">
        <v>980</v>
      </c>
      <c r="B16" s="502" t="s">
        <v>421</v>
      </c>
      <c r="C16" s="1563"/>
      <c r="D16" s="1563"/>
      <c r="E16" s="1563"/>
      <c r="F16" s="1563"/>
      <c r="G16" s="1563"/>
      <c r="H16" s="1563"/>
      <c r="I16" s="1564"/>
      <c r="J16" s="1564"/>
      <c r="K16" s="1662">
        <f t="shared" si="0"/>
        <v>0</v>
      </c>
      <c r="L16" s="1563"/>
    </row>
    <row r="17" spans="1:12" x14ac:dyDescent="0.2">
      <c r="A17" s="1264" t="s">
        <v>719</v>
      </c>
      <c r="B17" s="502" t="s">
        <v>161</v>
      </c>
      <c r="C17" s="1564"/>
      <c r="D17" s="1564"/>
      <c r="E17" s="1564"/>
      <c r="F17" s="1564"/>
      <c r="G17" s="1564"/>
      <c r="H17" s="1564"/>
      <c r="I17" s="1564"/>
      <c r="J17" s="1564"/>
      <c r="K17" s="1662">
        <f t="shared" si="0"/>
        <v>0</v>
      </c>
      <c r="L17" s="1563"/>
    </row>
    <row r="18" spans="1:12" x14ac:dyDescent="0.2">
      <c r="A18" s="1264" t="s">
        <v>1078</v>
      </c>
      <c r="B18" s="502">
        <v>1800</v>
      </c>
      <c r="C18" s="1563"/>
      <c r="D18" s="1563"/>
      <c r="E18" s="1563"/>
      <c r="F18" s="1563"/>
      <c r="G18" s="1563"/>
      <c r="H18" s="1563"/>
      <c r="I18" s="1564"/>
      <c r="J18" s="1564"/>
      <c r="K18" s="1662">
        <f t="shared" si="0"/>
        <v>0</v>
      </c>
      <c r="L18" s="1563"/>
    </row>
    <row r="19" spans="1:12" x14ac:dyDescent="0.2">
      <c r="A19" s="1264" t="s">
        <v>133</v>
      </c>
      <c r="B19" s="502">
        <v>1900</v>
      </c>
      <c r="C19" s="1563"/>
      <c r="D19" s="1563"/>
      <c r="E19" s="1563"/>
      <c r="F19" s="1563"/>
      <c r="G19" s="1563"/>
      <c r="H19" s="1563"/>
      <c r="I19" s="1564"/>
      <c r="J19" s="1564"/>
      <c r="K19" s="1662">
        <f t="shared" si="0"/>
        <v>0</v>
      </c>
      <c r="L19" s="1563"/>
    </row>
    <row r="20" spans="1:12" x14ac:dyDescent="0.2">
      <c r="A20" s="1265" t="s">
        <v>733</v>
      </c>
      <c r="B20" s="493" t="s">
        <v>720</v>
      </c>
      <c r="C20" s="1572"/>
      <c r="D20" s="1572"/>
      <c r="E20" s="1572"/>
      <c r="F20" s="1572"/>
      <c r="G20" s="1572"/>
      <c r="H20" s="1569"/>
      <c r="I20" s="1663"/>
      <c r="J20" s="1570"/>
      <c r="K20" s="1662">
        <f t="shared" si="0"/>
        <v>0</v>
      </c>
      <c r="L20" s="1567"/>
    </row>
    <row r="21" spans="1:12" x14ac:dyDescent="0.2">
      <c r="A21" s="1265" t="s">
        <v>734</v>
      </c>
      <c r="B21" s="493" t="s">
        <v>721</v>
      </c>
      <c r="C21" s="1572"/>
      <c r="D21" s="1572"/>
      <c r="E21" s="1572"/>
      <c r="F21" s="1572"/>
      <c r="G21" s="1572"/>
      <c r="H21" s="1569"/>
      <c r="I21" s="1663"/>
      <c r="J21" s="1572"/>
      <c r="K21" s="1662">
        <f t="shared" si="0"/>
        <v>0</v>
      </c>
      <c r="L21" s="1567"/>
    </row>
    <row r="22" spans="1:12" x14ac:dyDescent="0.2">
      <c r="A22" s="1265" t="s">
        <v>735</v>
      </c>
      <c r="B22" s="493" t="s">
        <v>722</v>
      </c>
      <c r="C22" s="1572"/>
      <c r="D22" s="1572"/>
      <c r="E22" s="1572"/>
      <c r="F22" s="1572"/>
      <c r="G22" s="1572"/>
      <c r="H22" s="1569"/>
      <c r="I22" s="1663"/>
      <c r="J22" s="1572"/>
      <c r="K22" s="1662">
        <f t="shared" si="0"/>
        <v>0</v>
      </c>
      <c r="L22" s="1567"/>
    </row>
    <row r="23" spans="1:12" x14ac:dyDescent="0.2">
      <c r="A23" s="1265" t="s">
        <v>736</v>
      </c>
      <c r="B23" s="493" t="s">
        <v>723</v>
      </c>
      <c r="C23" s="1572"/>
      <c r="D23" s="1572"/>
      <c r="E23" s="1572"/>
      <c r="F23" s="1572"/>
      <c r="G23" s="1572"/>
      <c r="H23" s="1569"/>
      <c r="I23" s="1663"/>
      <c r="J23" s="1572"/>
      <c r="K23" s="1662">
        <f t="shared" si="0"/>
        <v>0</v>
      </c>
      <c r="L23" s="1567"/>
    </row>
    <row r="24" spans="1:12" ht="12.75" customHeight="1" x14ac:dyDescent="0.2">
      <c r="A24" s="1265" t="s">
        <v>737</v>
      </c>
      <c r="B24" s="493" t="s">
        <v>724</v>
      </c>
      <c r="C24" s="1572"/>
      <c r="D24" s="1572"/>
      <c r="E24" s="1572"/>
      <c r="F24" s="1572"/>
      <c r="G24" s="1572"/>
      <c r="H24" s="1569"/>
      <c r="I24" s="1663"/>
      <c r="J24" s="1572"/>
      <c r="K24" s="1662">
        <f t="shared" si="0"/>
        <v>0</v>
      </c>
      <c r="L24" s="1567"/>
    </row>
    <row r="25" spans="1:12" ht="12.75" customHeight="1" x14ac:dyDescent="0.2">
      <c r="A25" s="1265" t="s">
        <v>797</v>
      </c>
      <c r="B25" s="493" t="s">
        <v>725</v>
      </c>
      <c r="C25" s="1572"/>
      <c r="D25" s="1572"/>
      <c r="E25" s="1572"/>
      <c r="F25" s="1572"/>
      <c r="G25" s="1572"/>
      <c r="H25" s="1569"/>
      <c r="I25" s="1663"/>
      <c r="J25" s="1572"/>
      <c r="K25" s="1662">
        <f t="shared" si="0"/>
        <v>0</v>
      </c>
      <c r="L25" s="1567"/>
    </row>
    <row r="26" spans="1:12" x14ac:dyDescent="0.2">
      <c r="A26" s="1265" t="s">
        <v>618</v>
      </c>
      <c r="B26" s="493" t="s">
        <v>726</v>
      </c>
      <c r="C26" s="1572"/>
      <c r="D26" s="1572"/>
      <c r="E26" s="1572"/>
      <c r="F26" s="1572"/>
      <c r="G26" s="1572"/>
      <c r="H26" s="1569"/>
      <c r="I26" s="1663"/>
      <c r="J26" s="1572"/>
      <c r="K26" s="1662">
        <f t="shared" si="0"/>
        <v>0</v>
      </c>
      <c r="L26" s="1567"/>
    </row>
    <row r="27" spans="1:12" x14ac:dyDescent="0.2">
      <c r="A27" s="1265" t="s">
        <v>619</v>
      </c>
      <c r="B27" s="493" t="s">
        <v>727</v>
      </c>
      <c r="C27" s="1572"/>
      <c r="D27" s="1572"/>
      <c r="E27" s="1572"/>
      <c r="F27" s="1572"/>
      <c r="G27" s="1572"/>
      <c r="H27" s="1569"/>
      <c r="I27" s="1663"/>
      <c r="J27" s="1572"/>
      <c r="K27" s="1662">
        <f t="shared" si="0"/>
        <v>0</v>
      </c>
      <c r="L27" s="1567"/>
    </row>
    <row r="28" spans="1:12" x14ac:dyDescent="0.2">
      <c r="A28" s="1265" t="s">
        <v>149</v>
      </c>
      <c r="B28" s="493" t="s">
        <v>728</v>
      </c>
      <c r="C28" s="1572"/>
      <c r="D28" s="1572"/>
      <c r="E28" s="1572"/>
      <c r="F28" s="1572"/>
      <c r="G28" s="1572"/>
      <c r="H28" s="1569"/>
      <c r="I28" s="1663"/>
      <c r="J28" s="1572"/>
      <c r="K28" s="1662">
        <f t="shared" si="0"/>
        <v>0</v>
      </c>
      <c r="L28" s="1567"/>
    </row>
    <row r="29" spans="1:12" x14ac:dyDescent="0.2">
      <c r="A29" s="1265" t="s">
        <v>150</v>
      </c>
      <c r="B29" s="493" t="s">
        <v>729</v>
      </c>
      <c r="C29" s="1572"/>
      <c r="D29" s="1572"/>
      <c r="E29" s="1572"/>
      <c r="F29" s="1572"/>
      <c r="G29" s="1572"/>
      <c r="H29" s="1569"/>
      <c r="I29" s="1663"/>
      <c r="J29" s="1572"/>
      <c r="K29" s="1662">
        <f t="shared" si="0"/>
        <v>0</v>
      </c>
      <c r="L29" s="1567"/>
    </row>
    <row r="30" spans="1:12" x14ac:dyDescent="0.2">
      <c r="A30" s="1265" t="s">
        <v>151</v>
      </c>
      <c r="B30" s="493" t="s">
        <v>730</v>
      </c>
      <c r="C30" s="1572"/>
      <c r="D30" s="1572"/>
      <c r="E30" s="1572"/>
      <c r="F30" s="1572"/>
      <c r="G30" s="1572"/>
      <c r="H30" s="1569"/>
      <c r="I30" s="1663"/>
      <c r="J30" s="1572"/>
      <c r="K30" s="1662">
        <f t="shared" si="0"/>
        <v>0</v>
      </c>
      <c r="L30" s="1567"/>
    </row>
    <row r="31" spans="1:12" x14ac:dyDescent="0.2">
      <c r="A31" s="1265" t="s">
        <v>152</v>
      </c>
      <c r="B31" s="493" t="s">
        <v>731</v>
      </c>
      <c r="C31" s="1572"/>
      <c r="D31" s="1572"/>
      <c r="E31" s="1572"/>
      <c r="F31" s="1572"/>
      <c r="G31" s="1572"/>
      <c r="H31" s="1569"/>
      <c r="I31" s="1663"/>
      <c r="J31" s="1572"/>
      <c r="K31" s="1662">
        <f t="shared" si="0"/>
        <v>0</v>
      </c>
      <c r="L31" s="1567"/>
    </row>
    <row r="32" spans="1:12" x14ac:dyDescent="0.2">
      <c r="A32" s="1266" t="s">
        <v>1119</v>
      </c>
      <c r="B32" s="502" t="s">
        <v>732</v>
      </c>
      <c r="C32" s="1572"/>
      <c r="D32" s="1572"/>
      <c r="E32" s="1572"/>
      <c r="F32" s="1572"/>
      <c r="G32" s="1572"/>
      <c r="H32" s="1569"/>
      <c r="I32" s="1663"/>
      <c r="J32" s="1575"/>
      <c r="K32" s="1662">
        <f t="shared" si="0"/>
        <v>0</v>
      </c>
      <c r="L32" s="1567"/>
    </row>
    <row r="33" spans="1:14" ht="12.75" customHeight="1" thickBot="1" x14ac:dyDescent="0.25">
      <c r="A33" s="1370" t="s">
        <v>1649</v>
      </c>
      <c r="B33" s="1371" t="s">
        <v>566</v>
      </c>
      <c r="C33" s="1664">
        <f>SUM(C5:C32)</f>
        <v>3728232</v>
      </c>
      <c r="D33" s="1664">
        <f t="shared" ref="D33:L33" si="1">SUM(D5:D32)</f>
        <v>607735</v>
      </c>
      <c r="E33" s="1664">
        <f t="shared" si="1"/>
        <v>136716</v>
      </c>
      <c r="F33" s="1664">
        <f t="shared" si="1"/>
        <v>148774</v>
      </c>
      <c r="G33" s="1664">
        <f t="shared" si="1"/>
        <v>26410</v>
      </c>
      <c r="H33" s="1664">
        <f t="shared" si="1"/>
        <v>775</v>
      </c>
      <c r="I33" s="1664">
        <f t="shared" si="1"/>
        <v>0</v>
      </c>
      <c r="J33" s="1664">
        <f t="shared" si="1"/>
        <v>0</v>
      </c>
      <c r="K33" s="1664">
        <f t="shared" si="1"/>
        <v>4648642</v>
      </c>
      <c r="L33" s="1664">
        <f t="shared" si="1"/>
        <v>4694000</v>
      </c>
    </row>
    <row r="34" spans="1:14" s="505" customFormat="1" ht="15.75" customHeight="1" thickTop="1" x14ac:dyDescent="0.2">
      <c r="A34" s="1336" t="s">
        <v>46</v>
      </c>
      <c r="B34" s="1337" t="s">
        <v>565</v>
      </c>
      <c r="C34" s="1665"/>
      <c r="D34" s="1665"/>
      <c r="E34" s="1665"/>
      <c r="F34" s="1665"/>
      <c r="G34" s="1665"/>
      <c r="H34" s="1665"/>
      <c r="I34" s="1663"/>
      <c r="J34" s="1663"/>
      <c r="K34" s="1663"/>
      <c r="L34" s="1663"/>
      <c r="M34" s="504"/>
      <c r="N34" s="504"/>
    </row>
    <row r="35" spans="1:14" s="505" customFormat="1" ht="15.75" customHeight="1" x14ac:dyDescent="0.2">
      <c r="A35" s="506" t="s">
        <v>587</v>
      </c>
      <c r="B35" s="507"/>
      <c r="C35" s="1666"/>
      <c r="D35" s="1666"/>
      <c r="E35" s="1666"/>
      <c r="F35" s="1666"/>
      <c r="G35" s="1666"/>
      <c r="H35" s="1666"/>
      <c r="I35" s="1663"/>
      <c r="J35" s="1663"/>
      <c r="K35" s="1663"/>
      <c r="L35" s="1663"/>
      <c r="M35" s="504"/>
      <c r="N35" s="504"/>
    </row>
    <row r="36" spans="1:14" x14ac:dyDescent="0.2">
      <c r="A36" s="1264" t="s">
        <v>1080</v>
      </c>
      <c r="B36" s="502">
        <v>2110</v>
      </c>
      <c r="C36" s="1576">
        <v>0</v>
      </c>
      <c r="D36" s="1576">
        <v>0</v>
      </c>
      <c r="E36" s="1576"/>
      <c r="F36" s="1576"/>
      <c r="G36" s="1576"/>
      <c r="H36" s="1576"/>
      <c r="I36" s="1564"/>
      <c r="J36" s="1564"/>
      <c r="K36" s="1662">
        <f t="shared" ref="K36:K41" si="2">SUM(C36:J36)</f>
        <v>0</v>
      </c>
      <c r="L36" s="1563">
        <v>31000</v>
      </c>
    </row>
    <row r="37" spans="1:14" x14ac:dyDescent="0.2">
      <c r="A37" s="1264" t="s">
        <v>1081</v>
      </c>
      <c r="B37" s="502">
        <v>2120</v>
      </c>
      <c r="C37" s="1563">
        <v>70000</v>
      </c>
      <c r="D37" s="1563">
        <v>7973</v>
      </c>
      <c r="E37" s="1563"/>
      <c r="F37" s="1563">
        <v>330</v>
      </c>
      <c r="G37" s="1563"/>
      <c r="H37" s="1563"/>
      <c r="I37" s="1564"/>
      <c r="J37" s="1564"/>
      <c r="K37" s="1662">
        <f t="shared" si="2"/>
        <v>78303</v>
      </c>
      <c r="L37" s="1563">
        <v>6000</v>
      </c>
    </row>
    <row r="38" spans="1:14" x14ac:dyDescent="0.2">
      <c r="A38" s="1264" t="s">
        <v>196</v>
      </c>
      <c r="B38" s="502">
        <v>2130</v>
      </c>
      <c r="C38" s="1563">
        <v>145565</v>
      </c>
      <c r="D38" s="1563">
        <v>21635</v>
      </c>
      <c r="E38" s="1563">
        <v>54740</v>
      </c>
      <c r="F38" s="1563">
        <v>4173</v>
      </c>
      <c r="G38" s="1563"/>
      <c r="H38" s="1563"/>
      <c r="I38" s="1564"/>
      <c r="J38" s="1564"/>
      <c r="K38" s="1662">
        <f t="shared" si="2"/>
        <v>226113</v>
      </c>
      <c r="L38" s="1563">
        <v>253000</v>
      </c>
    </row>
    <row r="39" spans="1:14" x14ac:dyDescent="0.2">
      <c r="A39" s="1264" t="s">
        <v>197</v>
      </c>
      <c r="B39" s="502">
        <v>2140</v>
      </c>
      <c r="C39" s="1563">
        <v>0</v>
      </c>
      <c r="D39" s="1563">
        <v>0</v>
      </c>
      <c r="E39" s="1563">
        <v>8550</v>
      </c>
      <c r="F39" s="1563"/>
      <c r="G39" s="1563"/>
      <c r="H39" s="1563"/>
      <c r="I39" s="1564"/>
      <c r="J39" s="1564"/>
      <c r="K39" s="1662">
        <f t="shared" si="2"/>
        <v>8550</v>
      </c>
      <c r="L39" s="1563">
        <v>31555</v>
      </c>
    </row>
    <row r="40" spans="1:14" x14ac:dyDescent="0.2">
      <c r="A40" s="1264" t="s">
        <v>198</v>
      </c>
      <c r="B40" s="502">
        <v>2150</v>
      </c>
      <c r="C40" s="1563">
        <v>46013</v>
      </c>
      <c r="D40" s="1563">
        <v>6725</v>
      </c>
      <c r="E40" s="1563"/>
      <c r="F40" s="1563">
        <v>2382</v>
      </c>
      <c r="G40" s="1563"/>
      <c r="H40" s="1563"/>
      <c r="I40" s="1564"/>
      <c r="J40" s="1564"/>
      <c r="K40" s="1662">
        <f t="shared" si="2"/>
        <v>55120</v>
      </c>
      <c r="L40" s="1563">
        <v>107500</v>
      </c>
    </row>
    <row r="41" spans="1:14" x14ac:dyDescent="0.2">
      <c r="A41" s="1264" t="s">
        <v>1650</v>
      </c>
      <c r="B41" s="502">
        <v>2190</v>
      </c>
      <c r="C41" s="1563">
        <v>55573</v>
      </c>
      <c r="D41" s="1563">
        <v>10057</v>
      </c>
      <c r="E41" s="1563">
        <v>14795</v>
      </c>
      <c r="F41" s="1563"/>
      <c r="G41" s="1563"/>
      <c r="H41" s="1563"/>
      <c r="I41" s="1564"/>
      <c r="J41" s="1564"/>
      <c r="K41" s="1662">
        <f t="shared" si="2"/>
        <v>80425</v>
      </c>
      <c r="L41" s="1563">
        <v>87500</v>
      </c>
    </row>
    <row r="42" spans="1:14" ht="12.75" customHeight="1" thickBot="1" x14ac:dyDescent="0.25">
      <c r="A42" s="1370" t="s">
        <v>556</v>
      </c>
      <c r="B42" s="1371" t="s">
        <v>711</v>
      </c>
      <c r="C42" s="1664">
        <f>SUM(C36:C41)</f>
        <v>317151</v>
      </c>
      <c r="D42" s="1664">
        <f t="shared" ref="D42:L42" si="3">SUM(D36:D41)</f>
        <v>46390</v>
      </c>
      <c r="E42" s="1664">
        <f t="shared" si="3"/>
        <v>78085</v>
      </c>
      <c r="F42" s="1664">
        <f t="shared" si="3"/>
        <v>6885</v>
      </c>
      <c r="G42" s="1664">
        <f t="shared" si="3"/>
        <v>0</v>
      </c>
      <c r="H42" s="1664">
        <f t="shared" si="3"/>
        <v>0</v>
      </c>
      <c r="I42" s="1664">
        <f t="shared" si="3"/>
        <v>0</v>
      </c>
      <c r="J42" s="1664">
        <f t="shared" si="3"/>
        <v>0</v>
      </c>
      <c r="K42" s="1664">
        <f t="shared" si="3"/>
        <v>448511</v>
      </c>
      <c r="L42" s="1664">
        <f t="shared" si="3"/>
        <v>516555</v>
      </c>
    </row>
    <row r="43" spans="1:14" ht="15.75" customHeight="1" thickTop="1" x14ac:dyDescent="0.2">
      <c r="A43" s="508" t="s">
        <v>588</v>
      </c>
      <c r="B43" s="509"/>
      <c r="C43" s="1667"/>
      <c r="D43" s="1667"/>
      <c r="E43" s="1667"/>
      <c r="F43" s="1667"/>
      <c r="G43" s="1667"/>
      <c r="H43" s="1667"/>
      <c r="I43" s="1663"/>
      <c r="J43" s="1663"/>
      <c r="K43" s="1667"/>
      <c r="L43" s="1667"/>
    </row>
    <row r="44" spans="1:14" x14ac:dyDescent="0.2">
      <c r="A44" s="1264" t="s">
        <v>809</v>
      </c>
      <c r="B44" s="502">
        <v>2210</v>
      </c>
      <c r="C44" s="1576">
        <v>59554</v>
      </c>
      <c r="D44" s="1576">
        <v>6128</v>
      </c>
      <c r="E44" s="1576">
        <v>128020</v>
      </c>
      <c r="F44" s="1576">
        <v>8946</v>
      </c>
      <c r="G44" s="1576"/>
      <c r="H44" s="1576"/>
      <c r="I44" s="1564"/>
      <c r="J44" s="1564"/>
      <c r="K44" s="1668">
        <f>SUM(C44:J44)</f>
        <v>202648</v>
      </c>
      <c r="L44" s="1576">
        <v>344805</v>
      </c>
    </row>
    <row r="45" spans="1:14" x14ac:dyDescent="0.2">
      <c r="A45" s="1264" t="s">
        <v>810</v>
      </c>
      <c r="B45" s="502">
        <v>2220</v>
      </c>
      <c r="C45" s="1563">
        <v>244212</v>
      </c>
      <c r="D45" s="1563">
        <v>43038</v>
      </c>
      <c r="E45" s="1563">
        <v>151700</v>
      </c>
      <c r="F45" s="1563">
        <v>187420</v>
      </c>
      <c r="G45" s="1563">
        <v>16214</v>
      </c>
      <c r="H45" s="1563"/>
      <c r="I45" s="1564"/>
      <c r="J45" s="1564"/>
      <c r="K45" s="1668">
        <f>SUM(C45:J45)</f>
        <v>642584</v>
      </c>
      <c r="L45" s="1563">
        <v>625200</v>
      </c>
    </row>
    <row r="46" spans="1:14" x14ac:dyDescent="0.2">
      <c r="A46" s="1264" t="s">
        <v>811</v>
      </c>
      <c r="B46" s="502">
        <v>2230</v>
      </c>
      <c r="C46" s="1563">
        <v>125944</v>
      </c>
      <c r="D46" s="1563">
        <v>12736</v>
      </c>
      <c r="E46" s="1563">
        <v>44998</v>
      </c>
      <c r="F46" s="1563">
        <v>672</v>
      </c>
      <c r="G46" s="1563"/>
      <c r="H46" s="1563">
        <v>1067</v>
      </c>
      <c r="I46" s="1564"/>
      <c r="J46" s="1564"/>
      <c r="K46" s="1668">
        <f>SUM(C46:J46)</f>
        <v>185417</v>
      </c>
      <c r="L46" s="1563">
        <v>188000</v>
      </c>
    </row>
    <row r="47" spans="1:14" ht="12.75" customHeight="1" thickBot="1" x14ac:dyDescent="0.25">
      <c r="A47" s="1370" t="s">
        <v>557</v>
      </c>
      <c r="B47" s="1371" t="s">
        <v>32</v>
      </c>
      <c r="C47" s="1664">
        <f>SUM(C44:C46)</f>
        <v>429710</v>
      </c>
      <c r="D47" s="1664">
        <f t="shared" ref="D47:K47" si="4">SUM(D44:D46)</f>
        <v>61902</v>
      </c>
      <c r="E47" s="1664">
        <f t="shared" si="4"/>
        <v>324718</v>
      </c>
      <c r="F47" s="1664">
        <f t="shared" si="4"/>
        <v>197038</v>
      </c>
      <c r="G47" s="1664">
        <f t="shared" si="4"/>
        <v>16214</v>
      </c>
      <c r="H47" s="1664">
        <f t="shared" si="4"/>
        <v>1067</v>
      </c>
      <c r="I47" s="1664">
        <f t="shared" si="4"/>
        <v>0</v>
      </c>
      <c r="J47" s="1664">
        <f t="shared" si="4"/>
        <v>0</v>
      </c>
      <c r="K47" s="1664">
        <f t="shared" si="4"/>
        <v>1030649</v>
      </c>
      <c r="L47" s="1664">
        <f>SUM(L44:L46)</f>
        <v>1158005</v>
      </c>
    </row>
    <row r="48" spans="1:14" ht="15.75" customHeight="1" thickTop="1" x14ac:dyDescent="0.2">
      <c r="A48" s="508" t="s">
        <v>606</v>
      </c>
      <c r="B48" s="509"/>
      <c r="C48" s="1667"/>
      <c r="D48" s="1667"/>
      <c r="E48" s="1667"/>
      <c r="F48" s="1667"/>
      <c r="G48" s="1667"/>
      <c r="H48" s="1667"/>
      <c r="I48" s="1663"/>
      <c r="J48" s="1663"/>
      <c r="K48" s="1667"/>
      <c r="L48" s="1667"/>
    </row>
    <row r="49" spans="1:14" x14ac:dyDescent="0.2">
      <c r="A49" s="1264" t="s">
        <v>812</v>
      </c>
      <c r="B49" s="502">
        <v>2310</v>
      </c>
      <c r="C49" s="1576">
        <v>8500</v>
      </c>
      <c r="D49" s="1576">
        <v>365734</v>
      </c>
      <c r="E49" s="1576">
        <v>211223</v>
      </c>
      <c r="F49" s="1576">
        <v>13863</v>
      </c>
      <c r="G49" s="1576"/>
      <c r="H49" s="1576">
        <v>38352</v>
      </c>
      <c r="I49" s="1564"/>
      <c r="J49" s="1564"/>
      <c r="K49" s="1668">
        <f>SUM(C49:J49)</f>
        <v>637672</v>
      </c>
      <c r="L49" s="1576">
        <v>1065000</v>
      </c>
    </row>
    <row r="50" spans="1:14" x14ac:dyDescent="0.2">
      <c r="A50" s="1264" t="s">
        <v>813</v>
      </c>
      <c r="B50" s="502">
        <v>2320</v>
      </c>
      <c r="C50" s="1563">
        <v>425258</v>
      </c>
      <c r="D50" s="1563">
        <v>51384</v>
      </c>
      <c r="E50" s="1563">
        <v>979</v>
      </c>
      <c r="F50" s="1563">
        <v>1673</v>
      </c>
      <c r="G50" s="1563"/>
      <c r="H50" s="1563">
        <v>0</v>
      </c>
      <c r="I50" s="1564"/>
      <c r="J50" s="1564"/>
      <c r="K50" s="1668">
        <f>SUM(C50:J50)</f>
        <v>479294</v>
      </c>
      <c r="L50" s="1563">
        <v>510258</v>
      </c>
    </row>
    <row r="51" spans="1:14" x14ac:dyDescent="0.2">
      <c r="A51" s="1264" t="s">
        <v>42</v>
      </c>
      <c r="B51" s="502">
        <v>2330</v>
      </c>
      <c r="C51" s="1563">
        <v>188665</v>
      </c>
      <c r="D51" s="1563">
        <v>19252</v>
      </c>
      <c r="E51" s="1563"/>
      <c r="F51" s="1563">
        <v>892</v>
      </c>
      <c r="G51" s="1563"/>
      <c r="H51" s="1563">
        <v>3528</v>
      </c>
      <c r="I51" s="1564"/>
      <c r="J51" s="1564"/>
      <c r="K51" s="1668">
        <f>SUM(C51:J51)</f>
        <v>212337</v>
      </c>
      <c r="L51" s="1563">
        <v>165000</v>
      </c>
    </row>
    <row r="52" spans="1:14" ht="22.5" x14ac:dyDescent="0.2">
      <c r="A52" s="1265" t="s">
        <v>295</v>
      </c>
      <c r="B52" s="510" t="s">
        <v>363</v>
      </c>
      <c r="C52" s="1569"/>
      <c r="D52" s="1569"/>
      <c r="E52" s="1569"/>
      <c r="F52" s="1569"/>
      <c r="G52" s="1569"/>
      <c r="H52" s="1569"/>
      <c r="I52" s="1569"/>
      <c r="J52" s="1569"/>
      <c r="K52" s="1668">
        <f>SUM(C52:J52)</f>
        <v>0</v>
      </c>
      <c r="L52" s="1569">
        <v>0</v>
      </c>
    </row>
    <row r="53" spans="1:14" ht="12.75" customHeight="1" thickBot="1" x14ac:dyDescent="0.25">
      <c r="A53" s="1370" t="s">
        <v>712</v>
      </c>
      <c r="B53" s="1371" t="s">
        <v>33</v>
      </c>
      <c r="C53" s="1664">
        <f>SUM(C49:C52)</f>
        <v>622423</v>
      </c>
      <c r="D53" s="1664">
        <f t="shared" ref="D53:L53" si="5">SUM(D49:D52)</f>
        <v>436370</v>
      </c>
      <c r="E53" s="1664">
        <f t="shared" si="5"/>
        <v>212202</v>
      </c>
      <c r="F53" s="1664">
        <f t="shared" si="5"/>
        <v>16428</v>
      </c>
      <c r="G53" s="1664">
        <f t="shared" si="5"/>
        <v>0</v>
      </c>
      <c r="H53" s="1664">
        <f t="shared" si="5"/>
        <v>41880</v>
      </c>
      <c r="I53" s="1664">
        <f t="shared" si="5"/>
        <v>0</v>
      </c>
      <c r="J53" s="1664">
        <f t="shared" si="5"/>
        <v>0</v>
      </c>
      <c r="K53" s="1664">
        <f t="shared" si="5"/>
        <v>1329303</v>
      </c>
      <c r="L53" s="1664">
        <f t="shared" si="5"/>
        <v>1740258</v>
      </c>
    </row>
    <row r="54" spans="1:14" ht="15.75" customHeight="1" thickTop="1" x14ac:dyDescent="0.2">
      <c r="A54" s="508" t="s">
        <v>607</v>
      </c>
      <c r="B54" s="509"/>
      <c r="C54" s="1667"/>
      <c r="D54" s="1667"/>
      <c r="E54" s="1667"/>
      <c r="F54" s="1667"/>
      <c r="G54" s="1667"/>
      <c r="H54" s="1667"/>
      <c r="I54" s="1663"/>
      <c r="J54" s="1663"/>
      <c r="K54" s="1667"/>
      <c r="L54" s="1667"/>
    </row>
    <row r="55" spans="1:14" x14ac:dyDescent="0.2">
      <c r="A55" s="1264" t="s">
        <v>1058</v>
      </c>
      <c r="B55" s="502">
        <v>2410</v>
      </c>
      <c r="C55" s="1576">
        <v>677898</v>
      </c>
      <c r="D55" s="1576">
        <v>223931</v>
      </c>
      <c r="E55" s="1576"/>
      <c r="F55" s="1576">
        <v>9253</v>
      </c>
      <c r="G55" s="1576"/>
      <c r="H55" s="1576">
        <v>235</v>
      </c>
      <c r="I55" s="1564"/>
      <c r="J55" s="1564"/>
      <c r="K55" s="1668">
        <f>SUM(C55:J55)</f>
        <v>911317</v>
      </c>
      <c r="L55" s="1576">
        <v>773753</v>
      </c>
    </row>
    <row r="56" spans="1:14" ht="12.75" customHeight="1" x14ac:dyDescent="0.2">
      <c r="A56" s="1268" t="s">
        <v>373</v>
      </c>
      <c r="B56" s="511">
        <v>2490</v>
      </c>
      <c r="C56" s="1563"/>
      <c r="D56" s="1563"/>
      <c r="E56" s="1563"/>
      <c r="F56" s="1563"/>
      <c r="G56" s="1563"/>
      <c r="H56" s="1563"/>
      <c r="I56" s="1564"/>
      <c r="J56" s="1564"/>
      <c r="K56" s="1668">
        <f>SUM(C56:J56)</f>
        <v>0</v>
      </c>
      <c r="L56" s="1563">
        <v>0</v>
      </c>
    </row>
    <row r="57" spans="1:14" s="320" customFormat="1" ht="12.75" customHeight="1" thickBot="1" x14ac:dyDescent="0.25">
      <c r="A57" s="1370" t="s">
        <v>261</v>
      </c>
      <c r="B57" s="1372" t="s">
        <v>34</v>
      </c>
      <c r="C57" s="1669">
        <f>SUM(C55:C56)</f>
        <v>677898</v>
      </c>
      <c r="D57" s="1669">
        <f t="shared" ref="D57:K57" si="6">SUM(D55:D56)</f>
        <v>223931</v>
      </c>
      <c r="E57" s="1669">
        <f t="shared" si="6"/>
        <v>0</v>
      </c>
      <c r="F57" s="1669">
        <f t="shared" si="6"/>
        <v>9253</v>
      </c>
      <c r="G57" s="1669">
        <f t="shared" si="6"/>
        <v>0</v>
      </c>
      <c r="H57" s="1669">
        <f t="shared" si="6"/>
        <v>235</v>
      </c>
      <c r="I57" s="1669">
        <f t="shared" si="6"/>
        <v>0</v>
      </c>
      <c r="J57" s="1669">
        <f t="shared" si="6"/>
        <v>0</v>
      </c>
      <c r="K57" s="1669">
        <f t="shared" si="6"/>
        <v>911317</v>
      </c>
      <c r="L57" s="1664">
        <f>SUM(L55:L56)</f>
        <v>773753</v>
      </c>
      <c r="M57" s="500"/>
      <c r="N57" s="500"/>
    </row>
    <row r="58" spans="1:14" s="320" customFormat="1" ht="15.75" customHeight="1" thickTop="1" x14ac:dyDescent="0.2">
      <c r="A58" s="508" t="s">
        <v>608</v>
      </c>
      <c r="B58" s="509"/>
      <c r="C58" s="1670"/>
      <c r="D58" s="1667"/>
      <c r="E58" s="1667"/>
      <c r="F58" s="1667"/>
      <c r="G58" s="1667"/>
      <c r="H58" s="1667"/>
      <c r="I58" s="1663"/>
      <c r="J58" s="1663"/>
      <c r="K58" s="1667"/>
      <c r="L58" s="1667"/>
      <c r="M58" s="500"/>
      <c r="N58" s="500"/>
    </row>
    <row r="59" spans="1:14" s="320" customFormat="1" x14ac:dyDescent="0.2">
      <c r="A59" s="1264" t="s">
        <v>1059</v>
      </c>
      <c r="B59" s="502">
        <v>2510</v>
      </c>
      <c r="C59" s="1576">
        <v>265810</v>
      </c>
      <c r="D59" s="1576">
        <v>20498</v>
      </c>
      <c r="E59" s="1576">
        <v>89121</v>
      </c>
      <c r="F59" s="1576">
        <v>4099</v>
      </c>
      <c r="G59" s="1576"/>
      <c r="H59" s="1576">
        <v>2861</v>
      </c>
      <c r="I59" s="1564"/>
      <c r="J59" s="1564"/>
      <c r="K59" s="1668">
        <f t="shared" ref="K59:K64" si="7">SUM(C59:J59)</f>
        <v>382389</v>
      </c>
      <c r="L59" s="1576">
        <v>389000</v>
      </c>
      <c r="M59" s="500"/>
      <c r="N59" s="500"/>
    </row>
    <row r="60" spans="1:14" s="320" customFormat="1" x14ac:dyDescent="0.2">
      <c r="A60" s="1264" t="s">
        <v>460</v>
      </c>
      <c r="B60" s="502">
        <v>2520</v>
      </c>
      <c r="C60" s="1563"/>
      <c r="D60" s="1563"/>
      <c r="E60" s="1563"/>
      <c r="F60" s="1563"/>
      <c r="G60" s="1563"/>
      <c r="H60" s="1563"/>
      <c r="I60" s="1564"/>
      <c r="J60" s="1564"/>
      <c r="K60" s="1668">
        <f t="shared" si="7"/>
        <v>0</v>
      </c>
      <c r="L60" s="1563">
        <v>0</v>
      </c>
      <c r="M60" s="500"/>
      <c r="N60" s="500"/>
    </row>
    <row r="61" spans="1:14" s="320" customFormat="1" x14ac:dyDescent="0.2">
      <c r="A61" s="1264" t="s">
        <v>195</v>
      </c>
      <c r="B61" s="502">
        <v>2540</v>
      </c>
      <c r="C61" s="1563"/>
      <c r="D61" s="1563"/>
      <c r="E61" s="1563"/>
      <c r="F61" s="1563"/>
      <c r="G61" s="1563"/>
      <c r="H61" s="1563"/>
      <c r="I61" s="1564"/>
      <c r="J61" s="1564"/>
      <c r="K61" s="1668">
        <f t="shared" si="7"/>
        <v>0</v>
      </c>
      <c r="L61" s="1563">
        <v>0</v>
      </c>
      <c r="M61" s="500"/>
      <c r="N61" s="500"/>
    </row>
    <row r="62" spans="1:14" s="320" customFormat="1" x14ac:dyDescent="0.2">
      <c r="A62" s="1264" t="s">
        <v>947</v>
      </c>
      <c r="B62" s="502">
        <v>2550</v>
      </c>
      <c r="C62" s="1563"/>
      <c r="D62" s="1563"/>
      <c r="E62" s="1563">
        <v>9500</v>
      </c>
      <c r="F62" s="1563"/>
      <c r="G62" s="1563"/>
      <c r="H62" s="1563"/>
      <c r="I62" s="1564"/>
      <c r="J62" s="1564"/>
      <c r="K62" s="1668">
        <f t="shared" si="7"/>
        <v>9500</v>
      </c>
      <c r="L62" s="1563">
        <v>18208</v>
      </c>
      <c r="M62" s="500"/>
      <c r="N62" s="500"/>
    </row>
    <row r="63" spans="1:14" s="500" customFormat="1" x14ac:dyDescent="0.2">
      <c r="A63" s="1264" t="s">
        <v>100</v>
      </c>
      <c r="B63" s="502">
        <v>2560</v>
      </c>
      <c r="C63" s="1563">
        <v>51012</v>
      </c>
      <c r="D63" s="1563"/>
      <c r="E63" s="1563">
        <v>497203</v>
      </c>
      <c r="F63" s="1563">
        <v>3307</v>
      </c>
      <c r="G63" s="1563"/>
      <c r="H63" s="1563"/>
      <c r="I63" s="1564"/>
      <c r="J63" s="1564"/>
      <c r="K63" s="1668">
        <f t="shared" si="7"/>
        <v>551522</v>
      </c>
      <c r="L63" s="1563">
        <v>578500</v>
      </c>
    </row>
    <row r="64" spans="1:14" s="500" customFormat="1" x14ac:dyDescent="0.2">
      <c r="A64" s="1269" t="s">
        <v>101</v>
      </c>
      <c r="B64" s="512">
        <v>2570</v>
      </c>
      <c r="C64" s="1576"/>
      <c r="D64" s="1576"/>
      <c r="E64" s="1576"/>
      <c r="F64" s="1576"/>
      <c r="G64" s="1576"/>
      <c r="H64" s="1576"/>
      <c r="I64" s="1564"/>
      <c r="J64" s="1564"/>
      <c r="K64" s="1668">
        <f t="shared" si="7"/>
        <v>0</v>
      </c>
      <c r="L64" s="1576">
        <v>0</v>
      </c>
    </row>
    <row r="65" spans="1:14" s="320" customFormat="1" ht="12.75" customHeight="1" thickBot="1" x14ac:dyDescent="0.25">
      <c r="A65" s="1370" t="s">
        <v>714</v>
      </c>
      <c r="B65" s="1371" t="s">
        <v>35</v>
      </c>
      <c r="C65" s="1664">
        <f>SUM(C59:C64)</f>
        <v>316822</v>
      </c>
      <c r="D65" s="1664">
        <f t="shared" ref="D65:L65" si="8">SUM(D59:D64)</f>
        <v>20498</v>
      </c>
      <c r="E65" s="1664">
        <f t="shared" si="8"/>
        <v>595824</v>
      </c>
      <c r="F65" s="1664">
        <f t="shared" si="8"/>
        <v>7406</v>
      </c>
      <c r="G65" s="1664">
        <f t="shared" si="8"/>
        <v>0</v>
      </c>
      <c r="H65" s="1664">
        <f t="shared" si="8"/>
        <v>2861</v>
      </c>
      <c r="I65" s="1664">
        <f t="shared" si="8"/>
        <v>0</v>
      </c>
      <c r="J65" s="1664">
        <f t="shared" si="8"/>
        <v>0</v>
      </c>
      <c r="K65" s="1664">
        <f t="shared" si="8"/>
        <v>943411</v>
      </c>
      <c r="L65" s="1664">
        <f t="shared" si="8"/>
        <v>985708</v>
      </c>
      <c r="M65" s="500"/>
      <c r="N65" s="500"/>
    </row>
    <row r="66" spans="1:14" s="320" customFormat="1" ht="15.75" customHeight="1" thickTop="1" x14ac:dyDescent="0.2">
      <c r="A66" s="508" t="s">
        <v>609</v>
      </c>
      <c r="B66" s="513"/>
      <c r="C66" s="1663"/>
      <c r="D66" s="1663"/>
      <c r="E66" s="1663"/>
      <c r="F66" s="1663"/>
      <c r="G66" s="1663"/>
      <c r="H66" s="1663"/>
      <c r="I66" s="1663"/>
      <c r="J66" s="1663"/>
      <c r="K66" s="1667"/>
      <c r="L66" s="1667"/>
      <c r="M66" s="500"/>
      <c r="N66" s="500"/>
    </row>
    <row r="67" spans="1:14" s="320" customFormat="1" x14ac:dyDescent="0.2">
      <c r="A67" s="1264" t="s">
        <v>1051</v>
      </c>
      <c r="B67" s="502">
        <v>2610</v>
      </c>
      <c r="C67" s="1563"/>
      <c r="D67" s="1563"/>
      <c r="E67" s="1563"/>
      <c r="F67" s="1563"/>
      <c r="G67" s="1563"/>
      <c r="H67" s="1563"/>
      <c r="I67" s="1564"/>
      <c r="J67" s="1564"/>
      <c r="K67" s="1668">
        <f>SUM(C67:J67)</f>
        <v>0</v>
      </c>
      <c r="L67" s="1576">
        <v>0</v>
      </c>
      <c r="M67" s="500"/>
      <c r="N67" s="500"/>
    </row>
    <row r="68" spans="1:14" s="320" customFormat="1" x14ac:dyDescent="0.2">
      <c r="A68" s="1264" t="s">
        <v>603</v>
      </c>
      <c r="B68" s="502">
        <v>2620</v>
      </c>
      <c r="C68" s="1563"/>
      <c r="D68" s="1563"/>
      <c r="E68" s="1563">
        <v>0</v>
      </c>
      <c r="F68" s="1563"/>
      <c r="G68" s="1563"/>
      <c r="H68" s="1563"/>
      <c r="I68" s="1564"/>
      <c r="J68" s="1564"/>
      <c r="K68" s="1668">
        <f>SUM(C68:J68)</f>
        <v>0</v>
      </c>
      <c r="L68" s="1563">
        <v>3300</v>
      </c>
      <c r="M68" s="500"/>
      <c r="N68" s="500"/>
    </row>
    <row r="69" spans="1:14" s="320" customFormat="1" x14ac:dyDescent="0.2">
      <c r="A69" s="1264" t="s">
        <v>1052</v>
      </c>
      <c r="B69" s="502">
        <v>2630</v>
      </c>
      <c r="C69" s="1563"/>
      <c r="D69" s="1563"/>
      <c r="E69" s="1563"/>
      <c r="F69" s="1563"/>
      <c r="G69" s="1563"/>
      <c r="H69" s="1563"/>
      <c r="I69" s="1564"/>
      <c r="J69" s="1564"/>
      <c r="K69" s="1668">
        <f>SUM(C69:J69)</f>
        <v>0</v>
      </c>
      <c r="L69" s="1563">
        <v>0</v>
      </c>
      <c r="M69" s="500"/>
      <c r="N69" s="500"/>
    </row>
    <row r="70" spans="1:14" s="320" customFormat="1" x14ac:dyDescent="0.2">
      <c r="A70" s="1264" t="s">
        <v>400</v>
      </c>
      <c r="B70" s="502">
        <v>2640</v>
      </c>
      <c r="C70" s="1563">
        <v>1150</v>
      </c>
      <c r="D70" s="1563">
        <v>148</v>
      </c>
      <c r="E70" s="1563"/>
      <c r="F70" s="1563"/>
      <c r="G70" s="1563"/>
      <c r="H70" s="1563"/>
      <c r="I70" s="1564"/>
      <c r="J70" s="1564"/>
      <c r="K70" s="1668">
        <f>SUM(C70:J70)</f>
        <v>1298</v>
      </c>
      <c r="L70" s="1563">
        <v>0</v>
      </c>
      <c r="M70" s="500"/>
      <c r="N70" s="500"/>
    </row>
    <row r="71" spans="1:14" s="320" customFormat="1" x14ac:dyDescent="0.2">
      <c r="A71" s="1264" t="s">
        <v>401</v>
      </c>
      <c r="B71" s="502">
        <v>2660</v>
      </c>
      <c r="C71" s="1563"/>
      <c r="D71" s="1563"/>
      <c r="E71" s="1563">
        <v>0</v>
      </c>
      <c r="F71" s="1563"/>
      <c r="G71" s="1563"/>
      <c r="H71" s="1563"/>
      <c r="I71" s="1564"/>
      <c r="J71" s="1564"/>
      <c r="K71" s="1668">
        <f>SUM(C71:J71)</f>
        <v>0</v>
      </c>
      <c r="L71" s="1563">
        <v>17038</v>
      </c>
      <c r="M71" s="500"/>
      <c r="N71" s="500"/>
    </row>
    <row r="72" spans="1:14" s="320" customFormat="1" ht="12.75" customHeight="1" thickBot="1" x14ac:dyDescent="0.25">
      <c r="A72" s="1370" t="s">
        <v>37</v>
      </c>
      <c r="B72" s="1373" t="s">
        <v>36</v>
      </c>
      <c r="C72" s="1664">
        <f>SUM(C67:C71)</f>
        <v>1150</v>
      </c>
      <c r="D72" s="1664">
        <f t="shared" ref="D72:K72" si="9">SUM(D67:D71)</f>
        <v>148</v>
      </c>
      <c r="E72" s="1664">
        <f t="shared" si="9"/>
        <v>0</v>
      </c>
      <c r="F72" s="1664">
        <f t="shared" si="9"/>
        <v>0</v>
      </c>
      <c r="G72" s="1664">
        <f t="shared" si="9"/>
        <v>0</v>
      </c>
      <c r="H72" s="1664">
        <f t="shared" si="9"/>
        <v>0</v>
      </c>
      <c r="I72" s="1664">
        <f t="shared" si="9"/>
        <v>0</v>
      </c>
      <c r="J72" s="1664">
        <f t="shared" si="9"/>
        <v>0</v>
      </c>
      <c r="K72" s="1664">
        <f t="shared" si="9"/>
        <v>1298</v>
      </c>
      <c r="L72" s="1664">
        <f>SUM(L67:L71)</f>
        <v>20338</v>
      </c>
      <c r="M72" s="500"/>
      <c r="N72" s="500"/>
    </row>
    <row r="73" spans="1:14" s="320" customFormat="1" ht="14.25" thickTop="1" thickBot="1" x14ac:dyDescent="0.25">
      <c r="A73" s="1270" t="s">
        <v>973</v>
      </c>
      <c r="B73" s="514" t="s">
        <v>570</v>
      </c>
      <c r="C73" s="1639"/>
      <c r="D73" s="1639"/>
      <c r="E73" s="1639"/>
      <c r="F73" s="1639">
        <v>0</v>
      </c>
      <c r="G73" s="1639"/>
      <c r="H73" s="1639"/>
      <c r="I73" s="1617"/>
      <c r="J73" s="1617"/>
      <c r="K73" s="1664">
        <f>SUM(C73:J73)</f>
        <v>0</v>
      </c>
      <c r="L73" s="1641">
        <v>0</v>
      </c>
      <c r="M73" s="500"/>
      <c r="N73" s="500"/>
    </row>
    <row r="74" spans="1:14" ht="12.75" customHeight="1" thickTop="1" thickBot="1" x14ac:dyDescent="0.25">
      <c r="A74" s="1370" t="s">
        <v>806</v>
      </c>
      <c r="B74" s="1374">
        <v>2000</v>
      </c>
      <c r="C74" s="1671">
        <f>SUM(C42,C47,C53,C57,C65,C72,C73)</f>
        <v>2365154</v>
      </c>
      <c r="D74" s="1671">
        <f t="shared" ref="D74:K74" si="10">SUM(D42,D47,D53,D57,D65,D72,D73)</f>
        <v>789239</v>
      </c>
      <c r="E74" s="1671">
        <f t="shared" si="10"/>
        <v>1210829</v>
      </c>
      <c r="F74" s="1671">
        <f t="shared" si="10"/>
        <v>237010</v>
      </c>
      <c r="G74" s="1671">
        <f t="shared" si="10"/>
        <v>16214</v>
      </c>
      <c r="H74" s="1671">
        <f t="shared" si="10"/>
        <v>46043</v>
      </c>
      <c r="I74" s="1671">
        <f t="shared" si="10"/>
        <v>0</v>
      </c>
      <c r="J74" s="1671">
        <f t="shared" si="10"/>
        <v>0</v>
      </c>
      <c r="K74" s="1671">
        <f t="shared" si="10"/>
        <v>4664489</v>
      </c>
      <c r="L74" s="1671">
        <f>SUM(L42,L47,L53,L57,L65,L72,L73)</f>
        <v>5194617</v>
      </c>
    </row>
    <row r="75" spans="1:14" s="253" customFormat="1" ht="15.75" customHeight="1" thickTop="1" thickBot="1" x14ac:dyDescent="0.25">
      <c r="A75" s="1338" t="s">
        <v>47</v>
      </c>
      <c r="B75" s="1339" t="s">
        <v>571</v>
      </c>
      <c r="C75" s="1639"/>
      <c r="D75" s="1639"/>
      <c r="E75" s="1639">
        <v>342</v>
      </c>
      <c r="F75" s="1639">
        <v>2003</v>
      </c>
      <c r="G75" s="1639"/>
      <c r="H75" s="1639"/>
      <c r="I75" s="1617"/>
      <c r="J75" s="1617"/>
      <c r="K75" s="1664">
        <f>SUM(C75:J75)</f>
        <v>2345</v>
      </c>
      <c r="L75" s="1641">
        <v>0</v>
      </c>
      <c r="M75" s="501"/>
      <c r="N75" s="501"/>
    </row>
    <row r="76" spans="1:14" s="515" customFormat="1" ht="15.75" customHeight="1" thickTop="1" x14ac:dyDescent="0.2">
      <c r="A76" s="1340" t="s">
        <v>362</v>
      </c>
      <c r="B76" s="1337" t="s">
        <v>855</v>
      </c>
      <c r="C76" s="1665"/>
      <c r="D76" s="1665"/>
      <c r="E76" s="1663"/>
      <c r="F76" s="1665"/>
      <c r="G76" s="1665"/>
      <c r="H76" s="1663"/>
      <c r="I76" s="1663"/>
      <c r="J76" s="1663"/>
      <c r="K76" s="1663"/>
      <c r="L76" s="1663"/>
      <c r="M76" s="178"/>
      <c r="N76" s="178"/>
    </row>
    <row r="77" spans="1:14" s="253" customFormat="1" ht="15.75" customHeight="1" x14ac:dyDescent="0.2">
      <c r="A77" s="506" t="s">
        <v>610</v>
      </c>
      <c r="B77" s="507"/>
      <c r="C77" s="1663"/>
      <c r="D77" s="1663"/>
      <c r="E77" s="1666"/>
      <c r="F77" s="1663"/>
      <c r="G77" s="1663"/>
      <c r="H77" s="1666"/>
      <c r="I77" s="1663"/>
      <c r="J77" s="1663"/>
      <c r="K77" s="1666"/>
      <c r="L77" s="1666"/>
      <c r="M77" s="501"/>
      <c r="N77" s="501"/>
    </row>
    <row r="78" spans="1:14" x14ac:dyDescent="0.2">
      <c r="A78" s="1264" t="s">
        <v>493</v>
      </c>
      <c r="B78" s="502">
        <v>4110</v>
      </c>
      <c r="C78" s="1663"/>
      <c r="D78" s="1663"/>
      <c r="E78" s="1576"/>
      <c r="F78" s="1663"/>
      <c r="G78" s="1663"/>
      <c r="H78" s="1672"/>
      <c r="I78" s="1572"/>
      <c r="J78" s="1572"/>
      <c r="K78" s="1662">
        <f t="shared" ref="K78:K83" si="11">SUM(C78:J78)</f>
        <v>0</v>
      </c>
      <c r="L78" s="1576">
        <v>0</v>
      </c>
    </row>
    <row r="79" spans="1:14" x14ac:dyDescent="0.2">
      <c r="A79" s="1264" t="s">
        <v>301</v>
      </c>
      <c r="B79" s="502">
        <v>4120</v>
      </c>
      <c r="C79" s="1663"/>
      <c r="D79" s="1663"/>
      <c r="E79" s="1563"/>
      <c r="F79" s="1663"/>
      <c r="G79" s="1663"/>
      <c r="H79" s="1563">
        <v>1515587</v>
      </c>
      <c r="I79" s="1572"/>
      <c r="J79" s="1572"/>
      <c r="K79" s="1662">
        <f t="shared" si="11"/>
        <v>1515587</v>
      </c>
      <c r="L79" s="1563">
        <v>1300000</v>
      </c>
    </row>
    <row r="80" spans="1:14" x14ac:dyDescent="0.2">
      <c r="A80" s="1264" t="s">
        <v>302</v>
      </c>
      <c r="B80" s="502">
        <v>4130</v>
      </c>
      <c r="C80" s="1663"/>
      <c r="D80" s="1663"/>
      <c r="E80" s="1563"/>
      <c r="F80" s="1663"/>
      <c r="G80" s="1663"/>
      <c r="H80" s="1563"/>
      <c r="I80" s="1572"/>
      <c r="J80" s="1572"/>
      <c r="K80" s="1662">
        <f t="shared" si="11"/>
        <v>0</v>
      </c>
      <c r="L80" s="1563">
        <v>0</v>
      </c>
    </row>
    <row r="81" spans="1:12" x14ac:dyDescent="0.2">
      <c r="A81" s="1264" t="s">
        <v>692</v>
      </c>
      <c r="B81" s="502">
        <v>4140</v>
      </c>
      <c r="C81" s="1663"/>
      <c r="D81" s="1663"/>
      <c r="E81" s="1563"/>
      <c r="F81" s="1663"/>
      <c r="G81" s="1663"/>
      <c r="H81" s="1563"/>
      <c r="I81" s="1572"/>
      <c r="J81" s="1572"/>
      <c r="K81" s="1662">
        <f t="shared" si="11"/>
        <v>0</v>
      </c>
      <c r="L81" s="1563">
        <v>0</v>
      </c>
    </row>
    <row r="82" spans="1:12" x14ac:dyDescent="0.2">
      <c r="A82" s="1264" t="s">
        <v>86</v>
      </c>
      <c r="B82" s="502">
        <v>4170</v>
      </c>
      <c r="C82" s="1663"/>
      <c r="D82" s="1663"/>
      <c r="E82" s="1563"/>
      <c r="F82" s="1663"/>
      <c r="G82" s="1663"/>
      <c r="H82" s="1563"/>
      <c r="I82" s="1572"/>
      <c r="J82" s="1572"/>
      <c r="K82" s="1662">
        <f t="shared" si="11"/>
        <v>0</v>
      </c>
      <c r="L82" s="1563">
        <v>0</v>
      </c>
    </row>
    <row r="83" spans="1:12" x14ac:dyDescent="0.2">
      <c r="A83" s="1268" t="s">
        <v>693</v>
      </c>
      <c r="B83" s="511">
        <v>4190</v>
      </c>
      <c r="C83" s="1663"/>
      <c r="D83" s="1663"/>
      <c r="E83" s="1563"/>
      <c r="F83" s="1663"/>
      <c r="G83" s="1663"/>
      <c r="H83" s="1563">
        <v>0</v>
      </c>
      <c r="I83" s="1572"/>
      <c r="J83" s="1572"/>
      <c r="K83" s="1662">
        <f t="shared" si="11"/>
        <v>0</v>
      </c>
      <c r="L83" s="1563">
        <v>0</v>
      </c>
    </row>
    <row r="84" spans="1:12" ht="13.5" thickBot="1" x14ac:dyDescent="0.25">
      <c r="A84" s="1370" t="s">
        <v>1468</v>
      </c>
      <c r="B84" s="1375">
        <v>4100</v>
      </c>
      <c r="C84" s="1663"/>
      <c r="D84" s="1663"/>
      <c r="E84" s="1664">
        <f>SUM(E78:E83)</f>
        <v>0</v>
      </c>
      <c r="F84" s="1663"/>
      <c r="G84" s="1663"/>
      <c r="H84" s="1664">
        <f>SUM(H78:H83)</f>
        <v>1515587</v>
      </c>
      <c r="I84" s="1572"/>
      <c r="J84" s="1572"/>
      <c r="K84" s="1664">
        <f>SUM(K78:K83)</f>
        <v>1515587</v>
      </c>
      <c r="L84" s="1664">
        <f>SUM(L78:L83)</f>
        <v>1300000</v>
      </c>
    </row>
    <row r="85" spans="1:12" ht="12.75" customHeight="1" thickTop="1" thickBot="1" x14ac:dyDescent="0.25">
      <c r="A85" s="1271" t="s">
        <v>253</v>
      </c>
      <c r="B85" s="516">
        <v>4210</v>
      </c>
      <c r="C85" s="1663"/>
      <c r="D85" s="1663"/>
      <c r="E85" s="1673"/>
      <c r="F85" s="1663"/>
      <c r="G85" s="1663"/>
      <c r="H85" s="1620"/>
      <c r="I85" s="1572"/>
      <c r="J85" s="1572"/>
      <c r="K85" s="1671">
        <f>H85</f>
        <v>0</v>
      </c>
      <c r="L85" s="1616">
        <v>0</v>
      </c>
    </row>
    <row r="86" spans="1:12" ht="12.75" customHeight="1" thickTop="1" thickBot="1" x14ac:dyDescent="0.25">
      <c r="A86" s="1272" t="s">
        <v>694</v>
      </c>
      <c r="B86" s="517">
        <v>4220</v>
      </c>
      <c r="C86" s="1663"/>
      <c r="D86" s="1663"/>
      <c r="E86" s="1674"/>
      <c r="F86" s="1663"/>
      <c r="G86" s="1663"/>
      <c r="H86" s="1564"/>
      <c r="I86" s="1572"/>
      <c r="J86" s="1572"/>
      <c r="K86" s="1671">
        <f t="shared" ref="K86:K98" si="12">H86</f>
        <v>0</v>
      </c>
      <c r="L86" s="1616">
        <v>0</v>
      </c>
    </row>
    <row r="87" spans="1:12" ht="14.25" thickTop="1" thickBot="1" x14ac:dyDescent="0.25">
      <c r="A87" s="1273" t="s">
        <v>695</v>
      </c>
      <c r="B87" s="518">
        <v>4230</v>
      </c>
      <c r="C87" s="1663"/>
      <c r="D87" s="1663"/>
      <c r="E87" s="1674"/>
      <c r="F87" s="1663"/>
      <c r="G87" s="1663"/>
      <c r="H87" s="1564"/>
      <c r="I87" s="1572"/>
      <c r="J87" s="1572"/>
      <c r="K87" s="1671">
        <f t="shared" si="12"/>
        <v>0</v>
      </c>
      <c r="L87" s="1616">
        <v>0</v>
      </c>
    </row>
    <row r="88" spans="1:12" ht="12.75" customHeight="1" thickTop="1" thickBot="1" x14ac:dyDescent="0.25">
      <c r="A88" s="1273" t="s">
        <v>760</v>
      </c>
      <c r="B88" s="518">
        <v>4240</v>
      </c>
      <c r="C88" s="1663"/>
      <c r="D88" s="1663"/>
      <c r="E88" s="1674"/>
      <c r="F88" s="1663"/>
      <c r="G88" s="1663"/>
      <c r="H88" s="1564"/>
      <c r="I88" s="1572"/>
      <c r="J88" s="1572"/>
      <c r="K88" s="1671">
        <f t="shared" si="12"/>
        <v>0</v>
      </c>
      <c r="L88" s="1616">
        <v>0</v>
      </c>
    </row>
    <row r="89" spans="1:12" ht="12.75" customHeight="1" thickTop="1" thickBot="1" x14ac:dyDescent="0.25">
      <c r="A89" s="1273" t="s">
        <v>696</v>
      </c>
      <c r="B89" s="518">
        <v>4270</v>
      </c>
      <c r="C89" s="1663"/>
      <c r="D89" s="1663"/>
      <c r="E89" s="1674"/>
      <c r="F89" s="1663"/>
      <c r="G89" s="1663"/>
      <c r="H89" s="1564"/>
      <c r="I89" s="1572"/>
      <c r="J89" s="1572"/>
      <c r="K89" s="1671">
        <f t="shared" si="12"/>
        <v>0</v>
      </c>
      <c r="L89" s="1616">
        <v>0</v>
      </c>
    </row>
    <row r="90" spans="1:12" ht="12.75" customHeight="1" thickTop="1" thickBot="1" x14ac:dyDescent="0.25">
      <c r="A90" s="1273" t="s">
        <v>681</v>
      </c>
      <c r="B90" s="518">
        <v>4280</v>
      </c>
      <c r="C90" s="1663"/>
      <c r="D90" s="1663"/>
      <c r="E90" s="1674"/>
      <c r="F90" s="1663"/>
      <c r="G90" s="1663"/>
      <c r="H90" s="1564"/>
      <c r="I90" s="1572"/>
      <c r="J90" s="1572"/>
      <c r="K90" s="1671">
        <f t="shared" si="12"/>
        <v>0</v>
      </c>
      <c r="L90" s="1616">
        <v>0</v>
      </c>
    </row>
    <row r="91" spans="1:12" ht="12.75" customHeight="1" thickTop="1" thickBot="1" x14ac:dyDescent="0.25">
      <c r="A91" s="1273" t="s">
        <v>682</v>
      </c>
      <c r="B91" s="518">
        <v>4290</v>
      </c>
      <c r="C91" s="1663"/>
      <c r="D91" s="1663"/>
      <c r="E91" s="1674"/>
      <c r="F91" s="1663"/>
      <c r="G91" s="1663"/>
      <c r="H91" s="1564"/>
      <c r="I91" s="1572"/>
      <c r="J91" s="1572"/>
      <c r="K91" s="1671">
        <f t="shared" si="12"/>
        <v>0</v>
      </c>
      <c r="L91" s="1616">
        <v>0</v>
      </c>
    </row>
    <row r="92" spans="1:12" ht="14.25" thickTop="1" thickBot="1" x14ac:dyDescent="0.25">
      <c r="A92" s="1376" t="s">
        <v>1543</v>
      </c>
      <c r="B92" s="1375">
        <v>4200</v>
      </c>
      <c r="C92" s="1663"/>
      <c r="D92" s="1663"/>
      <c r="E92" s="1674"/>
      <c r="F92" s="1663"/>
      <c r="G92" s="1663"/>
      <c r="H92" s="1664">
        <f>SUM(H85:H91)</f>
        <v>0</v>
      </c>
      <c r="I92" s="1572"/>
      <c r="J92" s="1572"/>
      <c r="K92" s="1671">
        <f t="shared" si="12"/>
        <v>0</v>
      </c>
      <c r="L92" s="1664">
        <f>SUM(L85:L91)</f>
        <v>0</v>
      </c>
    </row>
    <row r="93" spans="1:12" ht="14.25" thickTop="1" thickBot="1" x14ac:dyDescent="0.25">
      <c r="A93" s="1272" t="s">
        <v>683</v>
      </c>
      <c r="B93" s="519">
        <v>4310</v>
      </c>
      <c r="C93" s="1663"/>
      <c r="D93" s="1663"/>
      <c r="E93" s="1674"/>
      <c r="F93" s="1663"/>
      <c r="G93" s="1663"/>
      <c r="H93" s="1675"/>
      <c r="I93" s="1572"/>
      <c r="J93" s="1572"/>
      <c r="K93" s="1671">
        <f t="shared" si="12"/>
        <v>0</v>
      </c>
      <c r="L93" s="1618">
        <v>0</v>
      </c>
    </row>
    <row r="94" spans="1:12" ht="12.75" customHeight="1" thickTop="1" thickBot="1" x14ac:dyDescent="0.25">
      <c r="A94" s="1273" t="s">
        <v>684</v>
      </c>
      <c r="B94" s="518">
        <v>4320</v>
      </c>
      <c r="C94" s="1663"/>
      <c r="D94" s="1663"/>
      <c r="E94" s="1674"/>
      <c r="F94" s="1663"/>
      <c r="G94" s="1663"/>
      <c r="H94" s="1564"/>
      <c r="I94" s="1572"/>
      <c r="J94" s="1572"/>
      <c r="K94" s="1671">
        <f t="shared" si="12"/>
        <v>0</v>
      </c>
      <c r="L94" s="1616">
        <v>0</v>
      </c>
    </row>
    <row r="95" spans="1:12" ht="15" customHeight="1" thickTop="1" thickBot="1" x14ac:dyDescent="0.25">
      <c r="A95" s="1273" t="s">
        <v>1471</v>
      </c>
      <c r="B95" s="518">
        <v>4330</v>
      </c>
      <c r="C95" s="1663"/>
      <c r="D95" s="1663"/>
      <c r="E95" s="1674"/>
      <c r="F95" s="1663"/>
      <c r="G95" s="1663"/>
      <c r="H95" s="1564"/>
      <c r="I95" s="1572"/>
      <c r="J95" s="1572"/>
      <c r="K95" s="1671">
        <f t="shared" si="12"/>
        <v>0</v>
      </c>
      <c r="L95" s="1616">
        <v>0</v>
      </c>
    </row>
    <row r="96" spans="1:12" ht="14.25" thickTop="1" thickBot="1" x14ac:dyDescent="0.25">
      <c r="A96" s="1273" t="s">
        <v>685</v>
      </c>
      <c r="B96" s="518">
        <v>4340</v>
      </c>
      <c r="C96" s="1663"/>
      <c r="D96" s="1663"/>
      <c r="E96" s="1674"/>
      <c r="F96" s="1663"/>
      <c r="G96" s="1663"/>
      <c r="H96" s="1564"/>
      <c r="I96" s="1572"/>
      <c r="J96" s="1572"/>
      <c r="K96" s="1671">
        <f t="shared" si="12"/>
        <v>0</v>
      </c>
      <c r="L96" s="1616">
        <v>0</v>
      </c>
    </row>
    <row r="97" spans="1:14" ht="12.75" customHeight="1" thickTop="1" thickBot="1" x14ac:dyDescent="0.25">
      <c r="A97" s="1273" t="s">
        <v>758</v>
      </c>
      <c r="B97" s="518">
        <v>4370</v>
      </c>
      <c r="C97" s="1663"/>
      <c r="D97" s="1663"/>
      <c r="E97" s="1674"/>
      <c r="F97" s="1663"/>
      <c r="G97" s="1663"/>
      <c r="H97" s="1564"/>
      <c r="I97" s="1572"/>
      <c r="J97" s="1572"/>
      <c r="K97" s="1671">
        <f t="shared" si="12"/>
        <v>0</v>
      </c>
      <c r="L97" s="1616">
        <v>0</v>
      </c>
    </row>
    <row r="98" spans="1:14" ht="14.25" thickTop="1" thickBot="1" x14ac:dyDescent="0.25">
      <c r="A98" s="1273" t="s">
        <v>759</v>
      </c>
      <c r="B98" s="518">
        <v>4380</v>
      </c>
      <c r="C98" s="1663"/>
      <c r="D98" s="1663"/>
      <c r="E98" s="1676"/>
      <c r="F98" s="1663"/>
      <c r="G98" s="1663"/>
      <c r="H98" s="1564"/>
      <c r="I98" s="1572"/>
      <c r="J98" s="1572"/>
      <c r="K98" s="1671">
        <f t="shared" si="12"/>
        <v>0</v>
      </c>
      <c r="L98" s="1616">
        <v>0</v>
      </c>
    </row>
    <row r="99" spans="1:14" ht="14.25" thickTop="1" thickBot="1" x14ac:dyDescent="0.25">
      <c r="A99" s="1273" t="s">
        <v>364</v>
      </c>
      <c r="B99" s="518">
        <v>4390</v>
      </c>
      <c r="C99" s="1663"/>
      <c r="D99" s="1663"/>
      <c r="E99" s="1618"/>
      <c r="F99" s="1663"/>
      <c r="G99" s="1663"/>
      <c r="H99" s="1564"/>
      <c r="I99" s="1572"/>
      <c r="J99" s="1572"/>
      <c r="K99" s="1671">
        <f>SUM(E99,H99)</f>
        <v>0</v>
      </c>
      <c r="L99" s="1616">
        <v>0</v>
      </c>
    </row>
    <row r="100" spans="1:14" ht="14.25" thickTop="1" thickBot="1" x14ac:dyDescent="0.25">
      <c r="A100" s="1376" t="s">
        <v>1469</v>
      </c>
      <c r="B100" s="1377">
        <v>4300</v>
      </c>
      <c r="C100" s="1663"/>
      <c r="D100" s="1663"/>
      <c r="E100" s="1671">
        <f>SUM(E93:E99)</f>
        <v>0</v>
      </c>
      <c r="F100" s="1663"/>
      <c r="G100" s="1663"/>
      <c r="H100" s="1671">
        <f>SUM(H93:H99)</f>
        <v>0</v>
      </c>
      <c r="I100" s="1572"/>
      <c r="J100" s="1572"/>
      <c r="K100" s="1671">
        <f>SUM(K93:K99)</f>
        <v>0</v>
      </c>
      <c r="L100" s="1671">
        <f>SUM(L93:L99)</f>
        <v>0</v>
      </c>
    </row>
    <row r="101" spans="1:14" ht="12.75" customHeight="1" thickTop="1" thickBot="1" x14ac:dyDescent="0.25">
      <c r="A101" s="1270" t="s">
        <v>1472</v>
      </c>
      <c r="B101" s="520" t="s">
        <v>925</v>
      </c>
      <c r="C101" s="1663"/>
      <c r="D101" s="1663"/>
      <c r="E101" s="1617"/>
      <c r="F101" s="1663"/>
      <c r="G101" s="1663"/>
      <c r="H101" s="1617"/>
      <c r="I101" s="1572"/>
      <c r="J101" s="1572"/>
      <c r="K101" s="1677">
        <f>SUM(C101:J101)</f>
        <v>0</v>
      </c>
      <c r="L101" s="1616">
        <v>0</v>
      </c>
    </row>
    <row r="102" spans="1:14" ht="12.75" customHeight="1" thickTop="1" thickBot="1" x14ac:dyDescent="0.25">
      <c r="A102" s="1370" t="s">
        <v>1470</v>
      </c>
      <c r="B102" s="1375">
        <v>4000</v>
      </c>
      <c r="C102" s="1663"/>
      <c r="D102" s="1663"/>
      <c r="E102" s="1671">
        <f>SUM(E84,E92,E100,E101)</f>
        <v>0</v>
      </c>
      <c r="F102" s="1663"/>
      <c r="G102" s="1663"/>
      <c r="H102" s="1671">
        <f>SUM(H84,H92,H100,H101)</f>
        <v>1515587</v>
      </c>
      <c r="I102" s="1572"/>
      <c r="J102" s="1572"/>
      <c r="K102" s="1671">
        <f>SUM(K84,K92,K100,K101)</f>
        <v>1515587</v>
      </c>
      <c r="L102" s="1671">
        <f>SUM(L84,L92,L100,L101)</f>
        <v>1300000</v>
      </c>
    </row>
    <row r="103" spans="1:14" s="515" customFormat="1" ht="15.75" customHeight="1" thickTop="1" x14ac:dyDescent="0.2">
      <c r="A103" s="1340" t="s">
        <v>510</v>
      </c>
      <c r="B103" s="1337" t="s">
        <v>489</v>
      </c>
      <c r="C103" s="1663"/>
      <c r="D103" s="1663"/>
      <c r="E103" s="1663"/>
      <c r="F103" s="1663"/>
      <c r="G103" s="1663"/>
      <c r="H103" s="1665"/>
      <c r="I103" s="1565"/>
      <c r="J103" s="1565"/>
      <c r="K103" s="1665"/>
      <c r="L103" s="1665"/>
      <c r="M103" s="178"/>
      <c r="N103" s="178"/>
    </row>
    <row r="104" spans="1:14" s="523" customFormat="1" ht="15.75" customHeight="1" x14ac:dyDescent="0.2">
      <c r="A104" s="521" t="s">
        <v>611</v>
      </c>
      <c r="B104" s="522"/>
      <c r="C104" s="1663"/>
      <c r="D104" s="1663"/>
      <c r="E104" s="1663"/>
      <c r="F104" s="1663"/>
      <c r="G104" s="1663"/>
      <c r="H104" s="1666"/>
      <c r="I104" s="1565"/>
      <c r="J104" s="1565"/>
      <c r="K104" s="1666"/>
      <c r="L104" s="1666"/>
      <c r="M104" s="501"/>
      <c r="N104" s="501"/>
    </row>
    <row r="105" spans="1:14" s="492" customFormat="1" x14ac:dyDescent="0.2">
      <c r="A105" s="1264" t="s">
        <v>87</v>
      </c>
      <c r="B105" s="502">
        <v>5110</v>
      </c>
      <c r="C105" s="1663"/>
      <c r="D105" s="1663"/>
      <c r="E105" s="1663"/>
      <c r="F105" s="1663"/>
      <c r="G105" s="1663"/>
      <c r="H105" s="1576"/>
      <c r="I105" s="1565"/>
      <c r="J105" s="1565"/>
      <c r="K105" s="1662">
        <f>H105</f>
        <v>0</v>
      </c>
      <c r="L105" s="1576">
        <v>0</v>
      </c>
      <c r="M105" s="204"/>
      <c r="N105" s="204"/>
    </row>
    <row r="106" spans="1:14" s="492" customFormat="1" x14ac:dyDescent="0.2">
      <c r="A106" s="1264" t="s">
        <v>88</v>
      </c>
      <c r="B106" s="502">
        <v>5120</v>
      </c>
      <c r="C106" s="1663"/>
      <c r="D106" s="1663"/>
      <c r="E106" s="1663"/>
      <c r="F106" s="1663"/>
      <c r="G106" s="1663"/>
      <c r="H106" s="1563"/>
      <c r="I106" s="1565"/>
      <c r="J106" s="1565"/>
      <c r="K106" s="1662">
        <f>H106</f>
        <v>0</v>
      </c>
      <c r="L106" s="1563">
        <v>0</v>
      </c>
      <c r="M106" s="204"/>
      <c r="N106" s="204"/>
    </row>
    <row r="107" spans="1:14" s="492" customFormat="1" ht="12.75" customHeight="1" x14ac:dyDescent="0.2">
      <c r="A107" s="1264" t="s">
        <v>1160</v>
      </c>
      <c r="B107" s="502">
        <v>5130</v>
      </c>
      <c r="C107" s="1663"/>
      <c r="D107" s="1663"/>
      <c r="E107" s="1663"/>
      <c r="F107" s="1663"/>
      <c r="G107" s="1663"/>
      <c r="H107" s="1563"/>
      <c r="I107" s="1565"/>
      <c r="J107" s="1565"/>
      <c r="K107" s="1662">
        <f>H107</f>
        <v>0</v>
      </c>
      <c r="L107" s="1563">
        <v>0</v>
      </c>
      <c r="M107" s="204"/>
      <c r="N107" s="204"/>
    </row>
    <row r="108" spans="1:14" s="492" customFormat="1" x14ac:dyDescent="0.2">
      <c r="A108" s="1264" t="s">
        <v>89</v>
      </c>
      <c r="B108" s="502" t="s">
        <v>585</v>
      </c>
      <c r="C108" s="1663"/>
      <c r="D108" s="1663"/>
      <c r="E108" s="1663"/>
      <c r="F108" s="1663"/>
      <c r="G108" s="1663"/>
      <c r="H108" s="1563"/>
      <c r="I108" s="1565"/>
      <c r="J108" s="1565"/>
      <c r="K108" s="1662">
        <f>H108</f>
        <v>0</v>
      </c>
      <c r="L108" s="1563">
        <v>0</v>
      </c>
      <c r="M108" s="204"/>
      <c r="N108" s="204"/>
    </row>
    <row r="109" spans="1:14" s="492" customFormat="1" x14ac:dyDescent="0.2">
      <c r="A109" s="1264" t="s">
        <v>252</v>
      </c>
      <c r="B109" s="511">
        <v>5150</v>
      </c>
      <c r="C109" s="1663"/>
      <c r="D109" s="1663"/>
      <c r="E109" s="1663"/>
      <c r="F109" s="1663"/>
      <c r="G109" s="1663"/>
      <c r="H109" s="1563"/>
      <c r="I109" s="1565"/>
      <c r="J109" s="1565"/>
      <c r="K109" s="1662">
        <f>H109</f>
        <v>0</v>
      </c>
      <c r="L109" s="1563">
        <v>0</v>
      </c>
      <c r="M109" s="204"/>
      <c r="N109" s="204"/>
    </row>
    <row r="110" spans="1:14" s="492" customFormat="1" ht="12.75" customHeight="1" thickBot="1" x14ac:dyDescent="0.25">
      <c r="A110" s="1370" t="s">
        <v>1093</v>
      </c>
      <c r="B110" s="1373" t="s">
        <v>713</v>
      </c>
      <c r="C110" s="1663"/>
      <c r="D110" s="1663"/>
      <c r="E110" s="1663"/>
      <c r="F110" s="1663"/>
      <c r="G110" s="1663"/>
      <c r="H110" s="1664">
        <f>SUM(H105:H109)</f>
        <v>0</v>
      </c>
      <c r="I110" s="1565"/>
      <c r="J110" s="1565"/>
      <c r="K110" s="1664">
        <f>SUM(K105:K109)</f>
        <v>0</v>
      </c>
      <c r="L110" s="1664">
        <f>SUM(L105:L109)</f>
        <v>0</v>
      </c>
      <c r="M110" s="204"/>
      <c r="N110" s="204"/>
    </row>
    <row r="111" spans="1:14" s="492" customFormat="1" ht="12.75" customHeight="1" thickTop="1" thickBot="1" x14ac:dyDescent="0.25">
      <c r="A111" s="1274" t="s">
        <v>365</v>
      </c>
      <c r="B111" s="524" t="s">
        <v>38</v>
      </c>
      <c r="C111" s="1663"/>
      <c r="D111" s="1663"/>
      <c r="E111" s="1663"/>
      <c r="F111" s="1663"/>
      <c r="G111" s="1663"/>
      <c r="H111" s="1620"/>
      <c r="I111" s="1565"/>
      <c r="J111" s="1565"/>
      <c r="K111" s="1678">
        <f>H111</f>
        <v>0</v>
      </c>
      <c r="L111" s="1618">
        <v>0</v>
      </c>
      <c r="M111" s="204"/>
      <c r="N111" s="204"/>
    </row>
    <row r="112" spans="1:14" s="492" customFormat="1" ht="12.75" customHeight="1" thickTop="1" thickBot="1" x14ac:dyDescent="0.25">
      <c r="A112" s="1370" t="s">
        <v>633</v>
      </c>
      <c r="B112" s="1371" t="s">
        <v>489</v>
      </c>
      <c r="C112" s="1663"/>
      <c r="D112" s="1663"/>
      <c r="E112" s="1663"/>
      <c r="F112" s="1663"/>
      <c r="G112" s="1663"/>
      <c r="H112" s="1664">
        <f>SUM(H110:H111)</f>
        <v>0</v>
      </c>
      <c r="I112" s="1565"/>
      <c r="J112" s="1565"/>
      <c r="K112" s="1664">
        <f>SUM(K110:K111)</f>
        <v>0</v>
      </c>
      <c r="L112" s="1671">
        <f>SUM(L110,L111)</f>
        <v>0</v>
      </c>
      <c r="M112" s="204"/>
      <c r="N112" s="204"/>
    </row>
    <row r="113" spans="1:14" s="253" customFormat="1" ht="15.75" customHeight="1" thickTop="1" thickBot="1" x14ac:dyDescent="0.25">
      <c r="A113" s="1334" t="s">
        <v>511</v>
      </c>
      <c r="B113" s="1341" t="s">
        <v>856</v>
      </c>
      <c r="C113" s="1666"/>
      <c r="D113" s="1666"/>
      <c r="E113" s="1663"/>
      <c r="F113" s="1663"/>
      <c r="G113" s="1663"/>
      <c r="H113" s="1666"/>
      <c r="I113" s="1565"/>
      <c r="J113" s="1565"/>
      <c r="K113" s="1666"/>
      <c r="L113" s="1617">
        <v>0</v>
      </c>
      <c r="M113" s="501"/>
      <c r="N113" s="501"/>
    </row>
    <row r="114" spans="1:14" ht="12.75" customHeight="1" thickTop="1" thickBot="1" x14ac:dyDescent="0.25">
      <c r="A114" s="1370" t="s">
        <v>48</v>
      </c>
      <c r="B114" s="1378"/>
      <c r="C114" s="1664">
        <f>SUM(C33,C74,C75,C102,C112,C113)</f>
        <v>6093386</v>
      </c>
      <c r="D114" s="1664">
        <f t="shared" ref="D114:K114" si="13">SUM(D33,D74,D75,D102,D112,D113)</f>
        <v>1396974</v>
      </c>
      <c r="E114" s="1664">
        <f t="shared" si="13"/>
        <v>1347887</v>
      </c>
      <c r="F114" s="1664">
        <f t="shared" si="13"/>
        <v>387787</v>
      </c>
      <c r="G114" s="1664">
        <f t="shared" si="13"/>
        <v>42624</v>
      </c>
      <c r="H114" s="1664">
        <f>SUM(H33,H74,H75,H102,H112,H113)</f>
        <v>1562405</v>
      </c>
      <c r="I114" s="1664">
        <f t="shared" si="13"/>
        <v>0</v>
      </c>
      <c r="J114" s="1664">
        <f t="shared" si="13"/>
        <v>0</v>
      </c>
      <c r="K114" s="1664">
        <f t="shared" si="13"/>
        <v>10831063</v>
      </c>
      <c r="L114" s="1664">
        <f>SUM(L33,L74,L75,L102,L112,L113)</f>
        <v>11188617</v>
      </c>
    </row>
    <row r="115" spans="1:14" ht="13.5" thickTop="1" x14ac:dyDescent="0.2">
      <c r="A115" s="2335" t="s">
        <v>989</v>
      </c>
      <c r="B115" s="2336"/>
      <c r="C115" s="1665"/>
      <c r="D115" s="1665"/>
      <c r="E115" s="1665"/>
      <c r="F115" s="1665"/>
      <c r="G115" s="1665"/>
      <c r="H115" s="1665"/>
      <c r="I115" s="1665"/>
      <c r="J115" s="1665"/>
      <c r="K115" s="1679">
        <f>'Revenues 9-14'!C268-'Expenditures 15-22'!K114</f>
        <v>1700809</v>
      </c>
      <c r="L115" s="1665"/>
    </row>
    <row r="116" spans="1:14" s="174" customFormat="1" ht="9" customHeight="1" x14ac:dyDescent="0.2">
      <c r="A116" s="525"/>
      <c r="B116" s="526"/>
      <c r="C116" s="1680"/>
      <c r="D116" s="1680"/>
      <c r="E116" s="1680"/>
      <c r="F116" s="1680"/>
      <c r="G116" s="1680"/>
      <c r="H116" s="1680"/>
      <c r="I116" s="1680"/>
      <c r="J116" s="1680"/>
      <c r="K116" s="1680"/>
      <c r="L116" s="1680"/>
      <c r="M116" s="204"/>
      <c r="N116" s="204"/>
    </row>
    <row r="117" spans="1:14" s="527" customFormat="1" ht="16.7" customHeight="1" x14ac:dyDescent="0.2">
      <c r="A117" s="2313" t="s">
        <v>293</v>
      </c>
      <c r="B117" s="2314"/>
      <c r="C117" s="1681"/>
      <c r="D117" s="1682"/>
      <c r="E117" s="1682"/>
      <c r="F117" s="1682"/>
      <c r="G117" s="1682"/>
      <c r="H117" s="1682"/>
      <c r="I117" s="1682"/>
      <c r="J117" s="1682"/>
      <c r="K117" s="1682"/>
      <c r="L117" s="1683"/>
      <c r="M117" s="169"/>
      <c r="N117" s="169"/>
    </row>
    <row r="118" spans="1:14" ht="15.75" customHeight="1" x14ac:dyDescent="0.2">
      <c r="A118" s="1342" t="s">
        <v>1028</v>
      </c>
      <c r="B118" s="1343" t="s">
        <v>565</v>
      </c>
      <c r="C118" s="1663"/>
      <c r="D118" s="1663"/>
      <c r="E118" s="1663"/>
      <c r="F118" s="1663"/>
      <c r="G118" s="1663"/>
      <c r="H118" s="1663"/>
      <c r="I118" s="1663"/>
      <c r="J118" s="1663"/>
      <c r="K118" s="1663"/>
      <c r="L118" s="1663"/>
    </row>
    <row r="119" spans="1:14" ht="15.75" customHeight="1" x14ac:dyDescent="0.2">
      <c r="A119" s="528" t="s">
        <v>587</v>
      </c>
      <c r="B119" s="507"/>
      <c r="C119" s="1666"/>
      <c r="D119" s="1666"/>
      <c r="E119" s="1666"/>
      <c r="F119" s="1663"/>
      <c r="G119" s="1663"/>
      <c r="H119" s="1666"/>
      <c r="I119" s="1663"/>
      <c r="J119" s="1663"/>
      <c r="K119" s="1666"/>
      <c r="L119" s="1666"/>
    </row>
    <row r="120" spans="1:14" ht="12.75" customHeight="1" x14ac:dyDescent="0.2">
      <c r="A120" s="1268" t="s">
        <v>1960</v>
      </c>
      <c r="B120" s="511" t="s">
        <v>711</v>
      </c>
      <c r="C120" s="1563"/>
      <c r="D120" s="1563"/>
      <c r="E120" s="1563"/>
      <c r="F120" s="1563"/>
      <c r="G120" s="1563"/>
      <c r="H120" s="1563"/>
      <c r="I120" s="1564"/>
      <c r="J120" s="1564"/>
      <c r="K120" s="1662">
        <f>SUM(C120:J120)</f>
        <v>0</v>
      </c>
      <c r="L120" s="1563">
        <v>0</v>
      </c>
    </row>
    <row r="121" spans="1:14" ht="15.75" customHeight="1" x14ac:dyDescent="0.2">
      <c r="A121" s="529" t="s">
        <v>608</v>
      </c>
      <c r="B121" s="507"/>
      <c r="C121" s="1607"/>
      <c r="D121" s="1607"/>
      <c r="E121" s="1607"/>
      <c r="F121" s="1607"/>
      <c r="G121" s="1607"/>
      <c r="H121" s="1607"/>
      <c r="I121" s="1663"/>
      <c r="J121" s="1663"/>
      <c r="K121" s="1666"/>
      <c r="L121" s="1607"/>
    </row>
    <row r="122" spans="1:14" ht="13.5" thickBot="1" x14ac:dyDescent="0.25">
      <c r="A122" s="1264" t="s">
        <v>1059</v>
      </c>
      <c r="B122" s="502">
        <v>2510</v>
      </c>
      <c r="C122" s="1563"/>
      <c r="D122" s="1563"/>
      <c r="E122" s="1563"/>
      <c r="F122" s="1563"/>
      <c r="G122" s="1563"/>
      <c r="H122" s="1563"/>
      <c r="I122" s="1564"/>
      <c r="J122" s="1564"/>
      <c r="K122" s="1664">
        <f>SUM(C122:J122)</f>
        <v>0</v>
      </c>
      <c r="L122" s="1563">
        <v>0</v>
      </c>
    </row>
    <row r="123" spans="1:14" ht="14.25" thickTop="1" thickBot="1" x14ac:dyDescent="0.25">
      <c r="A123" s="1264" t="s">
        <v>4</v>
      </c>
      <c r="B123" s="502">
        <v>2530</v>
      </c>
      <c r="C123" s="1563"/>
      <c r="D123" s="1563"/>
      <c r="E123" s="1563"/>
      <c r="F123" s="1563">
        <v>0</v>
      </c>
      <c r="G123" s="1563">
        <v>23907</v>
      </c>
      <c r="H123" s="1563"/>
      <c r="I123" s="1564"/>
      <c r="J123" s="1564"/>
      <c r="K123" s="1664">
        <f>SUM(C123:J123)</f>
        <v>23907</v>
      </c>
      <c r="L123" s="1563">
        <v>250000</v>
      </c>
    </row>
    <row r="124" spans="1:14" ht="14.25" thickTop="1" thickBot="1" x14ac:dyDescent="0.25">
      <c r="A124" s="1264" t="s">
        <v>195</v>
      </c>
      <c r="B124" s="502">
        <v>2540</v>
      </c>
      <c r="C124" s="1563">
        <v>406129</v>
      </c>
      <c r="D124" s="1563">
        <v>80924</v>
      </c>
      <c r="E124" s="1563">
        <v>741890</v>
      </c>
      <c r="F124" s="1563">
        <v>353713</v>
      </c>
      <c r="G124" s="1563">
        <v>4680</v>
      </c>
      <c r="H124" s="1563"/>
      <c r="I124" s="1564"/>
      <c r="J124" s="1564"/>
      <c r="K124" s="1664">
        <f>SUM(C124:J124)</f>
        <v>1587336</v>
      </c>
      <c r="L124" s="1563">
        <v>1626250</v>
      </c>
    </row>
    <row r="125" spans="1:14" ht="14.25" thickTop="1" thickBot="1" x14ac:dyDescent="0.25">
      <c r="A125" s="1264" t="s">
        <v>947</v>
      </c>
      <c r="B125" s="502">
        <v>2550</v>
      </c>
      <c r="C125" s="1563"/>
      <c r="D125" s="1563"/>
      <c r="E125" s="1563"/>
      <c r="F125" s="1563"/>
      <c r="G125" s="1563"/>
      <c r="H125" s="1563"/>
      <c r="I125" s="1564"/>
      <c r="J125" s="1564"/>
      <c r="K125" s="1664">
        <f>SUM(C125:J125)</f>
        <v>0</v>
      </c>
      <c r="L125" s="1563">
        <v>0</v>
      </c>
    </row>
    <row r="126" spans="1:14" ht="14.25" thickTop="1" thickBot="1" x14ac:dyDescent="0.25">
      <c r="A126" s="1264" t="s">
        <v>100</v>
      </c>
      <c r="B126" s="502">
        <v>2560</v>
      </c>
      <c r="C126" s="1684"/>
      <c r="D126" s="1684"/>
      <c r="E126" s="1684"/>
      <c r="F126" s="1684"/>
      <c r="G126" s="1563"/>
      <c r="H126" s="1684"/>
      <c r="I126" s="1569"/>
      <c r="J126" s="1663"/>
      <c r="K126" s="1664">
        <f>SUM(C126:J126)</f>
        <v>0</v>
      </c>
      <c r="L126" s="1563">
        <v>0</v>
      </c>
    </row>
    <row r="127" spans="1:14" ht="12.75" customHeight="1" thickTop="1" thickBot="1" x14ac:dyDescent="0.25">
      <c r="A127" s="1370" t="s">
        <v>714</v>
      </c>
      <c r="B127" s="1371" t="s">
        <v>35</v>
      </c>
      <c r="C127" s="1664">
        <f>SUM(C122:C126)</f>
        <v>406129</v>
      </c>
      <c r="D127" s="1664">
        <f t="shared" ref="D127:L127" si="14">SUM(D122:D126)</f>
        <v>80924</v>
      </c>
      <c r="E127" s="1664">
        <f t="shared" si="14"/>
        <v>741890</v>
      </c>
      <c r="F127" s="1664">
        <f t="shared" si="14"/>
        <v>353713</v>
      </c>
      <c r="G127" s="1664">
        <f t="shared" si="14"/>
        <v>28587</v>
      </c>
      <c r="H127" s="1664">
        <f t="shared" si="14"/>
        <v>0</v>
      </c>
      <c r="I127" s="1664">
        <f t="shared" si="14"/>
        <v>0</v>
      </c>
      <c r="J127" s="1664">
        <f t="shared" si="14"/>
        <v>0</v>
      </c>
      <c r="K127" s="1664">
        <f t="shared" si="14"/>
        <v>1611243</v>
      </c>
      <c r="L127" s="1664">
        <f t="shared" si="14"/>
        <v>1876250</v>
      </c>
    </row>
    <row r="128" spans="1:14" ht="12.75" customHeight="1" thickTop="1" x14ac:dyDescent="0.2">
      <c r="A128" s="1271" t="s">
        <v>973</v>
      </c>
      <c r="B128" s="530" t="s">
        <v>570</v>
      </c>
      <c r="C128" s="1685"/>
      <c r="D128" s="1685"/>
      <c r="E128" s="1685"/>
      <c r="F128" s="1685"/>
      <c r="G128" s="1685"/>
      <c r="H128" s="1685"/>
      <c r="I128" s="1620"/>
      <c r="J128" s="1620"/>
      <c r="K128" s="1686">
        <f>SUM(C128:J128)</f>
        <v>0</v>
      </c>
      <c r="L128" s="1685">
        <v>0</v>
      </c>
    </row>
    <row r="129" spans="1:14" ht="12.75" customHeight="1" thickBot="1" x14ac:dyDescent="0.25">
      <c r="A129" s="1379" t="s">
        <v>806</v>
      </c>
      <c r="B129" s="1380" t="s">
        <v>565</v>
      </c>
      <c r="C129" s="1671">
        <f>SUM(C120,C127,C128)</f>
        <v>406129</v>
      </c>
      <c r="D129" s="1671">
        <f t="shared" ref="D129:L129" si="15">SUM(D120,D127,D128)</f>
        <v>80924</v>
      </c>
      <c r="E129" s="1671">
        <f t="shared" si="15"/>
        <v>741890</v>
      </c>
      <c r="F129" s="1671">
        <f t="shared" si="15"/>
        <v>353713</v>
      </c>
      <c r="G129" s="1671">
        <f t="shared" si="15"/>
        <v>28587</v>
      </c>
      <c r="H129" s="1671">
        <f t="shared" si="15"/>
        <v>0</v>
      </c>
      <c r="I129" s="1671">
        <f t="shared" si="15"/>
        <v>0</v>
      </c>
      <c r="J129" s="1671">
        <f t="shared" si="15"/>
        <v>0</v>
      </c>
      <c r="K129" s="1671">
        <f t="shared" si="15"/>
        <v>1611243</v>
      </c>
      <c r="L129" s="1671">
        <f t="shared" si="15"/>
        <v>1876250</v>
      </c>
    </row>
    <row r="130" spans="1:14" ht="15.75" customHeight="1" thickTop="1" thickBot="1" x14ac:dyDescent="0.25">
      <c r="A130" s="1338" t="s">
        <v>1029</v>
      </c>
      <c r="B130" s="1339" t="s">
        <v>571</v>
      </c>
      <c r="C130" s="1641"/>
      <c r="D130" s="1641"/>
      <c r="E130" s="1641"/>
      <c r="F130" s="1641"/>
      <c r="G130" s="1641"/>
      <c r="H130" s="1641"/>
      <c r="I130" s="1617"/>
      <c r="J130" s="1617"/>
      <c r="K130" s="1664">
        <f>SUM(C130:J130)</f>
        <v>0</v>
      </c>
      <c r="L130" s="1641">
        <v>0</v>
      </c>
    </row>
    <row r="131" spans="1:14" ht="15.75" customHeight="1" thickTop="1" x14ac:dyDescent="0.2">
      <c r="A131" s="1344" t="s">
        <v>612</v>
      </c>
      <c r="B131" s="1337" t="s">
        <v>855</v>
      </c>
      <c r="C131" s="1565"/>
      <c r="D131" s="1565"/>
      <c r="E131" s="1635"/>
      <c r="F131" s="1565"/>
      <c r="G131" s="1565"/>
      <c r="H131" s="1635"/>
      <c r="I131" s="1565"/>
      <c r="J131" s="1565"/>
      <c r="K131" s="1635"/>
      <c r="L131" s="1635"/>
    </row>
    <row r="132" spans="1:14" s="360" customFormat="1" ht="13.5" customHeight="1" x14ac:dyDescent="0.2">
      <c r="A132" s="531" t="s">
        <v>610</v>
      </c>
      <c r="B132" s="532"/>
      <c r="C132" s="1565"/>
      <c r="D132" s="1565"/>
      <c r="E132" s="1607"/>
      <c r="F132" s="1565"/>
      <c r="G132" s="1565"/>
      <c r="H132" s="1607"/>
      <c r="I132" s="1565"/>
      <c r="J132" s="1565"/>
      <c r="K132" s="1607"/>
      <c r="L132" s="1607"/>
      <c r="M132" s="200"/>
      <c r="N132" s="200"/>
    </row>
    <row r="133" spans="1:14" s="360" customFormat="1" ht="13.5" customHeight="1" x14ac:dyDescent="0.2">
      <c r="A133" s="1251" t="s">
        <v>493</v>
      </c>
      <c r="B133" s="1464" t="s">
        <v>1813</v>
      </c>
      <c r="C133" s="1565"/>
      <c r="D133" s="1565"/>
      <c r="E133" s="1675"/>
      <c r="F133" s="1565"/>
      <c r="G133" s="1565"/>
      <c r="H133" s="1675"/>
      <c r="I133" s="1565"/>
      <c r="J133" s="1565"/>
      <c r="K133" s="1687">
        <f>SUM(E133,H133)</f>
        <v>0</v>
      </c>
      <c r="L133" s="1675">
        <v>0</v>
      </c>
      <c r="M133" s="200"/>
      <c r="N133" s="200"/>
    </row>
    <row r="134" spans="1:14" x14ac:dyDescent="0.2">
      <c r="A134" s="1264" t="s">
        <v>301</v>
      </c>
      <c r="B134" s="502">
        <v>4120</v>
      </c>
      <c r="C134" s="1663"/>
      <c r="D134" s="1663"/>
      <c r="E134" s="1573"/>
      <c r="F134" s="1663"/>
      <c r="G134" s="1663"/>
      <c r="H134" s="1576"/>
      <c r="I134" s="1572"/>
      <c r="J134" s="1663"/>
      <c r="K134" s="1668">
        <f>SUM(E134,H134)</f>
        <v>0</v>
      </c>
      <c r="L134" s="1576">
        <v>0</v>
      </c>
    </row>
    <row r="135" spans="1:14" x14ac:dyDescent="0.2">
      <c r="A135" s="1264" t="s">
        <v>692</v>
      </c>
      <c r="B135" s="502">
        <v>4140</v>
      </c>
      <c r="C135" s="1663"/>
      <c r="D135" s="1663"/>
      <c r="E135" s="1564"/>
      <c r="F135" s="1663"/>
      <c r="G135" s="1663"/>
      <c r="H135" s="1563"/>
      <c r="I135" s="1572"/>
      <c r="J135" s="1663"/>
      <c r="K135" s="1668">
        <f>SUM(E135,H135)</f>
        <v>0</v>
      </c>
      <c r="L135" s="1563">
        <v>0</v>
      </c>
    </row>
    <row r="136" spans="1:14" x14ac:dyDescent="0.2">
      <c r="A136" s="1268" t="s">
        <v>693</v>
      </c>
      <c r="B136" s="511">
        <v>4190</v>
      </c>
      <c r="C136" s="1663"/>
      <c r="D136" s="1663"/>
      <c r="E136" s="1564"/>
      <c r="F136" s="1663"/>
      <c r="G136" s="1663"/>
      <c r="H136" s="1563"/>
      <c r="I136" s="1572"/>
      <c r="J136" s="1663"/>
      <c r="K136" s="1668">
        <f>SUM(E136,H136)</f>
        <v>0</v>
      </c>
      <c r="L136" s="1563">
        <v>0</v>
      </c>
    </row>
    <row r="137" spans="1:14" ht="12.75" customHeight="1" thickBot="1" x14ac:dyDescent="0.25">
      <c r="A137" s="1370" t="s">
        <v>477</v>
      </c>
      <c r="B137" s="1375">
        <v>4100</v>
      </c>
      <c r="C137" s="1663"/>
      <c r="D137" s="1663"/>
      <c r="E137" s="1664">
        <f>SUM(E133:E136)</f>
        <v>0</v>
      </c>
      <c r="F137" s="1663"/>
      <c r="G137" s="1663"/>
      <c r="H137" s="1664">
        <f>SUM(H133:H136)</f>
        <v>0</v>
      </c>
      <c r="I137" s="1572"/>
      <c r="J137" s="1663"/>
      <c r="K137" s="1664">
        <f>SUM(K133:K136)</f>
        <v>0</v>
      </c>
      <c r="L137" s="1664">
        <f>SUM(L133:L136)</f>
        <v>0</v>
      </c>
    </row>
    <row r="138" spans="1:14" ht="12.75" customHeight="1" thickTop="1" thickBot="1" x14ac:dyDescent="0.25">
      <c r="A138" s="1270" t="s">
        <v>96</v>
      </c>
      <c r="B138" s="520" t="s">
        <v>925</v>
      </c>
      <c r="C138" s="1663"/>
      <c r="D138" s="1663"/>
      <c r="E138" s="1574"/>
      <c r="F138" s="1663"/>
      <c r="G138" s="1663"/>
      <c r="H138" s="1641"/>
      <c r="I138" s="1572"/>
      <c r="J138" s="1663"/>
      <c r="K138" s="1668">
        <f>SUM(E138,H138)</f>
        <v>0</v>
      </c>
      <c r="L138" s="1641">
        <v>0</v>
      </c>
    </row>
    <row r="139" spans="1:14" ht="12.75" customHeight="1" thickTop="1" thickBot="1" x14ac:dyDescent="0.25">
      <c r="A139" s="1370" t="s">
        <v>1470</v>
      </c>
      <c r="B139" s="1375">
        <v>4000</v>
      </c>
      <c r="C139" s="1663"/>
      <c r="D139" s="1663"/>
      <c r="E139" s="1664">
        <f>SUM(E137,E138)</f>
        <v>0</v>
      </c>
      <c r="F139" s="1663"/>
      <c r="G139" s="1663"/>
      <c r="H139" s="1677">
        <f>SUM(H137:H138)</f>
        <v>0</v>
      </c>
      <c r="I139" s="1572"/>
      <c r="J139" s="1663"/>
      <c r="K139" s="1668">
        <f>SUM(K137,K138)</f>
        <v>0</v>
      </c>
      <c r="L139" s="1677">
        <f>SUM(L137,L138)</f>
        <v>0</v>
      </c>
    </row>
    <row r="140" spans="1:14" ht="15.75" customHeight="1" thickTop="1" x14ac:dyDescent="0.2">
      <c r="A140" s="1340" t="s">
        <v>1030</v>
      </c>
      <c r="B140" s="1341" t="s">
        <v>489</v>
      </c>
      <c r="C140" s="1663"/>
      <c r="D140" s="1663"/>
      <c r="E140" s="1674"/>
      <c r="F140" s="1674"/>
      <c r="G140" s="1674"/>
      <c r="H140" s="1673"/>
      <c r="I140" s="1572"/>
      <c r="J140" s="1674"/>
      <c r="K140" s="1673"/>
      <c r="L140" s="1673"/>
    </row>
    <row r="141" spans="1:14" ht="15.75" customHeight="1" x14ac:dyDescent="0.2">
      <c r="A141" s="529" t="s">
        <v>611</v>
      </c>
      <c r="B141" s="507"/>
      <c r="C141" s="1663"/>
      <c r="D141" s="1663"/>
      <c r="E141" s="1663"/>
      <c r="F141" s="1663"/>
      <c r="G141" s="1663"/>
      <c r="H141" s="1666"/>
      <c r="I141" s="1565"/>
      <c r="J141" s="1663"/>
      <c r="K141" s="1666"/>
      <c r="L141" s="1666"/>
    </row>
    <row r="142" spans="1:14" x14ac:dyDescent="0.2">
      <c r="A142" s="1264" t="s">
        <v>87</v>
      </c>
      <c r="B142" s="502">
        <v>5110</v>
      </c>
      <c r="C142" s="1663"/>
      <c r="D142" s="1663"/>
      <c r="E142" s="1663"/>
      <c r="F142" s="1663"/>
      <c r="G142" s="1663"/>
      <c r="H142" s="1576"/>
      <c r="I142" s="1565"/>
      <c r="J142" s="1663"/>
      <c r="K142" s="1668">
        <f>SUM(H142)</f>
        <v>0</v>
      </c>
      <c r="L142" s="1576">
        <v>0</v>
      </c>
    </row>
    <row r="143" spans="1:14" x14ac:dyDescent="0.2">
      <c r="A143" s="1264" t="s">
        <v>88</v>
      </c>
      <c r="B143" s="502">
        <v>5120</v>
      </c>
      <c r="C143" s="1663"/>
      <c r="D143" s="1663"/>
      <c r="E143" s="1663"/>
      <c r="F143" s="1663"/>
      <c r="G143" s="1663"/>
      <c r="H143" s="1563"/>
      <c r="I143" s="1565"/>
      <c r="J143" s="1663"/>
      <c r="K143" s="1668">
        <f>SUM(H143)</f>
        <v>0</v>
      </c>
      <c r="L143" s="1563">
        <v>0</v>
      </c>
    </row>
    <row r="144" spans="1:14" ht="12.75" customHeight="1" x14ac:dyDescent="0.2">
      <c r="A144" s="1264" t="s">
        <v>1160</v>
      </c>
      <c r="B144" s="511" t="s">
        <v>613</v>
      </c>
      <c r="C144" s="1663"/>
      <c r="D144" s="1663"/>
      <c r="E144" s="1663"/>
      <c r="F144" s="1663"/>
      <c r="G144" s="1663"/>
      <c r="H144" s="1563"/>
      <c r="I144" s="1565"/>
      <c r="J144" s="1663"/>
      <c r="K144" s="1668">
        <f>SUM(H144)</f>
        <v>0</v>
      </c>
      <c r="L144" s="1563">
        <v>0</v>
      </c>
    </row>
    <row r="145" spans="1:14" x14ac:dyDescent="0.2">
      <c r="A145" s="1264" t="s">
        <v>89</v>
      </c>
      <c r="B145" s="502" t="s">
        <v>585</v>
      </c>
      <c r="C145" s="1663"/>
      <c r="D145" s="1663"/>
      <c r="E145" s="1663"/>
      <c r="F145" s="1663"/>
      <c r="G145" s="1663"/>
      <c r="H145" s="1563"/>
      <c r="I145" s="1565"/>
      <c r="J145" s="1663"/>
      <c r="K145" s="1668">
        <f>SUM(H145)</f>
        <v>0</v>
      </c>
      <c r="L145" s="1563">
        <v>0</v>
      </c>
    </row>
    <row r="146" spans="1:14" ht="12.75" customHeight="1" x14ac:dyDescent="0.2">
      <c r="A146" s="1264" t="s">
        <v>615</v>
      </c>
      <c r="B146" s="502" t="s">
        <v>614</v>
      </c>
      <c r="C146" s="1663"/>
      <c r="D146" s="1663"/>
      <c r="E146" s="1663"/>
      <c r="F146" s="1663"/>
      <c r="G146" s="1663"/>
      <c r="H146" s="1563"/>
      <c r="I146" s="1565"/>
      <c r="J146" s="1663"/>
      <c r="K146" s="1668">
        <f>SUM(H146)</f>
        <v>0</v>
      </c>
      <c r="L146" s="1563">
        <v>0</v>
      </c>
    </row>
    <row r="147" spans="1:14" ht="12.75" customHeight="1" thickBot="1" x14ac:dyDescent="0.25">
      <c r="A147" s="1275" t="s">
        <v>622</v>
      </c>
      <c r="B147" s="533" t="s">
        <v>713</v>
      </c>
      <c r="C147" s="1663"/>
      <c r="D147" s="1663"/>
      <c r="E147" s="1663"/>
      <c r="F147" s="1663"/>
      <c r="G147" s="1663"/>
      <c r="H147" s="1584">
        <f>SUM(H142:H146)</f>
        <v>0</v>
      </c>
      <c r="I147" s="1565"/>
      <c r="J147" s="1663"/>
      <c r="K147" s="1664">
        <f>SUM(K142:K146)</f>
        <v>0</v>
      </c>
      <c r="L147" s="1584">
        <f>SUM(L142:L146)</f>
        <v>0</v>
      </c>
    </row>
    <row r="148" spans="1:14" ht="15.75" customHeight="1" thickTop="1" x14ac:dyDescent="0.2">
      <c r="A148" s="534" t="s">
        <v>1094</v>
      </c>
      <c r="B148" s="535" t="s">
        <v>38</v>
      </c>
      <c r="C148" s="1663"/>
      <c r="D148" s="1663"/>
      <c r="E148" s="1663"/>
      <c r="F148" s="1663"/>
      <c r="G148" s="1663"/>
      <c r="H148" s="1574"/>
      <c r="I148" s="1565"/>
      <c r="J148" s="1663"/>
      <c r="K148" s="1668">
        <f>SUM(H148)</f>
        <v>0</v>
      </c>
      <c r="L148" s="1589">
        <v>0</v>
      </c>
    </row>
    <row r="149" spans="1:14" ht="12.75" customHeight="1" thickBot="1" x14ac:dyDescent="0.25">
      <c r="A149" s="1267" t="s">
        <v>633</v>
      </c>
      <c r="B149" s="503" t="s">
        <v>489</v>
      </c>
      <c r="C149" s="1663"/>
      <c r="D149" s="1663"/>
      <c r="E149" s="1663"/>
      <c r="F149" s="1663"/>
      <c r="G149" s="1663"/>
      <c r="H149" s="1664">
        <f>SUM(H147,H148)</f>
        <v>0</v>
      </c>
      <c r="I149" s="1565"/>
      <c r="J149" s="1663"/>
      <c r="K149" s="1664">
        <f>SUM(K147:K148)</f>
        <v>0</v>
      </c>
      <c r="L149" s="1664">
        <f>SUM(L142:L146,L148)</f>
        <v>0</v>
      </c>
    </row>
    <row r="150" spans="1:14" ht="15.75" customHeight="1" thickTop="1" thickBot="1" x14ac:dyDescent="0.25">
      <c r="A150" s="1334" t="s">
        <v>1031</v>
      </c>
      <c r="B150" s="1341" t="s">
        <v>856</v>
      </c>
      <c r="C150" s="1663"/>
      <c r="D150" s="1663"/>
      <c r="E150" s="1663"/>
      <c r="F150" s="1663"/>
      <c r="G150" s="1663"/>
      <c r="H150" s="1688"/>
      <c r="I150" s="1607"/>
      <c r="J150" s="1663"/>
      <c r="K150" s="1666"/>
      <c r="L150" s="1639">
        <v>0</v>
      </c>
    </row>
    <row r="151" spans="1:14" ht="12.75" customHeight="1" thickTop="1" thickBot="1" x14ac:dyDescent="0.25">
      <c r="A151" s="2325" t="s">
        <v>616</v>
      </c>
      <c r="B151" s="2307"/>
      <c r="C151" s="1664">
        <f>SUM(C129,C130,C139,C149,C150)</f>
        <v>406129</v>
      </c>
      <c r="D151" s="1664">
        <f t="shared" ref="D151:K151" si="16">SUM(D129,D130,D139,D149,D150)</f>
        <v>80924</v>
      </c>
      <c r="E151" s="1664">
        <f t="shared" si="16"/>
        <v>741890</v>
      </c>
      <c r="F151" s="1664">
        <f t="shared" si="16"/>
        <v>353713</v>
      </c>
      <c r="G151" s="1664">
        <f t="shared" si="16"/>
        <v>28587</v>
      </c>
      <c r="H151" s="1664">
        <f t="shared" si="16"/>
        <v>0</v>
      </c>
      <c r="I151" s="1664">
        <f t="shared" si="16"/>
        <v>0</v>
      </c>
      <c r="J151" s="1664">
        <f t="shared" si="16"/>
        <v>0</v>
      </c>
      <c r="K151" s="1664">
        <f t="shared" si="16"/>
        <v>1611243</v>
      </c>
      <c r="L151" s="1664">
        <f>SUM(L129,L130,L139,L149,L150)</f>
        <v>1876250</v>
      </c>
    </row>
    <row r="152" spans="1:14" ht="12.75" customHeight="1" thickTop="1" x14ac:dyDescent="0.2">
      <c r="A152" s="2328" t="s">
        <v>1168</v>
      </c>
      <c r="B152" s="2329"/>
      <c r="C152" s="1665"/>
      <c r="D152" s="1665"/>
      <c r="E152" s="1665"/>
      <c r="F152" s="1665"/>
      <c r="G152" s="1665"/>
      <c r="H152" s="1665"/>
      <c r="I152" s="1665"/>
      <c r="J152" s="1663"/>
      <c r="K152" s="1679">
        <f>'Revenues 9-14'!D268-'Expenditures 15-22'!K151</f>
        <v>-199553</v>
      </c>
      <c r="L152" s="1665"/>
    </row>
    <row r="153" spans="1:14" s="539" customFormat="1" ht="9" customHeight="1" x14ac:dyDescent="0.2">
      <c r="A153" s="536"/>
      <c r="B153" s="537"/>
      <c r="C153" s="1680"/>
      <c r="D153" s="1680"/>
      <c r="E153" s="1680"/>
      <c r="F153" s="1680"/>
      <c r="G153" s="1680"/>
      <c r="H153" s="1680"/>
      <c r="I153" s="1680"/>
      <c r="J153" s="1680"/>
      <c r="K153" s="1680"/>
      <c r="L153" s="1680"/>
      <c r="M153" s="538"/>
      <c r="N153" s="538"/>
    </row>
    <row r="154" spans="1:14" s="541" customFormat="1" ht="16.7" customHeight="1" x14ac:dyDescent="0.2">
      <c r="A154" s="2313" t="s">
        <v>617</v>
      </c>
      <c r="B154" s="2315"/>
      <c r="C154" s="1681"/>
      <c r="D154" s="1682"/>
      <c r="E154" s="1682"/>
      <c r="F154" s="1682"/>
      <c r="G154" s="1682"/>
      <c r="H154" s="1682"/>
      <c r="I154" s="1682"/>
      <c r="J154" s="1682"/>
      <c r="K154" s="1682"/>
      <c r="L154" s="1683"/>
      <c r="M154" s="540"/>
      <c r="N154" s="540"/>
    </row>
    <row r="155" spans="1:14" s="505" customFormat="1" ht="15.75" customHeight="1" thickBot="1" x14ac:dyDescent="0.25">
      <c r="A155" s="1345" t="s">
        <v>81</v>
      </c>
      <c r="B155" s="1346" t="s">
        <v>855</v>
      </c>
      <c r="C155" s="1663"/>
      <c r="D155" s="1663"/>
      <c r="E155" s="1663"/>
      <c r="F155" s="1663"/>
      <c r="G155" s="1663"/>
      <c r="H155" s="1689"/>
      <c r="I155" s="1663"/>
      <c r="J155" s="1663"/>
      <c r="K155" s="1690"/>
      <c r="L155" s="1689"/>
      <c r="M155" s="504"/>
      <c r="N155" s="504"/>
    </row>
    <row r="156" spans="1:14" s="505" customFormat="1" ht="15.75" customHeight="1" thickTop="1" x14ac:dyDescent="0.2">
      <c r="A156" s="1450" t="s">
        <v>1814</v>
      </c>
      <c r="B156" s="1451"/>
      <c r="C156" s="1663"/>
      <c r="D156" s="1663"/>
      <c r="E156" s="1663"/>
      <c r="F156" s="1663"/>
      <c r="G156" s="1663"/>
      <c r="H156" s="1691"/>
      <c r="I156" s="1663"/>
      <c r="J156" s="1663"/>
      <c r="K156" s="1692"/>
      <c r="L156" s="1691"/>
      <c r="M156" s="504"/>
      <c r="N156" s="504"/>
    </row>
    <row r="157" spans="1:14" s="505" customFormat="1" ht="12" x14ac:dyDescent="0.2">
      <c r="A157" s="1452" t="s">
        <v>493</v>
      </c>
      <c r="B157" s="1453" t="s">
        <v>1813</v>
      </c>
      <c r="C157" s="1663"/>
      <c r="D157" s="1663"/>
      <c r="E157" s="1663"/>
      <c r="F157" s="1663"/>
      <c r="G157" s="1663"/>
      <c r="H157" s="1675"/>
      <c r="I157" s="1663"/>
      <c r="J157" s="1663"/>
      <c r="K157" s="1662">
        <f>H157</f>
        <v>0</v>
      </c>
      <c r="L157" s="1564">
        <v>0</v>
      </c>
      <c r="M157" s="504"/>
      <c r="N157" s="504"/>
    </row>
    <row r="158" spans="1:14" s="505" customFormat="1" ht="12" x14ac:dyDescent="0.2">
      <c r="A158" s="1452" t="s">
        <v>301</v>
      </c>
      <c r="B158" s="1453" t="s">
        <v>1815</v>
      </c>
      <c r="C158" s="1663"/>
      <c r="D158" s="1663"/>
      <c r="E158" s="1663"/>
      <c r="F158" s="1663"/>
      <c r="G158" s="1663"/>
      <c r="H158" s="1564"/>
      <c r="I158" s="1663"/>
      <c r="J158" s="1663"/>
      <c r="K158" s="1662">
        <f>H158</f>
        <v>0</v>
      </c>
      <c r="L158" s="1564">
        <v>0</v>
      </c>
      <c r="M158" s="504"/>
      <c r="N158" s="504"/>
    </row>
    <row r="159" spans="1:14" s="505" customFormat="1" ht="12" x14ac:dyDescent="0.2">
      <c r="A159" s="1452" t="s">
        <v>1816</v>
      </c>
      <c r="B159" s="1453" t="s">
        <v>554</v>
      </c>
      <c r="C159" s="1663"/>
      <c r="D159" s="1663"/>
      <c r="E159" s="1663"/>
      <c r="F159" s="1663"/>
      <c r="G159" s="1663"/>
      <c r="H159" s="1564"/>
      <c r="I159" s="1663"/>
      <c r="J159" s="1663"/>
      <c r="K159" s="1662">
        <f>H159</f>
        <v>0</v>
      </c>
      <c r="L159" s="1564">
        <v>0</v>
      </c>
      <c r="M159" s="504"/>
      <c r="N159" s="504"/>
    </row>
    <row r="160" spans="1:14" s="505" customFormat="1" ht="15.75" customHeight="1" thickBot="1" x14ac:dyDescent="0.25">
      <c r="A160" s="1454" t="s">
        <v>1817</v>
      </c>
      <c r="B160" s="1455" t="s">
        <v>855</v>
      </c>
      <c r="C160" s="1663"/>
      <c r="D160" s="1663"/>
      <c r="E160" s="1663"/>
      <c r="F160" s="1663"/>
      <c r="G160" s="1663"/>
      <c r="H160" s="1584">
        <f>SUM(H157:H159)</f>
        <v>0</v>
      </c>
      <c r="I160" s="1663"/>
      <c r="J160" s="1663"/>
      <c r="K160" s="1664">
        <f>SUM(K157:K159)</f>
        <v>0</v>
      </c>
      <c r="L160" s="1584">
        <f>SUM(L157:L159)</f>
        <v>0</v>
      </c>
      <c r="M160" s="504"/>
      <c r="N160" s="504"/>
    </row>
    <row r="161" spans="1:14" s="253" customFormat="1" ht="15.75" customHeight="1" thickTop="1" x14ac:dyDescent="0.2">
      <c r="A161" s="1340" t="s">
        <v>82</v>
      </c>
      <c r="B161" s="1341" t="s">
        <v>489</v>
      </c>
      <c r="C161" s="1663"/>
      <c r="D161" s="1663"/>
      <c r="E161" s="1663"/>
      <c r="F161" s="1663"/>
      <c r="G161" s="1663"/>
      <c r="H161" s="1663"/>
      <c r="I161" s="1663"/>
      <c r="J161" s="1663"/>
      <c r="K161" s="1663"/>
      <c r="L161" s="1663"/>
      <c r="M161" s="501"/>
      <c r="N161" s="501"/>
    </row>
    <row r="162" spans="1:14" s="253" customFormat="1" ht="15.75" customHeight="1" x14ac:dyDescent="0.2">
      <c r="A162" s="529" t="s">
        <v>611</v>
      </c>
      <c r="B162" s="507"/>
      <c r="C162" s="1663"/>
      <c r="D162" s="1663"/>
      <c r="E162" s="1663"/>
      <c r="F162" s="1663"/>
      <c r="G162" s="1663"/>
      <c r="H162" s="1663"/>
      <c r="I162" s="1663"/>
      <c r="J162" s="1663"/>
      <c r="K162" s="1666"/>
      <c r="L162" s="1666"/>
      <c r="M162" s="501"/>
      <c r="N162" s="501"/>
    </row>
    <row r="163" spans="1:14" x14ac:dyDescent="0.2">
      <c r="A163" s="1264" t="s">
        <v>87</v>
      </c>
      <c r="B163" s="502">
        <v>5110</v>
      </c>
      <c r="C163" s="1663"/>
      <c r="D163" s="1663"/>
      <c r="E163" s="1663"/>
      <c r="F163" s="1663"/>
      <c r="G163" s="1663"/>
      <c r="H163" s="1563"/>
      <c r="I163" s="1663"/>
      <c r="J163" s="1663"/>
      <c r="K163" s="1662">
        <f>SUM(C163:J163)</f>
        <v>0</v>
      </c>
      <c r="L163" s="1563">
        <v>0</v>
      </c>
    </row>
    <row r="164" spans="1:14" x14ac:dyDescent="0.2">
      <c r="A164" s="1264" t="s">
        <v>88</v>
      </c>
      <c r="B164" s="502">
        <v>5120</v>
      </c>
      <c r="C164" s="1663"/>
      <c r="D164" s="1663"/>
      <c r="E164" s="1663"/>
      <c r="F164" s="1663"/>
      <c r="G164" s="1663"/>
      <c r="H164" s="1563"/>
      <c r="I164" s="1663"/>
      <c r="J164" s="1663"/>
      <c r="K164" s="1662">
        <f>SUM(C164:J164)</f>
        <v>0</v>
      </c>
      <c r="L164" s="1563">
        <v>0</v>
      </c>
    </row>
    <row r="165" spans="1:14" ht="12.75" customHeight="1" x14ac:dyDescent="0.2">
      <c r="A165" s="1264" t="s">
        <v>1160</v>
      </c>
      <c r="B165" s="502" t="s">
        <v>613</v>
      </c>
      <c r="C165" s="1663"/>
      <c r="D165" s="1663"/>
      <c r="E165" s="1663"/>
      <c r="F165" s="1663"/>
      <c r="G165" s="1663"/>
      <c r="H165" s="1563"/>
      <c r="I165" s="1663"/>
      <c r="J165" s="1663"/>
      <c r="K165" s="1662">
        <f>SUM(C165:J165)</f>
        <v>0</v>
      </c>
      <c r="L165" s="1563">
        <v>0</v>
      </c>
    </row>
    <row r="166" spans="1:14" x14ac:dyDescent="0.2">
      <c r="A166" s="1264" t="s">
        <v>89</v>
      </c>
      <c r="B166" s="511" t="s">
        <v>585</v>
      </c>
      <c r="C166" s="1663"/>
      <c r="D166" s="1663"/>
      <c r="E166" s="1663"/>
      <c r="F166" s="1663"/>
      <c r="G166" s="1663"/>
      <c r="H166" s="1563"/>
      <c r="I166" s="1663"/>
      <c r="J166" s="1663"/>
      <c r="K166" s="1662">
        <f>SUM(C166:J166)</f>
        <v>0</v>
      </c>
      <c r="L166" s="1563">
        <v>0</v>
      </c>
    </row>
    <row r="167" spans="1:14" ht="12.75" customHeight="1" x14ac:dyDescent="0.2">
      <c r="A167" s="1264" t="s">
        <v>615</v>
      </c>
      <c r="B167" s="502" t="s">
        <v>614</v>
      </c>
      <c r="C167" s="1663"/>
      <c r="D167" s="1663"/>
      <c r="E167" s="1663"/>
      <c r="F167" s="1663"/>
      <c r="G167" s="1663"/>
      <c r="H167" s="1563"/>
      <c r="I167" s="1663"/>
      <c r="J167" s="1663"/>
      <c r="K167" s="1662">
        <f>SUM(C167:J167)</f>
        <v>0</v>
      </c>
      <c r="L167" s="1563">
        <v>0</v>
      </c>
    </row>
    <row r="168" spans="1:14" ht="13.5" thickBot="1" x14ac:dyDescent="0.25">
      <c r="A168" s="1370" t="s">
        <v>274</v>
      </c>
      <c r="B168" s="1373" t="s">
        <v>713</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2" t="s">
        <v>83</v>
      </c>
      <c r="B169" s="543" t="s">
        <v>38</v>
      </c>
      <c r="C169" s="1663"/>
      <c r="D169" s="1663"/>
      <c r="E169" s="1663"/>
      <c r="F169" s="1663"/>
      <c r="G169" s="1663"/>
      <c r="H169" s="1685">
        <v>436615</v>
      </c>
      <c r="I169" s="1663"/>
      <c r="J169" s="1663"/>
      <c r="K169" s="1662">
        <f>SUM(C169:H169)</f>
        <v>436615</v>
      </c>
      <c r="L169" s="1685">
        <v>125000</v>
      </c>
    </row>
    <row r="170" spans="1:14" ht="33.75" customHeight="1" x14ac:dyDescent="0.2">
      <c r="A170" s="542" t="s">
        <v>1651</v>
      </c>
      <c r="B170" s="544" t="s">
        <v>31</v>
      </c>
      <c r="C170" s="1663"/>
      <c r="D170" s="1663"/>
      <c r="E170" s="1663"/>
      <c r="F170" s="1663"/>
      <c r="G170" s="1663"/>
      <c r="H170" s="1636">
        <v>771260</v>
      </c>
      <c r="I170" s="1663"/>
      <c r="J170" s="1663"/>
      <c r="K170" s="1662">
        <f>SUM(C170:J170)</f>
        <v>771260</v>
      </c>
      <c r="L170" s="1636">
        <v>1225000</v>
      </c>
    </row>
    <row r="171" spans="1:14" ht="15.75" customHeight="1" x14ac:dyDescent="0.2">
      <c r="A171" s="506" t="s">
        <v>761</v>
      </c>
      <c r="B171" s="545" t="s">
        <v>84</v>
      </c>
      <c r="C171" s="1663"/>
      <c r="D171" s="1663"/>
      <c r="E171" s="1563">
        <v>853</v>
      </c>
      <c r="F171" s="1663"/>
      <c r="G171" s="1663"/>
      <c r="H171" s="1636"/>
      <c r="I171" s="1572"/>
      <c r="J171" s="1663"/>
      <c r="K171" s="1662">
        <f>SUM(C171:J171)</f>
        <v>853</v>
      </c>
      <c r="L171" s="1636">
        <v>3000</v>
      </c>
    </row>
    <row r="172" spans="1:14" ht="12.75" customHeight="1" thickBot="1" x14ac:dyDescent="0.25">
      <c r="A172" s="1370" t="s">
        <v>633</v>
      </c>
      <c r="B172" s="1371" t="s">
        <v>489</v>
      </c>
      <c r="C172" s="1663"/>
      <c r="D172" s="1663"/>
      <c r="E172" s="1671">
        <f>SUM(E168,E169,E170,E171)</f>
        <v>853</v>
      </c>
      <c r="F172" s="1663"/>
      <c r="G172" s="1663"/>
      <c r="H172" s="1671">
        <f>SUM(H168,H169,H170,H171)</f>
        <v>1207875</v>
      </c>
      <c r="I172" s="1674"/>
      <c r="J172" s="1663"/>
      <c r="K172" s="1671">
        <f>SUM(K168,K169,K170,K171)</f>
        <v>1208728</v>
      </c>
      <c r="L172" s="1671">
        <f>SUM(L168,L169,L170,L171)</f>
        <v>1353000</v>
      </c>
    </row>
    <row r="173" spans="1:14" ht="15.75" customHeight="1" thickTop="1" thickBot="1" x14ac:dyDescent="0.25">
      <c r="A173" s="1347" t="s">
        <v>85</v>
      </c>
      <c r="B173" s="1339" t="s">
        <v>856</v>
      </c>
      <c r="C173" s="1663"/>
      <c r="D173" s="1663"/>
      <c r="E173" s="1666"/>
      <c r="F173" s="1663"/>
      <c r="G173" s="1663"/>
      <c r="H173" s="1667"/>
      <c r="I173" s="1674"/>
      <c r="J173" s="1663"/>
      <c r="K173" s="1666"/>
      <c r="L173" s="1641">
        <v>0</v>
      </c>
    </row>
    <row r="174" spans="1:14" ht="12.75" customHeight="1" thickTop="1" thickBot="1" x14ac:dyDescent="0.25">
      <c r="A174" s="1381" t="s">
        <v>90</v>
      </c>
      <c r="B174" s="1382"/>
      <c r="C174" s="1663"/>
      <c r="D174" s="1663"/>
      <c r="E174" s="1671">
        <f>SUM(E172,E173)</f>
        <v>853</v>
      </c>
      <c r="F174" s="1663"/>
      <c r="G174" s="1663"/>
      <c r="H174" s="1671">
        <f>SUM(H160,H172,H173)</f>
        <v>1207875</v>
      </c>
      <c r="I174" s="1674"/>
      <c r="J174" s="1663"/>
      <c r="K174" s="1671">
        <f>SUM(K160,K172,K173)</f>
        <v>1208728</v>
      </c>
      <c r="L174" s="1671">
        <f>SUM(L160,L172,L173)</f>
        <v>1353000</v>
      </c>
    </row>
    <row r="175" spans="1:14" ht="13.5" thickTop="1" x14ac:dyDescent="0.2">
      <c r="A175" s="2335" t="s">
        <v>989</v>
      </c>
      <c r="B175" s="2336"/>
      <c r="C175" s="1663"/>
      <c r="D175" s="1663"/>
      <c r="E175" s="1663"/>
      <c r="F175" s="1663"/>
      <c r="G175" s="1663"/>
      <c r="H175" s="1665"/>
      <c r="I175" s="1663"/>
      <c r="J175" s="1663"/>
      <c r="K175" s="1679">
        <f>'Revenues 9-14'!E268-'Expenditures 15-22'!K174</f>
        <v>-126644</v>
      </c>
      <c r="L175" s="1665"/>
    </row>
    <row r="176" spans="1:14" s="539" customFormat="1" ht="9" customHeight="1" x14ac:dyDescent="0.2">
      <c r="A176" s="536"/>
      <c r="B176" s="546"/>
      <c r="C176" s="1680"/>
      <c r="D176" s="1680"/>
      <c r="E176" s="1680"/>
      <c r="F176" s="1680"/>
      <c r="G176" s="1680"/>
      <c r="H176" s="1680"/>
      <c r="I176" s="1680"/>
      <c r="J176" s="1680"/>
      <c r="K176" s="1680"/>
      <c r="L176" s="1680"/>
      <c r="M176" s="538"/>
      <c r="N176" s="538"/>
    </row>
    <row r="177" spans="1:14" s="320" customFormat="1" ht="16.7" customHeight="1" x14ac:dyDescent="0.2">
      <c r="A177" s="1294" t="s">
        <v>931</v>
      </c>
      <c r="B177" s="1295"/>
      <c r="C177" s="1693"/>
      <c r="D177" s="1694"/>
      <c r="E177" s="1694"/>
      <c r="F177" s="1694"/>
      <c r="G177" s="1694"/>
      <c r="H177" s="1694"/>
      <c r="I177" s="1694"/>
      <c r="J177" s="1694"/>
      <c r="K177" s="1694"/>
      <c r="L177" s="1695"/>
      <c r="M177" s="500"/>
      <c r="N177" s="500"/>
    </row>
    <row r="178" spans="1:14" s="547" customFormat="1" ht="15.75" customHeight="1" x14ac:dyDescent="0.2">
      <c r="A178" s="1348" t="s">
        <v>932</v>
      </c>
      <c r="B178" s="1349"/>
      <c r="C178" s="1663"/>
      <c r="D178" s="1663"/>
      <c r="E178" s="1663"/>
      <c r="F178" s="1663"/>
      <c r="G178" s="1663"/>
      <c r="H178" s="1663"/>
      <c r="I178" s="1663"/>
      <c r="J178" s="1663"/>
      <c r="K178" s="1663"/>
      <c r="L178" s="1663"/>
      <c r="M178" s="538"/>
      <c r="N178" s="538"/>
    </row>
    <row r="179" spans="1:14" s="547" customFormat="1" ht="15.75" customHeight="1" x14ac:dyDescent="0.2">
      <c r="A179" s="548" t="s">
        <v>587</v>
      </c>
      <c r="B179" s="507"/>
      <c r="C179" s="1666"/>
      <c r="D179" s="1666"/>
      <c r="E179" s="1666"/>
      <c r="F179" s="1663"/>
      <c r="G179" s="1663"/>
      <c r="H179" s="1666"/>
      <c r="I179" s="1663"/>
      <c r="J179" s="1663"/>
      <c r="K179" s="1666"/>
      <c r="L179" s="1666"/>
      <c r="M179" s="538"/>
      <c r="N179" s="538"/>
    </row>
    <row r="180" spans="1:14" ht="12.75" customHeight="1" x14ac:dyDescent="0.2">
      <c r="A180" s="1264" t="s">
        <v>1960</v>
      </c>
      <c r="B180" s="502" t="s">
        <v>711</v>
      </c>
      <c r="C180" s="1563"/>
      <c r="D180" s="1563"/>
      <c r="E180" s="1563"/>
      <c r="F180" s="1563"/>
      <c r="G180" s="1563"/>
      <c r="H180" s="1563"/>
      <c r="I180" s="1564"/>
      <c r="J180" s="1564"/>
      <c r="K180" s="1662">
        <f>SUM(C180:J180)</f>
        <v>0</v>
      </c>
      <c r="L180" s="1563">
        <v>0</v>
      </c>
    </row>
    <row r="181" spans="1:14" ht="15.75" customHeight="1" x14ac:dyDescent="0.2">
      <c r="A181" s="508" t="s">
        <v>608</v>
      </c>
      <c r="B181" s="549"/>
      <c r="C181" s="1637"/>
      <c r="D181" s="1637"/>
      <c r="E181" s="1637"/>
      <c r="F181" s="1637"/>
      <c r="G181" s="1637"/>
      <c r="H181" s="1637"/>
      <c r="I181" s="1565"/>
      <c r="J181" s="1565"/>
      <c r="K181" s="1637"/>
      <c r="L181" s="1637"/>
    </row>
    <row r="182" spans="1:14" ht="12.75" customHeight="1" x14ac:dyDescent="0.2">
      <c r="A182" s="1264" t="s">
        <v>947</v>
      </c>
      <c r="B182" s="502">
        <v>2550</v>
      </c>
      <c r="C182" s="1563"/>
      <c r="D182" s="1563"/>
      <c r="E182" s="1563">
        <v>1109062</v>
      </c>
      <c r="F182" s="1563"/>
      <c r="G182" s="1563"/>
      <c r="H182" s="1563"/>
      <c r="I182" s="1564"/>
      <c r="J182" s="1564"/>
      <c r="K182" s="1662">
        <f>SUM(C182:J182)</f>
        <v>1109062</v>
      </c>
      <c r="L182" s="1563">
        <v>1248000</v>
      </c>
    </row>
    <row r="183" spans="1:14" ht="12.75" customHeight="1" thickBot="1" x14ac:dyDescent="0.25">
      <c r="A183" s="1269" t="s">
        <v>973</v>
      </c>
      <c r="B183" s="550">
        <v>2900</v>
      </c>
      <c r="C183" s="1639"/>
      <c r="D183" s="1639"/>
      <c r="E183" s="1639"/>
      <c r="F183" s="1639"/>
      <c r="G183" s="1639"/>
      <c r="H183" s="1639"/>
      <c r="I183" s="1618"/>
      <c r="J183" s="1618"/>
      <c r="K183" s="1671">
        <f>SUM(C183:J183)</f>
        <v>0</v>
      </c>
      <c r="L183" s="1639">
        <v>0</v>
      </c>
    </row>
    <row r="184" spans="1:14" ht="12.75" customHeight="1" thickTop="1" thickBot="1" x14ac:dyDescent="0.25">
      <c r="A184" s="1383" t="s">
        <v>806</v>
      </c>
      <c r="B184" s="1371" t="s">
        <v>565</v>
      </c>
      <c r="C184" s="1671">
        <f>SUM(C180,C182,C183)</f>
        <v>0</v>
      </c>
      <c r="D184" s="1671">
        <f t="shared" ref="D184:J184" si="17">SUM(D180,D182,D183)</f>
        <v>0</v>
      </c>
      <c r="E184" s="1671">
        <f t="shared" si="17"/>
        <v>1109062</v>
      </c>
      <c r="F184" s="1671">
        <f t="shared" si="17"/>
        <v>0</v>
      </c>
      <c r="G184" s="1671">
        <f t="shared" si="17"/>
        <v>0</v>
      </c>
      <c r="H184" s="1671">
        <f t="shared" si="17"/>
        <v>0</v>
      </c>
      <c r="I184" s="1671">
        <f t="shared" si="17"/>
        <v>0</v>
      </c>
      <c r="J184" s="1671">
        <f t="shared" si="17"/>
        <v>0</v>
      </c>
      <c r="K184" s="1671">
        <f>SUM(K180,K182,K183)</f>
        <v>1109062</v>
      </c>
      <c r="L184" s="1671">
        <f>SUM(L180, L182:L183)</f>
        <v>1248000</v>
      </c>
    </row>
    <row r="185" spans="1:14" ht="15.75" customHeight="1" thickTop="1" thickBot="1" x14ac:dyDescent="0.25">
      <c r="A185" s="1350" t="s">
        <v>933</v>
      </c>
      <c r="B185" s="1339">
        <v>3000</v>
      </c>
      <c r="C185" s="1641"/>
      <c r="D185" s="1641"/>
      <c r="E185" s="1641"/>
      <c r="F185" s="1641"/>
      <c r="G185" s="1641"/>
      <c r="H185" s="1641"/>
      <c r="I185" s="1617"/>
      <c r="J185" s="1617"/>
      <c r="K185" s="1664">
        <f>SUM(C185:J185)</f>
        <v>0</v>
      </c>
      <c r="L185" s="1641">
        <v>0</v>
      </c>
    </row>
    <row r="186" spans="1:14" s="547" customFormat="1" ht="15.75" customHeight="1" thickTop="1" x14ac:dyDescent="0.2">
      <c r="A186" s="1334" t="s">
        <v>91</v>
      </c>
      <c r="B186" s="1337" t="s">
        <v>855</v>
      </c>
      <c r="C186" s="1663"/>
      <c r="D186" s="1663"/>
      <c r="E186" s="1663"/>
      <c r="F186" s="1663"/>
      <c r="G186" s="1663"/>
      <c r="H186" s="1663"/>
      <c r="I186" s="1663"/>
      <c r="J186" s="1663"/>
      <c r="K186" s="1663"/>
      <c r="L186" s="1663"/>
      <c r="M186" s="538"/>
      <c r="N186" s="538"/>
    </row>
    <row r="187" spans="1:14" s="547" customFormat="1" ht="15.75" customHeight="1" x14ac:dyDescent="0.2">
      <c r="A187" s="506" t="s">
        <v>1121</v>
      </c>
      <c r="B187" s="507"/>
      <c r="C187" s="1663"/>
      <c r="D187" s="1663"/>
      <c r="E187" s="1663"/>
      <c r="F187" s="1663"/>
      <c r="G187" s="1663"/>
      <c r="H187" s="1663"/>
      <c r="I187" s="1663"/>
      <c r="J187" s="1663"/>
      <c r="K187" s="1663"/>
      <c r="L187" s="1663"/>
      <c r="M187" s="538"/>
      <c r="N187" s="538"/>
    </row>
    <row r="188" spans="1:14" x14ac:dyDescent="0.2">
      <c r="A188" s="1264" t="s">
        <v>493</v>
      </c>
      <c r="B188" s="502">
        <v>4110</v>
      </c>
      <c r="C188" s="1663"/>
      <c r="D188" s="1663"/>
      <c r="E188" s="1563"/>
      <c r="F188" s="1663"/>
      <c r="G188" s="1663"/>
      <c r="H188" s="1563"/>
      <c r="I188" s="1572"/>
      <c r="J188" s="1663"/>
      <c r="K188" s="1662">
        <f t="shared" ref="K188:K193" si="18">SUM(E188,H188)</f>
        <v>0</v>
      </c>
      <c r="L188" s="1563">
        <v>0</v>
      </c>
    </row>
    <row r="189" spans="1:14" x14ac:dyDescent="0.2">
      <c r="A189" s="1264" t="s">
        <v>301</v>
      </c>
      <c r="B189" s="502">
        <v>4120</v>
      </c>
      <c r="C189" s="1663"/>
      <c r="D189" s="1663"/>
      <c r="E189" s="1563"/>
      <c r="F189" s="1663"/>
      <c r="G189" s="1663"/>
      <c r="H189" s="1563"/>
      <c r="I189" s="1572"/>
      <c r="J189" s="1663"/>
      <c r="K189" s="1662">
        <f t="shared" si="18"/>
        <v>0</v>
      </c>
      <c r="L189" s="1563">
        <v>0</v>
      </c>
    </row>
    <row r="190" spans="1:14" x14ac:dyDescent="0.2">
      <c r="A190" s="1264" t="s">
        <v>302</v>
      </c>
      <c r="B190" s="511">
        <v>4130</v>
      </c>
      <c r="C190" s="1663"/>
      <c r="D190" s="1663"/>
      <c r="E190" s="1563"/>
      <c r="F190" s="1663"/>
      <c r="G190" s="1663"/>
      <c r="H190" s="1563"/>
      <c r="I190" s="1572"/>
      <c r="J190" s="1663"/>
      <c r="K190" s="1662">
        <f t="shared" si="18"/>
        <v>0</v>
      </c>
      <c r="L190" s="1563">
        <v>0</v>
      </c>
    </row>
    <row r="191" spans="1:14" x14ac:dyDescent="0.2">
      <c r="A191" s="1264" t="s">
        <v>692</v>
      </c>
      <c r="B191" s="502">
        <v>4140</v>
      </c>
      <c r="C191" s="1663"/>
      <c r="D191" s="1663"/>
      <c r="E191" s="1563"/>
      <c r="F191" s="1663"/>
      <c r="G191" s="1663"/>
      <c r="H191" s="1563"/>
      <c r="I191" s="1572"/>
      <c r="J191" s="1663"/>
      <c r="K191" s="1662">
        <f t="shared" si="18"/>
        <v>0</v>
      </c>
      <c r="L191" s="1563">
        <v>0</v>
      </c>
    </row>
    <row r="192" spans="1:14" x14ac:dyDescent="0.2">
      <c r="A192" s="1264" t="s">
        <v>86</v>
      </c>
      <c r="B192" s="502">
        <v>4170</v>
      </c>
      <c r="C192" s="1663"/>
      <c r="D192" s="1663"/>
      <c r="E192" s="1563"/>
      <c r="F192" s="1663"/>
      <c r="G192" s="1663"/>
      <c r="H192" s="1563"/>
      <c r="I192" s="1572"/>
      <c r="J192" s="1663"/>
      <c r="K192" s="1662">
        <f t="shared" si="18"/>
        <v>0</v>
      </c>
      <c r="L192" s="1563">
        <v>0</v>
      </c>
    </row>
    <row r="193" spans="1:14" x14ac:dyDescent="0.2">
      <c r="A193" s="1268" t="s">
        <v>693</v>
      </c>
      <c r="B193" s="511">
        <v>4190</v>
      </c>
      <c r="C193" s="1663"/>
      <c r="D193" s="1663"/>
      <c r="E193" s="1563"/>
      <c r="F193" s="1663"/>
      <c r="G193" s="1663"/>
      <c r="H193" s="1563"/>
      <c r="I193" s="1572"/>
      <c r="J193" s="1663"/>
      <c r="K193" s="1662">
        <f t="shared" si="18"/>
        <v>0</v>
      </c>
      <c r="L193" s="1563">
        <v>0</v>
      </c>
    </row>
    <row r="194" spans="1:14" ht="12.75" customHeight="1" thickBot="1" x14ac:dyDescent="0.25">
      <c r="A194" s="1370" t="s">
        <v>1130</v>
      </c>
      <c r="B194" s="1371" t="s">
        <v>555</v>
      </c>
      <c r="C194" s="1663"/>
      <c r="D194" s="1663"/>
      <c r="E194" s="1664">
        <f>SUM(E188:E193)</f>
        <v>0</v>
      </c>
      <c r="F194" s="1663"/>
      <c r="G194" s="1663"/>
      <c r="H194" s="1664">
        <f>SUM(H188:H193)</f>
        <v>0</v>
      </c>
      <c r="I194" s="1572"/>
      <c r="J194" s="1663"/>
      <c r="K194" s="1664">
        <f>SUM(K188:K193)</f>
        <v>0</v>
      </c>
      <c r="L194" s="1664">
        <f>SUM(L188:L193)</f>
        <v>0</v>
      </c>
    </row>
    <row r="195" spans="1:14" ht="15.75" customHeight="1" thickTop="1" x14ac:dyDescent="0.2">
      <c r="A195" s="542" t="s">
        <v>92</v>
      </c>
      <c r="B195" s="551" t="s">
        <v>925</v>
      </c>
      <c r="C195" s="1663"/>
      <c r="D195" s="1663"/>
      <c r="E195" s="1685"/>
      <c r="F195" s="1663"/>
      <c r="G195" s="1663"/>
      <c r="H195" s="1685"/>
      <c r="I195" s="1572"/>
      <c r="J195" s="1663"/>
      <c r="K195" s="1686">
        <f>SUM(E195,H195)</f>
        <v>0</v>
      </c>
      <c r="L195" s="1685">
        <v>0</v>
      </c>
    </row>
    <row r="196" spans="1:14" ht="12.75" customHeight="1" thickBot="1" x14ac:dyDescent="0.25">
      <c r="A196" s="1370" t="s">
        <v>1470</v>
      </c>
      <c r="B196" s="1371" t="s">
        <v>855</v>
      </c>
      <c r="C196" s="1663"/>
      <c r="D196" s="1663"/>
      <c r="E196" s="1671">
        <f>SUM(E194,E195)</f>
        <v>0</v>
      </c>
      <c r="F196" s="1663"/>
      <c r="G196" s="1663"/>
      <c r="H196" s="1671">
        <f>SUM(H194,H195)</f>
        <v>0</v>
      </c>
      <c r="I196" s="1572"/>
      <c r="J196" s="1663"/>
      <c r="K196" s="1671">
        <f>SUM(K194,K195)</f>
        <v>0</v>
      </c>
      <c r="L196" s="1671">
        <f>SUM(L194,L195)</f>
        <v>0</v>
      </c>
    </row>
    <row r="197" spans="1:14" s="547" customFormat="1" ht="15.75" customHeight="1" thickTop="1" x14ac:dyDescent="0.2">
      <c r="A197" s="1340" t="s">
        <v>934</v>
      </c>
      <c r="B197" s="1337" t="s">
        <v>489</v>
      </c>
      <c r="C197" s="1663"/>
      <c r="D197" s="1663"/>
      <c r="E197" s="1663"/>
      <c r="F197" s="1663"/>
      <c r="G197" s="1663"/>
      <c r="H197" s="1663"/>
      <c r="I197" s="1663"/>
      <c r="J197" s="1663"/>
      <c r="K197" s="1663"/>
      <c r="L197" s="1663"/>
      <c r="M197" s="538"/>
      <c r="N197" s="538"/>
    </row>
    <row r="198" spans="1:14" s="547" customFormat="1" ht="15.75" customHeight="1" x14ac:dyDescent="0.2">
      <c r="A198" s="529" t="s">
        <v>93</v>
      </c>
      <c r="B198" s="507"/>
      <c r="C198" s="1663"/>
      <c r="D198" s="1663"/>
      <c r="E198" s="1663"/>
      <c r="F198" s="1663"/>
      <c r="G198" s="1663"/>
      <c r="H198" s="1663"/>
      <c r="I198" s="1663"/>
      <c r="J198" s="1663"/>
      <c r="K198" s="1663"/>
      <c r="L198" s="1663"/>
      <c r="M198" s="538"/>
      <c r="N198" s="538"/>
    </row>
    <row r="199" spans="1:14" x14ac:dyDescent="0.2">
      <c r="A199" s="1264" t="s">
        <v>87</v>
      </c>
      <c r="B199" s="502">
        <v>5110</v>
      </c>
      <c r="C199" s="1663"/>
      <c r="D199" s="1663"/>
      <c r="E199" s="1663"/>
      <c r="F199" s="1663"/>
      <c r="G199" s="1663"/>
      <c r="H199" s="1563"/>
      <c r="I199" s="1663"/>
      <c r="J199" s="1663"/>
      <c r="K199" s="1662">
        <f>SUM(H199)</f>
        <v>0</v>
      </c>
      <c r="L199" s="1563">
        <v>0</v>
      </c>
    </row>
    <row r="200" spans="1:14" x14ac:dyDescent="0.2">
      <c r="A200" s="1264" t="s">
        <v>88</v>
      </c>
      <c r="B200" s="502">
        <v>5120</v>
      </c>
      <c r="C200" s="1663"/>
      <c r="D200" s="1663"/>
      <c r="E200" s="1663"/>
      <c r="F200" s="1663"/>
      <c r="G200" s="1663"/>
      <c r="H200" s="1563"/>
      <c r="I200" s="1663"/>
      <c r="J200" s="1663"/>
      <c r="K200" s="1662">
        <f>SUM(H200)</f>
        <v>0</v>
      </c>
      <c r="L200" s="1563">
        <v>0</v>
      </c>
    </row>
    <row r="201" spans="1:14" ht="12.75" customHeight="1" x14ac:dyDescent="0.2">
      <c r="A201" s="1264" t="s">
        <v>1160</v>
      </c>
      <c r="B201" s="511" t="s">
        <v>613</v>
      </c>
      <c r="C201" s="1663"/>
      <c r="D201" s="1663"/>
      <c r="E201" s="1663"/>
      <c r="F201" s="1663"/>
      <c r="G201" s="1663"/>
      <c r="H201" s="1563"/>
      <c r="I201" s="1663"/>
      <c r="J201" s="1663"/>
      <c r="K201" s="1662">
        <f>SUM(H201)</f>
        <v>0</v>
      </c>
      <c r="L201" s="1563">
        <v>0</v>
      </c>
    </row>
    <row r="202" spans="1:14" x14ac:dyDescent="0.2">
      <c r="A202" s="1264" t="s">
        <v>89</v>
      </c>
      <c r="B202" s="502" t="s">
        <v>585</v>
      </c>
      <c r="C202" s="1663"/>
      <c r="D202" s="1663"/>
      <c r="E202" s="1663"/>
      <c r="F202" s="1663"/>
      <c r="G202" s="1663"/>
      <c r="H202" s="1563"/>
      <c r="I202" s="1663"/>
      <c r="J202" s="1663"/>
      <c r="K202" s="1662">
        <f>SUM(H202)</f>
        <v>0</v>
      </c>
      <c r="L202" s="1563">
        <v>0</v>
      </c>
    </row>
    <row r="203" spans="1:14" x14ac:dyDescent="0.2">
      <c r="A203" s="1276" t="s">
        <v>615</v>
      </c>
      <c r="B203" s="502" t="s">
        <v>614</v>
      </c>
      <c r="C203" s="1663"/>
      <c r="D203" s="1663"/>
      <c r="E203" s="1663"/>
      <c r="F203" s="1663"/>
      <c r="G203" s="1663"/>
      <c r="H203" s="1567"/>
      <c r="I203" s="1663"/>
      <c r="J203" s="1663"/>
      <c r="K203" s="1662">
        <f>SUM(H203)</f>
        <v>0</v>
      </c>
      <c r="L203" s="1567">
        <v>0</v>
      </c>
    </row>
    <row r="204" spans="1:14" ht="13.5" thickBot="1" x14ac:dyDescent="0.25">
      <c r="A204" s="1370" t="s">
        <v>274</v>
      </c>
      <c r="B204" s="1371" t="s">
        <v>713</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2" t="s">
        <v>83</v>
      </c>
      <c r="B205" s="553" t="s">
        <v>38</v>
      </c>
      <c r="C205" s="1663"/>
      <c r="D205" s="1663"/>
      <c r="E205" s="1663"/>
      <c r="F205" s="1663"/>
      <c r="G205" s="1663"/>
      <c r="H205" s="1620"/>
      <c r="I205" s="1663"/>
      <c r="J205" s="1663"/>
      <c r="K205" s="1686">
        <f>SUM(H205)</f>
        <v>0</v>
      </c>
      <c r="L205" s="1620">
        <v>0</v>
      </c>
    </row>
    <row r="206" spans="1:14" ht="30" customHeight="1" x14ac:dyDescent="0.2">
      <c r="A206" s="554" t="s">
        <v>1652</v>
      </c>
      <c r="B206" s="545" t="s">
        <v>31</v>
      </c>
      <c r="C206" s="1663"/>
      <c r="D206" s="1663"/>
      <c r="E206" s="1663"/>
      <c r="F206" s="1663"/>
      <c r="G206" s="1663"/>
      <c r="H206" s="1563"/>
      <c r="I206" s="1663"/>
      <c r="J206" s="1663"/>
      <c r="K206" s="1662">
        <f>SUM(H206)</f>
        <v>0</v>
      </c>
      <c r="L206" s="1563">
        <v>0</v>
      </c>
    </row>
    <row r="207" spans="1:14" ht="15.75" customHeight="1" x14ac:dyDescent="0.2">
      <c r="A207" s="506" t="s">
        <v>761</v>
      </c>
      <c r="B207" s="545" t="s">
        <v>84</v>
      </c>
      <c r="C207" s="1663"/>
      <c r="D207" s="1663"/>
      <c r="E207" s="1663"/>
      <c r="F207" s="1663"/>
      <c r="G207" s="1663"/>
      <c r="H207" s="1564"/>
      <c r="I207" s="1663"/>
      <c r="J207" s="1663"/>
      <c r="K207" s="1662">
        <f>H207</f>
        <v>0</v>
      </c>
      <c r="L207" s="1563">
        <v>0</v>
      </c>
    </row>
    <row r="208" spans="1:14" ht="12.75" customHeight="1" thickBot="1" x14ac:dyDescent="0.25">
      <c r="A208" s="1379" t="s">
        <v>633</v>
      </c>
      <c r="B208" s="1380"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4" t="s">
        <v>867</v>
      </c>
      <c r="B209" s="1341" t="s">
        <v>856</v>
      </c>
      <c r="C209" s="1666"/>
      <c r="D209" s="1666"/>
      <c r="E209" s="1666"/>
      <c r="F209" s="1666"/>
      <c r="G209" s="1666"/>
      <c r="H209" s="1666"/>
      <c r="I209" s="1663"/>
      <c r="J209" s="1663"/>
      <c r="K209" s="1666"/>
      <c r="L209" s="1641">
        <v>0</v>
      </c>
    </row>
    <row r="210" spans="1:14" ht="12.75" customHeight="1" thickTop="1" thickBot="1" x14ac:dyDescent="0.25">
      <c r="A210" s="1384" t="s">
        <v>275</v>
      </c>
      <c r="B210" s="1385"/>
      <c r="C210" s="1664">
        <f>SUM(C184,C185)</f>
        <v>0</v>
      </c>
      <c r="D210" s="1664">
        <f>SUM(D184,D185)</f>
        <v>0</v>
      </c>
      <c r="E210" s="1664">
        <f>SUM(E184,E185,E196)</f>
        <v>1109062</v>
      </c>
      <c r="F210" s="1664">
        <f>SUM(F184,F185)</f>
        <v>0</v>
      </c>
      <c r="G210" s="1664">
        <f>SUM(G184,G185)</f>
        <v>0</v>
      </c>
      <c r="H210" s="1664">
        <f>SUM(H184,H185,H196,H208,H209)</f>
        <v>0</v>
      </c>
      <c r="I210" s="1664">
        <f>SUM(I184,I185)</f>
        <v>0</v>
      </c>
      <c r="J210" s="1664">
        <f>SUM(J184,J185)</f>
        <v>0</v>
      </c>
      <c r="K210" s="1662">
        <f>SUM(K184,K185,K196,K208,K209)</f>
        <v>1109062</v>
      </c>
      <c r="L210" s="1664">
        <f>SUM(L184,L185,L196,L208,L209)</f>
        <v>1248000</v>
      </c>
    </row>
    <row r="211" spans="1:14" ht="13.5" thickTop="1" x14ac:dyDescent="0.2">
      <c r="A211" s="2335" t="s">
        <v>989</v>
      </c>
      <c r="B211" s="2336"/>
      <c r="C211" s="1665"/>
      <c r="D211" s="1665"/>
      <c r="E211" s="1665"/>
      <c r="F211" s="1665"/>
      <c r="G211" s="1665"/>
      <c r="H211" s="1665"/>
      <c r="I211" s="1663"/>
      <c r="J211" s="1663"/>
      <c r="K211" s="1679">
        <f>'Revenues 9-14'!F268-'Expenditures 15-22'!K210</f>
        <v>645077</v>
      </c>
      <c r="L211" s="1665"/>
    </row>
    <row r="212" spans="1:14" s="539" customFormat="1" ht="9" customHeight="1" x14ac:dyDescent="0.2">
      <c r="A212" s="536"/>
      <c r="B212" s="546"/>
      <c r="C212" s="1680"/>
      <c r="D212" s="1680"/>
      <c r="E212" s="1680"/>
      <c r="F212" s="1680"/>
      <c r="G212" s="1680"/>
      <c r="H212" s="1680"/>
      <c r="I212" s="1680"/>
      <c r="J212" s="1680"/>
      <c r="K212" s="1680"/>
      <c r="L212" s="1680"/>
      <c r="M212" s="538"/>
      <c r="N212" s="538"/>
    </row>
    <row r="213" spans="1:14" s="320" customFormat="1" ht="16.7" customHeight="1" x14ac:dyDescent="0.2">
      <c r="A213" s="2330" t="s">
        <v>959</v>
      </c>
      <c r="B213" s="2331"/>
      <c r="C213" s="1693"/>
      <c r="D213" s="1694"/>
      <c r="E213" s="1694"/>
      <c r="F213" s="1694"/>
      <c r="G213" s="1694"/>
      <c r="H213" s="1694"/>
      <c r="I213" s="1694"/>
      <c r="J213" s="1694"/>
      <c r="K213" s="1694"/>
      <c r="L213" s="1695"/>
      <c r="M213" s="500"/>
      <c r="N213" s="500"/>
    </row>
    <row r="214" spans="1:14" s="547" customFormat="1" ht="15.75" customHeight="1" x14ac:dyDescent="0.2">
      <c r="A214" s="1351" t="s">
        <v>868</v>
      </c>
      <c r="B214" s="1343" t="s">
        <v>566</v>
      </c>
      <c r="C214" s="1663"/>
      <c r="D214" s="1666"/>
      <c r="E214" s="1663"/>
      <c r="F214" s="1663"/>
      <c r="G214" s="1663"/>
      <c r="H214" s="1663"/>
      <c r="I214" s="1663"/>
      <c r="J214" s="1663"/>
      <c r="K214" s="1666"/>
      <c r="L214" s="1666"/>
      <c r="M214" s="538"/>
      <c r="N214" s="538"/>
    </row>
    <row r="215" spans="1:14" x14ac:dyDescent="0.2">
      <c r="A215" s="1264" t="s">
        <v>955</v>
      </c>
      <c r="B215" s="502">
        <v>1100</v>
      </c>
      <c r="C215" s="1663"/>
      <c r="D215" s="1563">
        <v>58445</v>
      </c>
      <c r="E215" s="1663"/>
      <c r="F215" s="1663"/>
      <c r="G215" s="1663"/>
      <c r="H215" s="1663"/>
      <c r="I215" s="1663"/>
      <c r="J215" s="1663"/>
      <c r="K215" s="1662">
        <f>D215</f>
        <v>58445</v>
      </c>
      <c r="L215" s="1563">
        <v>52730</v>
      </c>
    </row>
    <row r="216" spans="1:14" x14ac:dyDescent="0.2">
      <c r="A216" s="1264" t="s">
        <v>162</v>
      </c>
      <c r="B216" s="502" t="s">
        <v>961</v>
      </c>
      <c r="C216" s="1663"/>
      <c r="D216" s="1564"/>
      <c r="E216" s="1663"/>
      <c r="F216" s="1663"/>
      <c r="G216" s="1663"/>
      <c r="H216" s="1663"/>
      <c r="I216" s="1663"/>
      <c r="J216" s="1663"/>
      <c r="K216" s="1662">
        <f t="shared" ref="K216:K228" si="19">D216</f>
        <v>0</v>
      </c>
      <c r="L216" s="1563">
        <v>0</v>
      </c>
    </row>
    <row r="217" spans="1:14" x14ac:dyDescent="0.2">
      <c r="A217" s="1264" t="s">
        <v>163</v>
      </c>
      <c r="B217" s="502">
        <v>1200</v>
      </c>
      <c r="C217" s="1663"/>
      <c r="D217" s="1563">
        <v>34572</v>
      </c>
      <c r="E217" s="1663"/>
      <c r="F217" s="1663"/>
      <c r="G217" s="1663"/>
      <c r="H217" s="1663"/>
      <c r="I217" s="1663"/>
      <c r="J217" s="1663"/>
      <c r="K217" s="1662">
        <f t="shared" si="19"/>
        <v>34572</v>
      </c>
      <c r="L217" s="1563">
        <v>37566</v>
      </c>
    </row>
    <row r="218" spans="1:14" x14ac:dyDescent="0.2">
      <c r="A218" s="1264" t="s">
        <v>276</v>
      </c>
      <c r="B218" s="502" t="s">
        <v>962</v>
      </c>
      <c r="C218" s="1663"/>
      <c r="D218" s="1564"/>
      <c r="E218" s="1663"/>
      <c r="F218" s="1663"/>
      <c r="G218" s="1663"/>
      <c r="H218" s="1663"/>
      <c r="I218" s="1663"/>
      <c r="J218" s="1663"/>
      <c r="K218" s="1662">
        <f t="shared" si="19"/>
        <v>0</v>
      </c>
      <c r="L218" s="1563">
        <v>0</v>
      </c>
    </row>
    <row r="219" spans="1:14" x14ac:dyDescent="0.2">
      <c r="A219" s="1264" t="s">
        <v>277</v>
      </c>
      <c r="B219" s="502">
        <v>1250</v>
      </c>
      <c r="C219" s="1663"/>
      <c r="D219" s="1563"/>
      <c r="E219" s="1663"/>
      <c r="F219" s="1663"/>
      <c r="G219" s="1663"/>
      <c r="H219" s="1663"/>
      <c r="I219" s="1663"/>
      <c r="J219" s="1663"/>
      <c r="K219" s="1662">
        <f t="shared" si="19"/>
        <v>0</v>
      </c>
      <c r="L219" s="1563">
        <v>0</v>
      </c>
    </row>
    <row r="220" spans="1:14" x14ac:dyDescent="0.2">
      <c r="A220" s="1264" t="s">
        <v>278</v>
      </c>
      <c r="B220" s="502" t="s">
        <v>160</v>
      </c>
      <c r="C220" s="1663"/>
      <c r="D220" s="1564"/>
      <c r="E220" s="1663"/>
      <c r="F220" s="1663"/>
      <c r="G220" s="1663"/>
      <c r="H220" s="1663"/>
      <c r="I220" s="1663"/>
      <c r="J220" s="1663"/>
      <c r="K220" s="1662">
        <f t="shared" si="19"/>
        <v>0</v>
      </c>
      <c r="L220" s="1563">
        <v>0</v>
      </c>
    </row>
    <row r="221" spans="1:14" x14ac:dyDescent="0.2">
      <c r="A221" s="1264" t="s">
        <v>956</v>
      </c>
      <c r="B221" s="502">
        <v>1300</v>
      </c>
      <c r="C221" s="1663"/>
      <c r="D221" s="1563"/>
      <c r="E221" s="1663"/>
      <c r="F221" s="1663"/>
      <c r="G221" s="1663"/>
      <c r="H221" s="1663"/>
      <c r="I221" s="1663"/>
      <c r="J221" s="1663"/>
      <c r="K221" s="1662">
        <f t="shared" si="19"/>
        <v>0</v>
      </c>
      <c r="L221" s="1563">
        <v>0</v>
      </c>
    </row>
    <row r="222" spans="1:14" x14ac:dyDescent="0.2">
      <c r="A222" s="1264" t="s">
        <v>718</v>
      </c>
      <c r="B222" s="502">
        <v>1400</v>
      </c>
      <c r="C222" s="1663"/>
      <c r="D222" s="1563"/>
      <c r="E222" s="1663"/>
      <c r="F222" s="1663"/>
      <c r="G222" s="1663"/>
      <c r="H222" s="1663"/>
      <c r="I222" s="1663"/>
      <c r="J222" s="1663"/>
      <c r="K222" s="1662">
        <f t="shared" si="19"/>
        <v>0</v>
      </c>
      <c r="L222" s="1563">
        <v>0</v>
      </c>
    </row>
    <row r="223" spans="1:14" x14ac:dyDescent="0.2">
      <c r="A223" s="1264" t="s">
        <v>957</v>
      </c>
      <c r="B223" s="502">
        <v>1500</v>
      </c>
      <c r="C223" s="1663"/>
      <c r="D223" s="1563">
        <v>4201</v>
      </c>
      <c r="E223" s="1663"/>
      <c r="F223" s="1663"/>
      <c r="G223" s="1663"/>
      <c r="H223" s="1663"/>
      <c r="I223" s="1663"/>
      <c r="J223" s="1663"/>
      <c r="K223" s="1662">
        <f t="shared" si="19"/>
        <v>4201</v>
      </c>
      <c r="L223" s="1563">
        <v>2500</v>
      </c>
    </row>
    <row r="224" spans="1:14" x14ac:dyDescent="0.2">
      <c r="A224" s="1264" t="s">
        <v>958</v>
      </c>
      <c r="B224" s="502">
        <v>1600</v>
      </c>
      <c r="C224" s="1663"/>
      <c r="D224" s="1563"/>
      <c r="E224" s="1663"/>
      <c r="F224" s="1663"/>
      <c r="G224" s="1663"/>
      <c r="H224" s="1663"/>
      <c r="I224" s="1663"/>
      <c r="J224" s="1663"/>
      <c r="K224" s="1662">
        <f t="shared" si="19"/>
        <v>0</v>
      </c>
      <c r="L224" s="1563">
        <v>0</v>
      </c>
    </row>
    <row r="225" spans="1:12" x14ac:dyDescent="0.2">
      <c r="A225" s="1264" t="s">
        <v>980</v>
      </c>
      <c r="B225" s="502">
        <v>1650</v>
      </c>
      <c r="C225" s="1663"/>
      <c r="D225" s="1563"/>
      <c r="E225" s="1663"/>
      <c r="F225" s="1663"/>
      <c r="G225" s="1663"/>
      <c r="H225" s="1663"/>
      <c r="I225" s="1663"/>
      <c r="J225" s="1663"/>
      <c r="K225" s="1662">
        <f t="shared" si="19"/>
        <v>0</v>
      </c>
      <c r="L225" s="1563">
        <v>0</v>
      </c>
    </row>
    <row r="226" spans="1:12" x14ac:dyDescent="0.2">
      <c r="A226" s="1264" t="s">
        <v>719</v>
      </c>
      <c r="B226" s="502" t="s">
        <v>161</v>
      </c>
      <c r="C226" s="1663"/>
      <c r="D226" s="1564"/>
      <c r="E226" s="1663"/>
      <c r="F226" s="1663"/>
      <c r="G226" s="1663"/>
      <c r="H226" s="1663"/>
      <c r="I226" s="1663"/>
      <c r="J226" s="1663"/>
      <c r="K226" s="1662">
        <f t="shared" si="19"/>
        <v>0</v>
      </c>
      <c r="L226" s="1563">
        <v>0</v>
      </c>
    </row>
    <row r="227" spans="1:12" x14ac:dyDescent="0.2">
      <c r="A227" s="1264" t="s">
        <v>1078</v>
      </c>
      <c r="B227" s="502">
        <v>1800</v>
      </c>
      <c r="C227" s="1663"/>
      <c r="D227" s="1563"/>
      <c r="E227" s="1663"/>
      <c r="F227" s="1663"/>
      <c r="G227" s="1663"/>
      <c r="H227" s="1663"/>
      <c r="I227" s="1663"/>
      <c r="J227" s="1663"/>
      <c r="K227" s="1662">
        <f t="shared" si="19"/>
        <v>0</v>
      </c>
      <c r="L227" s="1563">
        <v>0</v>
      </c>
    </row>
    <row r="228" spans="1:12" x14ac:dyDescent="0.2">
      <c r="A228" s="1264" t="s">
        <v>1079</v>
      </c>
      <c r="B228" s="502">
        <v>1900</v>
      </c>
      <c r="C228" s="1663"/>
      <c r="D228" s="1563"/>
      <c r="E228" s="1663"/>
      <c r="F228" s="1663"/>
      <c r="G228" s="1663"/>
      <c r="H228" s="1663"/>
      <c r="I228" s="1663"/>
      <c r="J228" s="1663"/>
      <c r="K228" s="1662">
        <f t="shared" si="19"/>
        <v>0</v>
      </c>
      <c r="L228" s="1563">
        <v>0</v>
      </c>
    </row>
    <row r="229" spans="1:12" ht="12.75" customHeight="1" thickBot="1" x14ac:dyDescent="0.25">
      <c r="A229" s="1370" t="s">
        <v>710</v>
      </c>
      <c r="B229" s="1373" t="s">
        <v>566</v>
      </c>
      <c r="C229" s="1663"/>
      <c r="D229" s="1664">
        <f>SUM(D215:D228)</f>
        <v>97218</v>
      </c>
      <c r="E229" s="1663"/>
      <c r="F229" s="1663"/>
      <c r="G229" s="1663"/>
      <c r="H229" s="1663"/>
      <c r="I229" s="1663"/>
      <c r="J229" s="1663"/>
      <c r="K229" s="1664">
        <f>SUM(K215:K228)</f>
        <v>97218</v>
      </c>
      <c r="L229" s="1664">
        <f>SUM(L215:L228)</f>
        <v>92796</v>
      </c>
    </row>
    <row r="230" spans="1:12" ht="15.75" customHeight="1" thickTop="1" x14ac:dyDescent="0.2">
      <c r="A230" s="1340" t="s">
        <v>869</v>
      </c>
      <c r="B230" s="1341" t="s">
        <v>565</v>
      </c>
      <c r="C230" s="1663"/>
      <c r="D230" s="1663"/>
      <c r="E230" s="1663"/>
      <c r="F230" s="1663"/>
      <c r="G230" s="1663"/>
      <c r="H230" s="1663"/>
      <c r="I230" s="1663"/>
      <c r="J230" s="1663"/>
      <c r="K230" s="1663"/>
      <c r="L230" s="1663"/>
    </row>
    <row r="231" spans="1:12" ht="15.75" customHeight="1" x14ac:dyDescent="0.2">
      <c r="A231" s="529" t="s">
        <v>587</v>
      </c>
      <c r="B231" s="507"/>
      <c r="C231" s="1663"/>
      <c r="D231" s="1663"/>
      <c r="E231" s="1663"/>
      <c r="F231" s="1663"/>
      <c r="G231" s="1663"/>
      <c r="H231" s="1663"/>
      <c r="I231" s="1663"/>
      <c r="J231" s="1663"/>
      <c r="K231" s="1663"/>
      <c r="L231" s="1663"/>
    </row>
    <row r="232" spans="1:12" x14ac:dyDescent="0.2">
      <c r="A232" s="1264" t="s">
        <v>1080</v>
      </c>
      <c r="B232" s="502">
        <v>2110</v>
      </c>
      <c r="C232" s="1663"/>
      <c r="D232" s="1563">
        <v>0</v>
      </c>
      <c r="E232" s="1663"/>
      <c r="F232" s="1663"/>
      <c r="G232" s="1663"/>
      <c r="H232" s="1663"/>
      <c r="I232" s="1663"/>
      <c r="J232" s="1663"/>
      <c r="K232" s="1662">
        <f t="shared" ref="K232:K237" si="20">D232</f>
        <v>0</v>
      </c>
      <c r="L232" s="1563">
        <v>1150</v>
      </c>
    </row>
    <row r="233" spans="1:12" x14ac:dyDescent="0.2">
      <c r="A233" s="1264" t="s">
        <v>1081</v>
      </c>
      <c r="B233" s="502">
        <v>2120</v>
      </c>
      <c r="C233" s="1663"/>
      <c r="D233" s="1563">
        <v>997</v>
      </c>
      <c r="E233" s="1663"/>
      <c r="F233" s="1663"/>
      <c r="G233" s="1663"/>
      <c r="H233" s="1663"/>
      <c r="I233" s="1663"/>
      <c r="J233" s="1663"/>
      <c r="K233" s="1662">
        <f t="shared" si="20"/>
        <v>997</v>
      </c>
      <c r="L233" s="1563">
        <v>0</v>
      </c>
    </row>
    <row r="234" spans="1:12" x14ac:dyDescent="0.2">
      <c r="A234" s="1264" t="s">
        <v>196</v>
      </c>
      <c r="B234" s="502">
        <v>2130</v>
      </c>
      <c r="C234" s="1663"/>
      <c r="D234" s="1563">
        <v>8989</v>
      </c>
      <c r="E234" s="1663"/>
      <c r="F234" s="1663"/>
      <c r="G234" s="1663"/>
      <c r="H234" s="1663"/>
      <c r="I234" s="1663"/>
      <c r="J234" s="1663"/>
      <c r="K234" s="1662">
        <f t="shared" si="20"/>
        <v>8989</v>
      </c>
      <c r="L234" s="1563">
        <v>8000</v>
      </c>
    </row>
    <row r="235" spans="1:12" x14ac:dyDescent="0.2">
      <c r="A235" s="1264" t="s">
        <v>197</v>
      </c>
      <c r="B235" s="502">
        <v>2140</v>
      </c>
      <c r="C235" s="1663"/>
      <c r="D235" s="1563">
        <v>0</v>
      </c>
      <c r="E235" s="1663"/>
      <c r="F235" s="1663"/>
      <c r="G235" s="1663"/>
      <c r="H235" s="1663"/>
      <c r="I235" s="1663"/>
      <c r="J235" s="1663"/>
      <c r="K235" s="1662">
        <f t="shared" si="20"/>
        <v>0</v>
      </c>
      <c r="L235" s="1563">
        <v>0</v>
      </c>
    </row>
    <row r="236" spans="1:12" x14ac:dyDescent="0.2">
      <c r="A236" s="1264" t="s">
        <v>198</v>
      </c>
      <c r="B236" s="502">
        <v>2150</v>
      </c>
      <c r="C236" s="1663"/>
      <c r="D236" s="1563">
        <v>6013</v>
      </c>
      <c r="E236" s="1663"/>
      <c r="F236" s="1663"/>
      <c r="G236" s="1663"/>
      <c r="H236" s="1663"/>
      <c r="I236" s="1663"/>
      <c r="J236" s="1663"/>
      <c r="K236" s="1662">
        <f t="shared" si="20"/>
        <v>6013</v>
      </c>
      <c r="L236" s="1563">
        <v>1000</v>
      </c>
    </row>
    <row r="237" spans="1:12" x14ac:dyDescent="0.2">
      <c r="A237" s="1264" t="s">
        <v>164</v>
      </c>
      <c r="B237" s="502">
        <v>2190</v>
      </c>
      <c r="C237" s="1663"/>
      <c r="D237" s="1563">
        <v>6448</v>
      </c>
      <c r="E237" s="1663"/>
      <c r="F237" s="1663"/>
      <c r="G237" s="1663"/>
      <c r="H237" s="1663"/>
      <c r="I237" s="1663"/>
      <c r="J237" s="1663"/>
      <c r="K237" s="1662">
        <f t="shared" si="20"/>
        <v>6448</v>
      </c>
      <c r="L237" s="1563">
        <v>9500</v>
      </c>
    </row>
    <row r="238" spans="1:12" ht="12.75" customHeight="1" thickBot="1" x14ac:dyDescent="0.25">
      <c r="A238" s="1370" t="s">
        <v>556</v>
      </c>
      <c r="B238" s="1373" t="s">
        <v>711</v>
      </c>
      <c r="C238" s="1663"/>
      <c r="D238" s="1664">
        <f>SUM(D232:D237)</f>
        <v>22447</v>
      </c>
      <c r="E238" s="1663"/>
      <c r="F238" s="1663"/>
      <c r="G238" s="1663"/>
      <c r="H238" s="1663"/>
      <c r="I238" s="1663"/>
      <c r="J238" s="1663"/>
      <c r="K238" s="1664">
        <f>SUM(K232:K237)</f>
        <v>22447</v>
      </c>
      <c r="L238" s="1664">
        <f>SUM(L232:L237)</f>
        <v>19650</v>
      </c>
    </row>
    <row r="239" spans="1:12" ht="15.75" customHeight="1" thickTop="1" x14ac:dyDescent="0.2">
      <c r="A239" s="508" t="s">
        <v>588</v>
      </c>
      <c r="B239" s="513"/>
      <c r="C239" s="1663"/>
      <c r="D239" s="1667"/>
      <c r="E239" s="1663"/>
      <c r="F239" s="1663"/>
      <c r="G239" s="1663"/>
      <c r="H239" s="1663"/>
      <c r="I239" s="1663"/>
      <c r="J239" s="1663"/>
      <c r="K239" s="1667"/>
      <c r="L239" s="1667"/>
    </row>
    <row r="240" spans="1:12" x14ac:dyDescent="0.2">
      <c r="A240" s="1264" t="s">
        <v>809</v>
      </c>
      <c r="B240" s="502">
        <v>2210</v>
      </c>
      <c r="C240" s="1663"/>
      <c r="D240" s="1576">
        <v>839</v>
      </c>
      <c r="E240" s="1663"/>
      <c r="F240" s="1663"/>
      <c r="G240" s="1663"/>
      <c r="H240" s="1663"/>
      <c r="I240" s="1663"/>
      <c r="J240" s="1663"/>
      <c r="K240" s="1668">
        <f>D240</f>
        <v>839</v>
      </c>
      <c r="L240" s="1576">
        <v>1975</v>
      </c>
    </row>
    <row r="241" spans="1:12" x14ac:dyDescent="0.2">
      <c r="A241" s="1264" t="s">
        <v>810</v>
      </c>
      <c r="B241" s="502">
        <v>2220</v>
      </c>
      <c r="C241" s="1663"/>
      <c r="D241" s="1563">
        <v>31707</v>
      </c>
      <c r="E241" s="1663"/>
      <c r="F241" s="1663"/>
      <c r="G241" s="1663"/>
      <c r="H241" s="1663"/>
      <c r="I241" s="1663"/>
      <c r="J241" s="1663"/>
      <c r="K241" s="1668">
        <f>D241</f>
        <v>31707</v>
      </c>
      <c r="L241" s="1563">
        <v>35996</v>
      </c>
    </row>
    <row r="242" spans="1:12" x14ac:dyDescent="0.2">
      <c r="A242" s="1264" t="s">
        <v>811</v>
      </c>
      <c r="B242" s="502">
        <v>2230</v>
      </c>
      <c r="C242" s="1663"/>
      <c r="D242" s="1563">
        <v>4693</v>
      </c>
      <c r="E242" s="1663"/>
      <c r="F242" s="1663"/>
      <c r="G242" s="1663"/>
      <c r="H242" s="1663"/>
      <c r="I242" s="1663"/>
      <c r="J242" s="1663"/>
      <c r="K242" s="1668">
        <f>D242</f>
        <v>4693</v>
      </c>
      <c r="L242" s="1563">
        <v>4500</v>
      </c>
    </row>
    <row r="243" spans="1:12" ht="12.75" customHeight="1" thickBot="1" x14ac:dyDescent="0.25">
      <c r="A243" s="1386" t="s">
        <v>557</v>
      </c>
      <c r="B243" s="1387">
        <v>2200</v>
      </c>
      <c r="C243" s="1663"/>
      <c r="D243" s="1664">
        <f>SUM(D240:D242)</f>
        <v>37239</v>
      </c>
      <c r="E243" s="1663"/>
      <c r="F243" s="1663"/>
      <c r="G243" s="1663"/>
      <c r="H243" s="1663"/>
      <c r="I243" s="1663"/>
      <c r="J243" s="1663"/>
      <c r="K243" s="1664">
        <f>SUM(K240:K242)</f>
        <v>37239</v>
      </c>
      <c r="L243" s="1664">
        <f>SUM(L240:L242)</f>
        <v>42471</v>
      </c>
    </row>
    <row r="244" spans="1:12" ht="15.75" customHeight="1" thickTop="1" x14ac:dyDescent="0.2">
      <c r="A244" s="508" t="s">
        <v>606</v>
      </c>
      <c r="B244" s="555"/>
      <c r="C244" s="1663"/>
      <c r="D244" s="1667"/>
      <c r="E244" s="1663"/>
      <c r="F244" s="1663"/>
      <c r="G244" s="1663"/>
      <c r="H244" s="1663"/>
      <c r="I244" s="1663"/>
      <c r="J244" s="1663"/>
      <c r="K244" s="1667"/>
      <c r="L244" s="1667"/>
    </row>
    <row r="245" spans="1:12" x14ac:dyDescent="0.2">
      <c r="A245" s="1264" t="s">
        <v>812</v>
      </c>
      <c r="B245" s="502">
        <v>2310</v>
      </c>
      <c r="C245" s="1663"/>
      <c r="D245" s="1576">
        <v>1406</v>
      </c>
      <c r="E245" s="1663"/>
      <c r="F245" s="1663"/>
      <c r="G245" s="1663"/>
      <c r="H245" s="1663"/>
      <c r="I245" s="1663"/>
      <c r="J245" s="1663"/>
      <c r="K245" s="1668">
        <f>D245</f>
        <v>1406</v>
      </c>
      <c r="L245" s="1576">
        <v>2750</v>
      </c>
    </row>
    <row r="246" spans="1:12" x14ac:dyDescent="0.2">
      <c r="A246" s="1264" t="s">
        <v>813</v>
      </c>
      <c r="B246" s="502">
        <v>2320</v>
      </c>
      <c r="C246" s="1663"/>
      <c r="D246" s="1563">
        <v>18056</v>
      </c>
      <c r="E246" s="1663"/>
      <c r="F246" s="1663"/>
      <c r="G246" s="1663"/>
      <c r="H246" s="1663"/>
      <c r="I246" s="1663"/>
      <c r="J246" s="1663"/>
      <c r="K246" s="1668">
        <f t="shared" ref="K246:K256" si="21">D246</f>
        <v>18056</v>
      </c>
      <c r="L246" s="1563">
        <v>24500</v>
      </c>
    </row>
    <row r="247" spans="1:12" x14ac:dyDescent="0.2">
      <c r="A247" s="1264" t="s">
        <v>814</v>
      </c>
      <c r="B247" s="502">
        <v>2330</v>
      </c>
      <c r="C247" s="1663"/>
      <c r="D247" s="1563">
        <v>11063</v>
      </c>
      <c r="E247" s="1663"/>
      <c r="F247" s="1663"/>
      <c r="G247" s="1663"/>
      <c r="H247" s="1663"/>
      <c r="I247" s="1663"/>
      <c r="J247" s="1663"/>
      <c r="K247" s="1668">
        <f t="shared" si="21"/>
        <v>11063</v>
      </c>
      <c r="L247" s="1563">
        <v>13360</v>
      </c>
    </row>
    <row r="248" spans="1:12" x14ac:dyDescent="0.2">
      <c r="A248" s="1265" t="s">
        <v>296</v>
      </c>
      <c r="B248" s="493" t="s">
        <v>279</v>
      </c>
      <c r="C248" s="1663"/>
      <c r="D248" s="1569"/>
      <c r="E248" s="1663"/>
      <c r="F248" s="1663"/>
      <c r="G248" s="1663"/>
      <c r="H248" s="1663"/>
      <c r="I248" s="1663"/>
      <c r="J248" s="1663"/>
      <c r="K248" s="1668">
        <f t="shared" si="21"/>
        <v>0</v>
      </c>
      <c r="L248" s="1563">
        <v>0</v>
      </c>
    </row>
    <row r="249" spans="1:12" x14ac:dyDescent="0.2">
      <c r="A249" s="1266" t="s">
        <v>1779</v>
      </c>
      <c r="B249" s="556" t="s">
        <v>280</v>
      </c>
      <c r="C249" s="1663"/>
      <c r="D249" s="1569"/>
      <c r="E249" s="1663"/>
      <c r="F249" s="1663"/>
      <c r="G249" s="1663"/>
      <c r="H249" s="1663"/>
      <c r="I249" s="1663"/>
      <c r="J249" s="1663"/>
      <c r="K249" s="1668">
        <f t="shared" si="21"/>
        <v>0</v>
      </c>
      <c r="L249" s="1563">
        <v>0</v>
      </c>
    </row>
    <row r="250" spans="1:12" x14ac:dyDescent="0.2">
      <c r="A250" s="1265" t="s">
        <v>1780</v>
      </c>
      <c r="B250" s="493" t="s">
        <v>281</v>
      </c>
      <c r="C250" s="1663"/>
      <c r="D250" s="1569"/>
      <c r="E250" s="1663"/>
      <c r="F250" s="1663"/>
      <c r="G250" s="1663"/>
      <c r="H250" s="1663"/>
      <c r="I250" s="1663"/>
      <c r="J250" s="1663"/>
      <c r="K250" s="1668">
        <f t="shared" si="21"/>
        <v>0</v>
      </c>
      <c r="L250" s="1563">
        <v>0</v>
      </c>
    </row>
    <row r="251" spans="1:12" x14ac:dyDescent="0.2">
      <c r="A251" s="1265" t="s">
        <v>236</v>
      </c>
      <c r="B251" s="493" t="s">
        <v>282</v>
      </c>
      <c r="C251" s="1663"/>
      <c r="D251" s="1569"/>
      <c r="E251" s="1663"/>
      <c r="F251" s="1663"/>
      <c r="G251" s="1663"/>
      <c r="H251" s="1663"/>
      <c r="I251" s="1663"/>
      <c r="J251" s="1663"/>
      <c r="K251" s="1668">
        <f t="shared" si="21"/>
        <v>0</v>
      </c>
      <c r="L251" s="1563">
        <v>0</v>
      </c>
    </row>
    <row r="252" spans="1:12" x14ac:dyDescent="0.2">
      <c r="A252" s="1265" t="s">
        <v>697</v>
      </c>
      <c r="B252" s="493" t="s">
        <v>283</v>
      </c>
      <c r="C252" s="1663"/>
      <c r="D252" s="1569"/>
      <c r="E252" s="1663"/>
      <c r="F252" s="1663"/>
      <c r="G252" s="1663"/>
      <c r="H252" s="1663"/>
      <c r="I252" s="1663"/>
      <c r="J252" s="1663"/>
      <c r="K252" s="1668">
        <f t="shared" si="21"/>
        <v>0</v>
      </c>
      <c r="L252" s="1563">
        <v>0</v>
      </c>
    </row>
    <row r="253" spans="1:12" x14ac:dyDescent="0.2">
      <c r="A253" s="1265" t="s">
        <v>237</v>
      </c>
      <c r="B253" s="493" t="s">
        <v>284</v>
      </c>
      <c r="C253" s="1663"/>
      <c r="D253" s="1569"/>
      <c r="E253" s="1663"/>
      <c r="F253" s="1663"/>
      <c r="G253" s="1663"/>
      <c r="H253" s="1663"/>
      <c r="I253" s="1663"/>
      <c r="J253" s="1663"/>
      <c r="K253" s="1668">
        <f t="shared" si="21"/>
        <v>0</v>
      </c>
      <c r="L253" s="1563">
        <v>0</v>
      </c>
    </row>
    <row r="254" spans="1:12" ht="22.5" x14ac:dyDescent="0.2">
      <c r="A254" s="1265" t="s">
        <v>1022</v>
      </c>
      <c r="B254" s="556" t="s">
        <v>285</v>
      </c>
      <c r="C254" s="1663"/>
      <c r="D254" s="1569"/>
      <c r="E254" s="1663"/>
      <c r="F254" s="1663"/>
      <c r="G254" s="1663"/>
      <c r="H254" s="1663"/>
      <c r="I254" s="1663"/>
      <c r="J254" s="1663"/>
      <c r="K254" s="1668">
        <f t="shared" si="21"/>
        <v>0</v>
      </c>
      <c r="L254" s="1563">
        <v>0</v>
      </c>
    </row>
    <row r="255" spans="1:12" x14ac:dyDescent="0.2">
      <c r="A255" s="1265" t="s">
        <v>1023</v>
      </c>
      <c r="B255" s="493" t="s">
        <v>286</v>
      </c>
      <c r="C255" s="1663"/>
      <c r="D255" s="1569"/>
      <c r="E255" s="1663"/>
      <c r="F255" s="1663"/>
      <c r="G255" s="1663"/>
      <c r="H255" s="1663"/>
      <c r="I255" s="1663"/>
      <c r="J255" s="1663"/>
      <c r="K255" s="1668">
        <f t="shared" si="21"/>
        <v>0</v>
      </c>
      <c r="L255" s="1563">
        <v>0</v>
      </c>
    </row>
    <row r="256" spans="1:12" x14ac:dyDescent="0.2">
      <c r="A256" s="1265" t="s">
        <v>965</v>
      </c>
      <c r="B256" s="502" t="s">
        <v>287</v>
      </c>
      <c r="C256" s="1663"/>
      <c r="D256" s="1569"/>
      <c r="E256" s="1663"/>
      <c r="F256" s="1663"/>
      <c r="G256" s="1663"/>
      <c r="H256" s="1663"/>
      <c r="I256" s="1663"/>
      <c r="J256" s="1663"/>
      <c r="K256" s="1668">
        <f t="shared" si="21"/>
        <v>0</v>
      </c>
      <c r="L256" s="1563">
        <v>0</v>
      </c>
    </row>
    <row r="257" spans="1:14" ht="12.75" customHeight="1" thickBot="1" x14ac:dyDescent="0.25">
      <c r="A257" s="1370" t="s">
        <v>712</v>
      </c>
      <c r="B257" s="1388">
        <v>2300</v>
      </c>
      <c r="C257" s="1663"/>
      <c r="D257" s="1664">
        <f>SUM(D245:D256)</f>
        <v>30525</v>
      </c>
      <c r="E257" s="1663"/>
      <c r="F257" s="1663"/>
      <c r="G257" s="1663"/>
      <c r="H257" s="1663"/>
      <c r="I257" s="1663"/>
      <c r="J257" s="1663"/>
      <c r="K257" s="1664">
        <f>SUM(K245:K256)</f>
        <v>30525</v>
      </c>
      <c r="L257" s="1664">
        <f>SUM(L245:L256)</f>
        <v>40610</v>
      </c>
    </row>
    <row r="258" spans="1:14" ht="15.75" customHeight="1" thickTop="1" x14ac:dyDescent="0.2">
      <c r="A258" s="508" t="s">
        <v>607</v>
      </c>
      <c r="B258" s="557"/>
      <c r="C258" s="1663"/>
      <c r="D258" s="1667"/>
      <c r="E258" s="1663"/>
      <c r="F258" s="1663"/>
      <c r="G258" s="1663"/>
      <c r="H258" s="1663"/>
      <c r="I258" s="1663"/>
      <c r="J258" s="1663"/>
      <c r="K258" s="1667"/>
      <c r="L258" s="1667"/>
    </row>
    <row r="259" spans="1:14" x14ac:dyDescent="0.2">
      <c r="A259" s="1264" t="s">
        <v>1058</v>
      </c>
      <c r="B259" s="558">
        <v>2410</v>
      </c>
      <c r="C259" s="1663"/>
      <c r="D259" s="1576">
        <v>28185</v>
      </c>
      <c r="E259" s="1663"/>
      <c r="F259" s="1663"/>
      <c r="G259" s="1663"/>
      <c r="H259" s="1663"/>
      <c r="I259" s="1663"/>
      <c r="J259" s="1663"/>
      <c r="K259" s="1668">
        <f>D259</f>
        <v>28185</v>
      </c>
      <c r="L259" s="1576">
        <v>25885</v>
      </c>
    </row>
    <row r="260" spans="1:14" s="492" customFormat="1" x14ac:dyDescent="0.2">
      <c r="A260" s="1282" t="s">
        <v>1778</v>
      </c>
      <c r="B260" s="511">
        <v>2490</v>
      </c>
      <c r="C260" s="1663"/>
      <c r="D260" s="1563"/>
      <c r="E260" s="1663"/>
      <c r="F260" s="1663"/>
      <c r="G260" s="1663"/>
      <c r="H260" s="1663"/>
      <c r="I260" s="1663"/>
      <c r="J260" s="1663"/>
      <c r="K260" s="1668">
        <f>D260</f>
        <v>0</v>
      </c>
      <c r="L260" s="1563">
        <v>0</v>
      </c>
      <c r="M260" s="204"/>
      <c r="N260" s="204"/>
    </row>
    <row r="261" spans="1:14" ht="12.75" customHeight="1" thickBot="1" x14ac:dyDescent="0.25">
      <c r="A261" s="1384" t="s">
        <v>261</v>
      </c>
      <c r="B261" s="1389" t="s">
        <v>34</v>
      </c>
      <c r="C261" s="1663"/>
      <c r="D261" s="1664">
        <f>SUM(D259:D260)</f>
        <v>28185</v>
      </c>
      <c r="E261" s="1663"/>
      <c r="F261" s="1663"/>
      <c r="G261" s="1663"/>
      <c r="H261" s="1663"/>
      <c r="I261" s="1663"/>
      <c r="J261" s="1663"/>
      <c r="K261" s="1664">
        <f>SUM(K259:K260)</f>
        <v>28185</v>
      </c>
      <c r="L261" s="1664">
        <f>SUM(L259:L260)</f>
        <v>25885</v>
      </c>
    </row>
    <row r="262" spans="1:14" ht="15.75" customHeight="1" thickTop="1" x14ac:dyDescent="0.2">
      <c r="A262" s="508" t="s">
        <v>608</v>
      </c>
      <c r="B262" s="557"/>
      <c r="C262" s="1663"/>
      <c r="D262" s="1663"/>
      <c r="E262" s="1663"/>
      <c r="F262" s="1663"/>
      <c r="G262" s="1663"/>
      <c r="H262" s="1663"/>
      <c r="I262" s="1663"/>
      <c r="J262" s="1663"/>
      <c r="K262" s="1667"/>
      <c r="L262" s="1667"/>
    </row>
    <row r="263" spans="1:14" x14ac:dyDescent="0.2">
      <c r="A263" s="1264" t="s">
        <v>1059</v>
      </c>
      <c r="B263" s="558">
        <v>2510</v>
      </c>
      <c r="C263" s="1663"/>
      <c r="D263" s="1563">
        <v>19199</v>
      </c>
      <c r="E263" s="1663"/>
      <c r="F263" s="1663"/>
      <c r="G263" s="1663"/>
      <c r="H263" s="1663"/>
      <c r="I263" s="1663"/>
      <c r="J263" s="1663"/>
      <c r="K263" s="1668">
        <f>D263</f>
        <v>19199</v>
      </c>
      <c r="L263" s="1576">
        <v>15450</v>
      </c>
    </row>
    <row r="264" spans="1:14" x14ac:dyDescent="0.2">
      <c r="A264" s="1264" t="s">
        <v>460</v>
      </c>
      <c r="B264" s="558">
        <v>2520</v>
      </c>
      <c r="C264" s="1663"/>
      <c r="D264" s="1563"/>
      <c r="E264" s="1663"/>
      <c r="F264" s="1663"/>
      <c r="G264" s="1663"/>
      <c r="H264" s="1663"/>
      <c r="I264" s="1663"/>
      <c r="J264" s="1663"/>
      <c r="K264" s="1668">
        <f t="shared" ref="K264:K269" si="22">D264</f>
        <v>0</v>
      </c>
      <c r="L264" s="1563">
        <v>0</v>
      </c>
    </row>
    <row r="265" spans="1:14" x14ac:dyDescent="0.2">
      <c r="A265" s="1264" t="s">
        <v>4</v>
      </c>
      <c r="B265" s="502">
        <v>2530</v>
      </c>
      <c r="C265" s="1663"/>
      <c r="D265" s="1563"/>
      <c r="E265" s="1663"/>
      <c r="F265" s="1663"/>
      <c r="G265" s="1663"/>
      <c r="H265" s="1663"/>
      <c r="I265" s="1663"/>
      <c r="J265" s="1663"/>
      <c r="K265" s="1668">
        <f t="shared" si="22"/>
        <v>0</v>
      </c>
      <c r="L265" s="1563">
        <v>0</v>
      </c>
    </row>
    <row r="266" spans="1:14" x14ac:dyDescent="0.2">
      <c r="A266" s="1264" t="s">
        <v>195</v>
      </c>
      <c r="B266" s="502">
        <v>2540</v>
      </c>
      <c r="C266" s="1663"/>
      <c r="D266" s="1563">
        <v>48819</v>
      </c>
      <c r="E266" s="1663"/>
      <c r="F266" s="1663"/>
      <c r="G266" s="1663"/>
      <c r="H266" s="1663"/>
      <c r="I266" s="1663"/>
      <c r="J266" s="1663"/>
      <c r="K266" s="1668">
        <f t="shared" si="22"/>
        <v>48819</v>
      </c>
      <c r="L266" s="1563">
        <v>49500</v>
      </c>
    </row>
    <row r="267" spans="1:14" x14ac:dyDescent="0.2">
      <c r="A267" s="1264" t="s">
        <v>947</v>
      </c>
      <c r="B267" s="502">
        <v>2550</v>
      </c>
      <c r="C267" s="1663"/>
      <c r="D267" s="1563"/>
      <c r="E267" s="1663"/>
      <c r="F267" s="1663"/>
      <c r="G267" s="1663"/>
      <c r="H267" s="1663"/>
      <c r="I267" s="1663"/>
      <c r="J267" s="1663"/>
      <c r="K267" s="1668">
        <f t="shared" si="22"/>
        <v>0</v>
      </c>
      <c r="L267" s="1563">
        <v>0</v>
      </c>
    </row>
    <row r="268" spans="1:14" x14ac:dyDescent="0.2">
      <c r="A268" s="1264" t="s">
        <v>100</v>
      </c>
      <c r="B268" s="502">
        <v>2560</v>
      </c>
      <c r="C268" s="1663"/>
      <c r="D268" s="1563">
        <v>5896</v>
      </c>
      <c r="E268" s="1663"/>
      <c r="F268" s="1663"/>
      <c r="G268" s="1663"/>
      <c r="H268" s="1663"/>
      <c r="I268" s="1663"/>
      <c r="J268" s="1663"/>
      <c r="K268" s="1668">
        <f t="shared" si="22"/>
        <v>5896</v>
      </c>
      <c r="L268" s="1563">
        <v>8750</v>
      </c>
    </row>
    <row r="269" spans="1:14" x14ac:dyDescent="0.2">
      <c r="A269" s="1264" t="s">
        <v>101</v>
      </c>
      <c r="B269" s="502">
        <v>2570</v>
      </c>
      <c r="C269" s="1663"/>
      <c r="D269" s="1563"/>
      <c r="E269" s="1663"/>
      <c r="F269" s="1663"/>
      <c r="G269" s="1663"/>
      <c r="H269" s="1663"/>
      <c r="I269" s="1663"/>
      <c r="J269" s="1663"/>
      <c r="K269" s="1668">
        <f t="shared" si="22"/>
        <v>0</v>
      </c>
      <c r="L269" s="1563">
        <v>0</v>
      </c>
    </row>
    <row r="270" spans="1:14" ht="12.75" customHeight="1" thickBot="1" x14ac:dyDescent="0.25">
      <c r="A270" s="1370" t="s">
        <v>714</v>
      </c>
      <c r="B270" s="1373" t="s">
        <v>35</v>
      </c>
      <c r="C270" s="1663"/>
      <c r="D270" s="1664">
        <f>SUM(D263:D269)</f>
        <v>73914</v>
      </c>
      <c r="E270" s="1663"/>
      <c r="F270" s="1663"/>
      <c r="G270" s="1663"/>
      <c r="H270" s="1663"/>
      <c r="I270" s="1663"/>
      <c r="J270" s="1663"/>
      <c r="K270" s="1664">
        <f>SUM(K263:K269)</f>
        <v>73914</v>
      </c>
      <c r="L270" s="1664">
        <f>SUM(L263:L269)</f>
        <v>73700</v>
      </c>
    </row>
    <row r="271" spans="1:14" ht="15.75" customHeight="1" thickTop="1" x14ac:dyDescent="0.2">
      <c r="A271" s="542" t="s">
        <v>609</v>
      </c>
      <c r="B271" s="509"/>
      <c r="C271" s="1663"/>
      <c r="D271" s="1667"/>
      <c r="E271" s="1663"/>
      <c r="F271" s="1663"/>
      <c r="G271" s="1663"/>
      <c r="H271" s="1663"/>
      <c r="I271" s="1663"/>
      <c r="J271" s="1663"/>
      <c r="K271" s="1667"/>
      <c r="L271" s="1667"/>
    </row>
    <row r="272" spans="1:14" x14ac:dyDescent="0.2">
      <c r="A272" s="1264" t="s">
        <v>1051</v>
      </c>
      <c r="B272" s="502">
        <v>2610</v>
      </c>
      <c r="C272" s="1663"/>
      <c r="D272" s="1576"/>
      <c r="E272" s="1663"/>
      <c r="F272" s="1663"/>
      <c r="G272" s="1663"/>
      <c r="H272" s="1663"/>
      <c r="I272" s="1663"/>
      <c r="J272" s="1663"/>
      <c r="K272" s="1668">
        <f>D272</f>
        <v>0</v>
      </c>
      <c r="L272" s="1576">
        <v>0</v>
      </c>
    </row>
    <row r="273" spans="1:12" x14ac:dyDescent="0.2">
      <c r="A273" s="1264" t="s">
        <v>603</v>
      </c>
      <c r="B273" s="511">
        <v>2620</v>
      </c>
      <c r="C273" s="1663"/>
      <c r="D273" s="1563"/>
      <c r="E273" s="1663"/>
      <c r="F273" s="1663"/>
      <c r="G273" s="1663"/>
      <c r="H273" s="1663"/>
      <c r="I273" s="1663"/>
      <c r="J273" s="1663"/>
      <c r="K273" s="1668">
        <f>D273</f>
        <v>0</v>
      </c>
      <c r="L273" s="1563">
        <v>0</v>
      </c>
    </row>
    <row r="274" spans="1:12" ht="12" customHeight="1" x14ac:dyDescent="0.2">
      <c r="A274" s="1264" t="s">
        <v>1052</v>
      </c>
      <c r="B274" s="502">
        <v>2630</v>
      </c>
      <c r="C274" s="1663"/>
      <c r="D274" s="1563"/>
      <c r="E274" s="1663"/>
      <c r="F274" s="1663"/>
      <c r="G274" s="1663"/>
      <c r="H274" s="1663"/>
      <c r="I274" s="1663"/>
      <c r="J274" s="1663"/>
      <c r="K274" s="1668">
        <f>D274</f>
        <v>0</v>
      </c>
      <c r="L274" s="1563">
        <v>0</v>
      </c>
    </row>
    <row r="275" spans="1:12" x14ac:dyDescent="0.2">
      <c r="A275" s="1264" t="s">
        <v>400</v>
      </c>
      <c r="B275" s="502">
        <v>2640</v>
      </c>
      <c r="C275" s="1663"/>
      <c r="D275" s="1563">
        <v>0</v>
      </c>
      <c r="E275" s="1663"/>
      <c r="F275" s="1663"/>
      <c r="G275" s="1663"/>
      <c r="H275" s="1663"/>
      <c r="I275" s="1663"/>
      <c r="J275" s="1663"/>
      <c r="K275" s="1668">
        <f>D275</f>
        <v>0</v>
      </c>
      <c r="L275" s="1563">
        <v>0</v>
      </c>
    </row>
    <row r="276" spans="1:12" x14ac:dyDescent="0.2">
      <c r="A276" s="1264" t="s">
        <v>401</v>
      </c>
      <c r="B276" s="502">
        <v>2660</v>
      </c>
      <c r="C276" s="1663"/>
      <c r="D276" s="1563"/>
      <c r="E276" s="1663"/>
      <c r="F276" s="1663"/>
      <c r="G276" s="1663"/>
      <c r="H276" s="1663"/>
      <c r="I276" s="1663"/>
      <c r="J276" s="1663"/>
      <c r="K276" s="1668">
        <f>D276</f>
        <v>0</v>
      </c>
      <c r="L276" s="1563">
        <v>0</v>
      </c>
    </row>
    <row r="277" spans="1:12" ht="12.75" customHeight="1" thickBot="1" x14ac:dyDescent="0.25">
      <c r="A277" s="1383" t="s">
        <v>37</v>
      </c>
      <c r="B277" s="1371"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0" t="s">
        <v>973</v>
      </c>
      <c r="B278" s="530" t="s">
        <v>570</v>
      </c>
      <c r="C278" s="1663"/>
      <c r="D278" s="1685"/>
      <c r="E278" s="1663"/>
      <c r="F278" s="1663"/>
      <c r="G278" s="1663"/>
      <c r="H278" s="1663"/>
      <c r="I278" s="1663"/>
      <c r="J278" s="1663"/>
      <c r="K278" s="1686">
        <f>D278</f>
        <v>0</v>
      </c>
      <c r="L278" s="1685">
        <v>0</v>
      </c>
    </row>
    <row r="279" spans="1:12" ht="12.75" customHeight="1" thickBot="1" x14ac:dyDescent="0.25">
      <c r="A279" s="1390" t="s">
        <v>806</v>
      </c>
      <c r="B279" s="1377">
        <v>2000</v>
      </c>
      <c r="C279" s="1663"/>
      <c r="D279" s="1671">
        <f>SUM(D238,D243,D257,D261,D270,D277,D278)</f>
        <v>192310</v>
      </c>
      <c r="E279" s="1663"/>
      <c r="F279" s="1663"/>
      <c r="G279" s="1663"/>
      <c r="H279" s="1663"/>
      <c r="I279" s="1663"/>
      <c r="J279" s="1663"/>
      <c r="K279" s="1671">
        <f>SUM(K238,K243,K257,K261,K270,K277,K278)</f>
        <v>192310</v>
      </c>
      <c r="L279" s="1671">
        <f>SUM(L238,L243,L257,L261,L270,L277,L278)</f>
        <v>202316</v>
      </c>
    </row>
    <row r="280" spans="1:12" ht="15.75" customHeight="1" thickTop="1" thickBot="1" x14ac:dyDescent="0.25">
      <c r="A280" s="1352" t="s">
        <v>870</v>
      </c>
      <c r="B280" s="1341">
        <v>3000</v>
      </c>
      <c r="C280" s="1663"/>
      <c r="D280" s="1641"/>
      <c r="E280" s="1663"/>
      <c r="F280" s="1663"/>
      <c r="G280" s="1663"/>
      <c r="H280" s="1663"/>
      <c r="I280" s="1663"/>
      <c r="J280" s="1663"/>
      <c r="K280" s="1677">
        <f>D280</f>
        <v>0</v>
      </c>
      <c r="L280" s="1641">
        <v>0</v>
      </c>
    </row>
    <row r="281" spans="1:12" ht="15.75" customHeight="1" thickTop="1" x14ac:dyDescent="0.2">
      <c r="A281" s="1342" t="s">
        <v>141</v>
      </c>
      <c r="B281" s="1343" t="s">
        <v>855</v>
      </c>
      <c r="C281" s="1663"/>
      <c r="D281" s="1635"/>
      <c r="E281" s="1663"/>
      <c r="F281" s="1663"/>
      <c r="G281" s="1663"/>
      <c r="H281" s="1663"/>
      <c r="I281" s="1663"/>
      <c r="J281" s="1663"/>
      <c r="K281" s="1663"/>
      <c r="L281" s="1663"/>
    </row>
    <row r="282" spans="1:12" ht="15.75" customHeight="1" x14ac:dyDescent="0.2">
      <c r="A282" s="1456" t="s">
        <v>493</v>
      </c>
      <c r="B282" s="561" t="s">
        <v>1813</v>
      </c>
      <c r="C282" s="1663"/>
      <c r="D282" s="1564"/>
      <c r="E282" s="1663"/>
      <c r="F282" s="1663"/>
      <c r="G282" s="1663"/>
      <c r="H282" s="1663"/>
      <c r="I282" s="1663"/>
      <c r="J282" s="1663"/>
      <c r="K282" s="1662">
        <f>D282</f>
        <v>0</v>
      </c>
      <c r="L282" s="1564">
        <v>0</v>
      </c>
    </row>
    <row r="283" spans="1:12" x14ac:dyDescent="0.2">
      <c r="A283" s="1264" t="s">
        <v>301</v>
      </c>
      <c r="B283" s="502">
        <v>4120</v>
      </c>
      <c r="C283" s="1663"/>
      <c r="D283" s="1563"/>
      <c r="E283" s="1663"/>
      <c r="F283" s="1663"/>
      <c r="G283" s="1663"/>
      <c r="H283" s="1663"/>
      <c r="I283" s="1663"/>
      <c r="J283" s="1663"/>
      <c r="K283" s="1662">
        <f>D283</f>
        <v>0</v>
      </c>
      <c r="L283" s="1563">
        <v>0</v>
      </c>
    </row>
    <row r="284" spans="1:12" x14ac:dyDescent="0.2">
      <c r="A284" s="1264" t="s">
        <v>692</v>
      </c>
      <c r="B284" s="502">
        <v>4140</v>
      </c>
      <c r="C284" s="1663"/>
      <c r="D284" s="1564"/>
      <c r="E284" s="1663"/>
      <c r="F284" s="1663"/>
      <c r="G284" s="1663"/>
      <c r="H284" s="1663"/>
      <c r="I284" s="1663"/>
      <c r="J284" s="1663"/>
      <c r="K284" s="1662">
        <f>D284</f>
        <v>0</v>
      </c>
      <c r="L284" s="1563">
        <v>0</v>
      </c>
    </row>
    <row r="285" spans="1:12" ht="12.75" customHeight="1" thickBot="1" x14ac:dyDescent="0.25">
      <c r="A285" s="1370" t="s">
        <v>1470</v>
      </c>
      <c r="B285" s="1371" t="s">
        <v>855</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0" t="s">
        <v>871</v>
      </c>
      <c r="B286" s="1337" t="s">
        <v>489</v>
      </c>
      <c r="C286" s="1663"/>
      <c r="D286" s="1663"/>
      <c r="E286" s="1663"/>
      <c r="F286" s="1663"/>
      <c r="G286" s="1663"/>
      <c r="H286" s="1663"/>
      <c r="I286" s="1663"/>
      <c r="J286" s="1663"/>
      <c r="K286" s="1663"/>
      <c r="L286" s="1663"/>
    </row>
    <row r="287" spans="1:12" ht="15.75" customHeight="1" x14ac:dyDescent="0.2">
      <c r="A287" s="529" t="s">
        <v>93</v>
      </c>
      <c r="B287" s="507"/>
      <c r="C287" s="1663"/>
      <c r="D287" s="1663"/>
      <c r="E287" s="1663"/>
      <c r="F287" s="1663"/>
      <c r="G287" s="1663"/>
      <c r="H287" s="1666"/>
      <c r="I287" s="1663"/>
      <c r="J287" s="1663"/>
      <c r="K287" s="1663"/>
      <c r="L287" s="1663"/>
    </row>
    <row r="288" spans="1:12" x14ac:dyDescent="0.2">
      <c r="A288" s="1264" t="s">
        <v>87</v>
      </c>
      <c r="B288" s="502">
        <v>5110</v>
      </c>
      <c r="C288" s="1663"/>
      <c r="D288" s="1663"/>
      <c r="E288" s="1663"/>
      <c r="F288" s="1663"/>
      <c r="G288" s="1663"/>
      <c r="H288" s="1563"/>
      <c r="I288" s="1663"/>
      <c r="J288" s="1663"/>
      <c r="K288" s="1662">
        <f>H288</f>
        <v>0</v>
      </c>
      <c r="L288" s="1563">
        <v>0</v>
      </c>
    </row>
    <row r="289" spans="1:14" x14ac:dyDescent="0.2">
      <c r="A289" s="1264" t="s">
        <v>88</v>
      </c>
      <c r="B289" s="502">
        <v>5120</v>
      </c>
      <c r="C289" s="1663"/>
      <c r="D289" s="1663"/>
      <c r="E289" s="1663"/>
      <c r="F289" s="1663"/>
      <c r="G289" s="1663"/>
      <c r="H289" s="1563"/>
      <c r="I289" s="1663"/>
      <c r="J289" s="1663"/>
      <c r="K289" s="1662">
        <f>H289</f>
        <v>0</v>
      </c>
      <c r="L289" s="1563">
        <v>0</v>
      </c>
    </row>
    <row r="290" spans="1:14" ht="12.75" customHeight="1" x14ac:dyDescent="0.2">
      <c r="A290" s="1264" t="s">
        <v>1160</v>
      </c>
      <c r="B290" s="511" t="s">
        <v>613</v>
      </c>
      <c r="C290" s="1663"/>
      <c r="D290" s="1663"/>
      <c r="E290" s="1663"/>
      <c r="F290" s="1663"/>
      <c r="G290" s="1663"/>
      <c r="H290" s="1563"/>
      <c r="I290" s="1663"/>
      <c r="J290" s="1663"/>
      <c r="K290" s="1662">
        <f>H290</f>
        <v>0</v>
      </c>
      <c r="L290" s="1563">
        <v>0</v>
      </c>
    </row>
    <row r="291" spans="1:14" x14ac:dyDescent="0.2">
      <c r="A291" s="1264" t="s">
        <v>89</v>
      </c>
      <c r="B291" s="502" t="s">
        <v>585</v>
      </c>
      <c r="C291" s="1663"/>
      <c r="D291" s="1663"/>
      <c r="E291" s="1663"/>
      <c r="F291" s="1663"/>
      <c r="G291" s="1663"/>
      <c r="H291" s="1563"/>
      <c r="I291" s="1663"/>
      <c r="J291" s="1663"/>
      <c r="K291" s="1662">
        <f>H291</f>
        <v>0</v>
      </c>
      <c r="L291" s="1563">
        <v>0</v>
      </c>
    </row>
    <row r="292" spans="1:14" x14ac:dyDescent="0.2">
      <c r="A292" s="1264" t="s">
        <v>757</v>
      </c>
      <c r="B292" s="502" t="s">
        <v>614</v>
      </c>
      <c r="C292" s="1663"/>
      <c r="D292" s="1663"/>
      <c r="E292" s="1663"/>
      <c r="F292" s="1663"/>
      <c r="G292" s="1663"/>
      <c r="H292" s="1563"/>
      <c r="I292" s="1663"/>
      <c r="J292" s="1663"/>
      <c r="K292" s="1662">
        <f>H292</f>
        <v>0</v>
      </c>
      <c r="L292" s="1563">
        <v>0</v>
      </c>
    </row>
    <row r="293" spans="1:14" ht="12.75" customHeight="1" thickBot="1" x14ac:dyDescent="0.25">
      <c r="A293" s="1370" t="s">
        <v>481</v>
      </c>
      <c r="B293" s="1371"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3" t="s">
        <v>872</v>
      </c>
      <c r="B294" s="1341" t="s">
        <v>856</v>
      </c>
      <c r="C294" s="1663"/>
      <c r="D294" s="1666"/>
      <c r="E294" s="1663"/>
      <c r="F294" s="1663"/>
      <c r="G294" s="1663"/>
      <c r="H294" s="1696"/>
      <c r="I294" s="1663"/>
      <c r="J294" s="1663"/>
      <c r="K294" s="1696"/>
      <c r="L294" s="1643">
        <v>0</v>
      </c>
    </row>
    <row r="295" spans="1:14" ht="12.75" customHeight="1" thickTop="1" thickBot="1" x14ac:dyDescent="0.25">
      <c r="A295" s="2326" t="s">
        <v>502</v>
      </c>
      <c r="B295" s="2327"/>
      <c r="C295" s="1663"/>
      <c r="D295" s="1664">
        <f>SUM(D229,D279,D280,D285)</f>
        <v>289528</v>
      </c>
      <c r="E295" s="1663"/>
      <c r="F295" s="1663"/>
      <c r="G295" s="1663"/>
      <c r="H295" s="1664">
        <f>H293</f>
        <v>0</v>
      </c>
      <c r="I295" s="1663"/>
      <c r="J295" s="1663"/>
      <c r="K295" s="1664">
        <f>SUM(K229,K279,K280,K285,K293,K294)</f>
        <v>289528</v>
      </c>
      <c r="L295" s="1664">
        <f>SUM(L229,L279,L280,L285,L293,L294)</f>
        <v>295112</v>
      </c>
    </row>
    <row r="296" spans="1:14" ht="13.5" thickTop="1" x14ac:dyDescent="0.2">
      <c r="A296" s="2335" t="s">
        <v>989</v>
      </c>
      <c r="B296" s="2336"/>
      <c r="C296" s="1663"/>
      <c r="D296" s="1665"/>
      <c r="E296" s="1663"/>
      <c r="F296" s="1663"/>
      <c r="G296" s="1663"/>
      <c r="H296" s="1697"/>
      <c r="I296" s="1663"/>
      <c r="J296" s="1663"/>
      <c r="K296" s="1679">
        <f>'Revenues 9-14'!G268-'Expenditures 15-22'!K295</f>
        <v>-155473</v>
      </c>
      <c r="L296" s="1697"/>
    </row>
    <row r="297" spans="1:14" s="539" customFormat="1" ht="9" customHeight="1" x14ac:dyDescent="0.2">
      <c r="A297" s="536"/>
      <c r="B297" s="546"/>
      <c r="C297" s="1680"/>
      <c r="D297" s="1680"/>
      <c r="E297" s="1680"/>
      <c r="F297" s="1680"/>
      <c r="G297" s="1680"/>
      <c r="H297" s="1680"/>
      <c r="I297" s="1680"/>
      <c r="J297" s="1680"/>
      <c r="K297" s="1680"/>
      <c r="L297" s="1680"/>
      <c r="M297" s="538"/>
      <c r="N297" s="538"/>
    </row>
    <row r="298" spans="1:14" ht="16.7" customHeight="1" x14ac:dyDescent="0.2">
      <c r="A298" s="2318" t="s">
        <v>142</v>
      </c>
      <c r="B298" s="2312"/>
      <c r="C298" s="1693"/>
      <c r="D298" s="1694"/>
      <c r="E298" s="1694"/>
      <c r="F298" s="1694"/>
      <c r="G298" s="1694"/>
      <c r="H298" s="1694"/>
      <c r="I298" s="1694"/>
      <c r="J298" s="1694"/>
      <c r="K298" s="1694"/>
      <c r="L298" s="1695"/>
    </row>
    <row r="299" spans="1:14" ht="15.75" customHeight="1" x14ac:dyDescent="0.2">
      <c r="A299" s="1340" t="s">
        <v>143</v>
      </c>
      <c r="B299" s="1343" t="s">
        <v>565</v>
      </c>
      <c r="C299" s="1663"/>
      <c r="D299" s="1663"/>
      <c r="E299" s="1663"/>
      <c r="F299" s="1663"/>
      <c r="G299" s="1663"/>
      <c r="H299" s="1663"/>
      <c r="I299" s="1663"/>
      <c r="J299" s="1663"/>
      <c r="K299" s="1663"/>
      <c r="L299" s="1663"/>
    </row>
    <row r="300" spans="1:14" ht="15.75" customHeight="1" x14ac:dyDescent="0.2">
      <c r="A300" s="559" t="s">
        <v>608</v>
      </c>
      <c r="B300" s="513"/>
      <c r="C300" s="1666"/>
      <c r="D300" s="1666"/>
      <c r="E300" s="1666"/>
      <c r="F300" s="1666"/>
      <c r="G300" s="1666"/>
      <c r="H300" s="1666"/>
      <c r="I300" s="1663"/>
      <c r="J300" s="1663"/>
      <c r="K300" s="1666"/>
      <c r="L300" s="1666"/>
    </row>
    <row r="301" spans="1:14" x14ac:dyDescent="0.2">
      <c r="A301" s="1277" t="s">
        <v>604</v>
      </c>
      <c r="B301" s="560">
        <v>2530</v>
      </c>
      <c r="C301" s="1563"/>
      <c r="D301" s="1563"/>
      <c r="E301" s="1563"/>
      <c r="F301" s="1563"/>
      <c r="G301" s="1563">
        <v>0</v>
      </c>
      <c r="H301" s="1563"/>
      <c r="I301" s="1564"/>
      <c r="J301" s="1564"/>
      <c r="K301" s="1662">
        <f>SUM(C301:J301)</f>
        <v>0</v>
      </c>
      <c r="L301" s="1564">
        <v>0</v>
      </c>
    </row>
    <row r="302" spans="1:14" ht="13.5" customHeight="1" x14ac:dyDescent="0.2">
      <c r="A302" s="1277" t="s">
        <v>973</v>
      </c>
      <c r="B302" s="502" t="s">
        <v>570</v>
      </c>
      <c r="C302" s="1563"/>
      <c r="D302" s="1563"/>
      <c r="E302" s="1563"/>
      <c r="F302" s="1563"/>
      <c r="G302" s="1563"/>
      <c r="H302" s="1563"/>
      <c r="I302" s="1564"/>
      <c r="J302" s="1564"/>
      <c r="K302" s="1662">
        <f>SUM(C302:J302)</f>
        <v>0</v>
      </c>
      <c r="L302" s="1563">
        <v>0</v>
      </c>
    </row>
    <row r="303" spans="1:14" ht="12.75" customHeight="1" thickBot="1" x14ac:dyDescent="0.25">
      <c r="A303" s="1370" t="s">
        <v>806</v>
      </c>
      <c r="B303" s="1371"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0" t="s">
        <v>144</v>
      </c>
      <c r="B304" s="1341" t="s">
        <v>855</v>
      </c>
      <c r="C304" s="1663"/>
      <c r="D304" s="1663"/>
      <c r="E304" s="1663"/>
      <c r="F304" s="1663"/>
      <c r="G304" s="1663"/>
      <c r="H304" s="1663"/>
      <c r="I304" s="1663"/>
      <c r="J304" s="1663"/>
      <c r="K304" s="1663"/>
      <c r="L304" s="1663"/>
    </row>
    <row r="305" spans="1:14" ht="15.75" customHeight="1" x14ac:dyDescent="0.2">
      <c r="A305" s="529" t="s">
        <v>891</v>
      </c>
      <c r="B305" s="507"/>
      <c r="C305" s="1663"/>
      <c r="D305" s="1663"/>
      <c r="E305" s="1663"/>
      <c r="F305" s="1663"/>
      <c r="G305" s="1663"/>
      <c r="H305" s="1663"/>
      <c r="I305" s="1663"/>
      <c r="J305" s="1663"/>
      <c r="K305" s="1663"/>
      <c r="L305" s="1663"/>
    </row>
    <row r="306" spans="1:14" x14ac:dyDescent="0.2">
      <c r="A306" s="1278" t="s">
        <v>1818</v>
      </c>
      <c r="B306" s="561" t="s">
        <v>1813</v>
      </c>
      <c r="C306" s="1663"/>
      <c r="D306" s="1663"/>
      <c r="E306" s="1564"/>
      <c r="F306" s="1663"/>
      <c r="G306" s="1663"/>
      <c r="H306" s="1564"/>
      <c r="I306" s="1663"/>
      <c r="J306" s="1663"/>
      <c r="K306" s="1662">
        <f>SUM(E306,H306)</f>
        <v>0</v>
      </c>
      <c r="L306" s="1564">
        <v>0</v>
      </c>
    </row>
    <row r="307" spans="1:14" x14ac:dyDescent="0.2">
      <c r="A307" s="1264" t="s">
        <v>301</v>
      </c>
      <c r="B307" s="502">
        <v>4120</v>
      </c>
      <c r="C307" s="1663"/>
      <c r="D307" s="1663"/>
      <c r="E307" s="1564"/>
      <c r="F307" s="1663"/>
      <c r="G307" s="1663"/>
      <c r="H307" s="1564"/>
      <c r="I307" s="1572"/>
      <c r="J307" s="1663"/>
      <c r="K307" s="1662">
        <f>SUM(E307,H307)</f>
        <v>0</v>
      </c>
      <c r="L307" s="1563">
        <v>0</v>
      </c>
    </row>
    <row r="308" spans="1:14" x14ac:dyDescent="0.2">
      <c r="A308" s="1264" t="s">
        <v>692</v>
      </c>
      <c r="B308" s="502">
        <v>4140</v>
      </c>
      <c r="C308" s="1663"/>
      <c r="D308" s="1663"/>
      <c r="E308" s="1564"/>
      <c r="F308" s="1663"/>
      <c r="G308" s="1663"/>
      <c r="H308" s="1564"/>
      <c r="I308" s="1572"/>
      <c r="J308" s="1663"/>
      <c r="K308" s="1662">
        <f>SUM(E308,H308)</f>
        <v>0</v>
      </c>
      <c r="L308" s="1563">
        <v>0</v>
      </c>
    </row>
    <row r="309" spans="1:14" ht="12.75" customHeight="1" x14ac:dyDescent="0.2">
      <c r="A309" s="1268" t="s">
        <v>693</v>
      </c>
      <c r="B309" s="511">
        <v>4190</v>
      </c>
      <c r="C309" s="1663"/>
      <c r="D309" s="1663"/>
      <c r="E309" s="1564"/>
      <c r="F309" s="1663"/>
      <c r="G309" s="1663"/>
      <c r="H309" s="1564"/>
      <c r="I309" s="1572"/>
      <c r="J309" s="1663"/>
      <c r="K309" s="1662">
        <f>SUM(E309,H309)</f>
        <v>0</v>
      </c>
      <c r="L309" s="1563">
        <v>0</v>
      </c>
    </row>
    <row r="310" spans="1:14" ht="12.75" customHeight="1" thickBot="1" x14ac:dyDescent="0.25">
      <c r="A310" s="1370" t="s">
        <v>1470</v>
      </c>
      <c r="B310" s="1373" t="s">
        <v>855</v>
      </c>
      <c r="C310" s="1663"/>
      <c r="D310" s="1663"/>
      <c r="E310" s="1664">
        <f>SUM(E306:E309)</f>
        <v>0</v>
      </c>
      <c r="F310" s="1663"/>
      <c r="G310" s="1663"/>
      <c r="H310" s="1664">
        <f>SUM(H306:H309)</f>
        <v>0</v>
      </c>
      <c r="I310" s="1572"/>
      <c r="J310" s="1663"/>
      <c r="K310" s="1664">
        <f>SUM(K306:K309)</f>
        <v>0</v>
      </c>
      <c r="L310" s="1671">
        <f>SUM(L306:L309)</f>
        <v>0</v>
      </c>
    </row>
    <row r="311" spans="1:14" ht="15.75" customHeight="1" thickTop="1" thickBot="1" x14ac:dyDescent="0.25">
      <c r="A311" s="1347" t="s">
        <v>889</v>
      </c>
      <c r="B311" s="1339" t="s">
        <v>856</v>
      </c>
      <c r="C311" s="1666"/>
      <c r="D311" s="1666"/>
      <c r="E311" s="1666"/>
      <c r="F311" s="1666"/>
      <c r="G311" s="1666"/>
      <c r="H311" s="1666"/>
      <c r="I311" s="1666"/>
      <c r="J311" s="1663"/>
      <c r="K311" s="1666"/>
      <c r="L311" s="1641">
        <v>0</v>
      </c>
    </row>
    <row r="312" spans="1:14" s="547" customFormat="1" ht="12.75" customHeight="1" thickTop="1" thickBot="1" x14ac:dyDescent="0.25">
      <c r="A312" s="2323" t="s">
        <v>275</v>
      </c>
      <c r="B312" s="2324"/>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8"/>
      <c r="N312" s="538"/>
    </row>
    <row r="313" spans="1:14" ht="13.5" thickTop="1" x14ac:dyDescent="0.2">
      <c r="A313" s="2319" t="s">
        <v>989</v>
      </c>
      <c r="B313" s="2320"/>
      <c r="C313" s="1667"/>
      <c r="D313" s="1667"/>
      <c r="E313" s="1667"/>
      <c r="F313" s="1667"/>
      <c r="G313" s="1667"/>
      <c r="H313" s="1667"/>
      <c r="I313" s="1667"/>
      <c r="J313" s="1667"/>
      <c r="K313" s="1686">
        <f>'Revenues 9-14'!H268-'Expenditures 15-22'!K312</f>
        <v>15</v>
      </c>
      <c r="L313" s="1667"/>
    </row>
    <row r="314" spans="1:14" s="539" customFormat="1" ht="9" customHeight="1" x14ac:dyDescent="0.2">
      <c r="A314" s="562"/>
      <c r="B314" s="563"/>
      <c r="C314" s="1698"/>
      <c r="D314" s="1698"/>
      <c r="E314" s="1698"/>
      <c r="F314" s="1698"/>
      <c r="G314" s="1698"/>
      <c r="H314" s="1698"/>
      <c r="I314" s="1698"/>
      <c r="J314" s="1698"/>
      <c r="K314" s="1698"/>
      <c r="L314" s="1698"/>
      <c r="M314" s="538"/>
      <c r="N314" s="538"/>
    </row>
    <row r="315" spans="1:14" ht="16.7" customHeight="1" x14ac:dyDescent="0.2">
      <c r="A315" s="2332" t="s">
        <v>148</v>
      </c>
      <c r="B315" s="2333"/>
      <c r="C315" s="1699"/>
      <c r="D315" s="1700"/>
      <c r="E315" s="1700"/>
      <c r="F315" s="1700"/>
      <c r="G315" s="1700"/>
      <c r="H315" s="1700"/>
      <c r="I315" s="1700"/>
      <c r="J315" s="1700"/>
      <c r="K315" s="1700"/>
      <c r="L315" s="1701"/>
    </row>
    <row r="316" spans="1:14" s="547" customFormat="1" ht="9" customHeight="1" x14ac:dyDescent="0.2">
      <c r="A316" s="562"/>
      <c r="B316" s="563"/>
      <c r="C316" s="1702"/>
      <c r="D316" s="1702"/>
      <c r="E316" s="1702"/>
      <c r="F316" s="1702"/>
      <c r="G316" s="1702"/>
      <c r="H316" s="1702"/>
      <c r="I316" s="1702"/>
      <c r="J316" s="1702"/>
      <c r="K316" s="1702"/>
      <c r="L316" s="1702"/>
      <c r="M316" s="538"/>
      <c r="N316" s="538"/>
    </row>
    <row r="317" spans="1:14" ht="16.7" customHeight="1" x14ac:dyDescent="0.2">
      <c r="A317" s="2334" t="s">
        <v>892</v>
      </c>
      <c r="B317" s="2333"/>
      <c r="C317" s="1699"/>
      <c r="D317" s="1700"/>
      <c r="E317" s="1700"/>
      <c r="F317" s="1700"/>
      <c r="G317" s="1700"/>
      <c r="H317" s="1700"/>
      <c r="I317" s="1700"/>
      <c r="J317" s="1700"/>
      <c r="K317" s="1700"/>
      <c r="L317" s="1701"/>
    </row>
    <row r="318" spans="1:14" s="547" customFormat="1" ht="15.75" customHeight="1" x14ac:dyDescent="0.2">
      <c r="A318" s="564" t="s">
        <v>606</v>
      </c>
      <c r="B318" s="565"/>
      <c r="C318" s="1674"/>
      <c r="D318" s="1674"/>
      <c r="E318" s="1674"/>
      <c r="F318" s="1674"/>
      <c r="G318" s="1674"/>
      <c r="H318" s="1674"/>
      <c r="I318" s="1674"/>
      <c r="J318" s="1674"/>
      <c r="K318" s="1674"/>
      <c r="L318" s="1674"/>
      <c r="M318" s="538"/>
      <c r="N318" s="538"/>
    </row>
    <row r="319" spans="1:14" s="547" customFormat="1" x14ac:dyDescent="0.2">
      <c r="A319" s="1279" t="s">
        <v>296</v>
      </c>
      <c r="B319" s="566" t="s">
        <v>279</v>
      </c>
      <c r="C319" s="1564"/>
      <c r="D319" s="1564"/>
      <c r="E319" s="1564"/>
      <c r="F319" s="1564"/>
      <c r="G319" s="1564"/>
      <c r="H319" s="1564"/>
      <c r="I319" s="1564"/>
      <c r="J319" s="1564"/>
      <c r="K319" s="1662">
        <f>SUM(C319:J319)</f>
        <v>0</v>
      </c>
      <c r="L319" s="1564">
        <v>0</v>
      </c>
      <c r="M319" s="538"/>
      <c r="N319" s="538"/>
    </row>
    <row r="320" spans="1:14" s="547" customFormat="1" x14ac:dyDescent="0.2">
      <c r="A320" s="1283" t="s">
        <v>1779</v>
      </c>
      <c r="B320" s="567" t="s">
        <v>280</v>
      </c>
      <c r="C320" s="1564"/>
      <c r="D320" s="1564"/>
      <c r="E320" s="1564">
        <v>102516</v>
      </c>
      <c r="F320" s="1564"/>
      <c r="G320" s="1564"/>
      <c r="H320" s="1564"/>
      <c r="I320" s="1564"/>
      <c r="J320" s="1564"/>
      <c r="K320" s="1662">
        <f t="shared" ref="K320:K327" si="24">SUM(C320:J320)</f>
        <v>102516</v>
      </c>
      <c r="L320" s="1564">
        <v>50000</v>
      </c>
      <c r="M320" s="538"/>
      <c r="N320" s="538"/>
    </row>
    <row r="321" spans="1:14" s="547" customFormat="1" x14ac:dyDescent="0.2">
      <c r="A321" s="1279" t="s">
        <v>297</v>
      </c>
      <c r="B321" s="566" t="s">
        <v>281</v>
      </c>
      <c r="C321" s="1564"/>
      <c r="D321" s="1564"/>
      <c r="E321" s="1564">
        <v>39324</v>
      </c>
      <c r="F321" s="1564"/>
      <c r="G321" s="1564"/>
      <c r="H321" s="1564"/>
      <c r="I321" s="1564"/>
      <c r="J321" s="1564"/>
      <c r="K321" s="1662">
        <f t="shared" si="24"/>
        <v>39324</v>
      </c>
      <c r="L321" s="1564">
        <v>40000</v>
      </c>
      <c r="M321" s="538"/>
      <c r="N321" s="538"/>
    </row>
    <row r="322" spans="1:14" s="547" customFormat="1" x14ac:dyDescent="0.2">
      <c r="A322" s="1279" t="s">
        <v>236</v>
      </c>
      <c r="B322" s="566" t="s">
        <v>282</v>
      </c>
      <c r="C322" s="1564"/>
      <c r="D322" s="1564"/>
      <c r="E322" s="1564"/>
      <c r="F322" s="1564"/>
      <c r="G322" s="1564"/>
      <c r="H322" s="1564"/>
      <c r="I322" s="1564"/>
      <c r="J322" s="1564"/>
      <c r="K322" s="1662">
        <f t="shared" si="24"/>
        <v>0</v>
      </c>
      <c r="L322" s="1564">
        <v>0</v>
      </c>
      <c r="M322" s="538"/>
      <c r="N322" s="538"/>
    </row>
    <row r="323" spans="1:14" s="547" customFormat="1" x14ac:dyDescent="0.2">
      <c r="A323" s="1279" t="s">
        <v>697</v>
      </c>
      <c r="B323" s="566" t="s">
        <v>283</v>
      </c>
      <c r="C323" s="1564"/>
      <c r="D323" s="1564"/>
      <c r="E323" s="1564">
        <v>113034</v>
      </c>
      <c r="F323" s="1564">
        <v>0</v>
      </c>
      <c r="G323" s="1564"/>
      <c r="H323" s="1564"/>
      <c r="I323" s="1564"/>
      <c r="J323" s="1564"/>
      <c r="K323" s="1662">
        <f t="shared" si="24"/>
        <v>113034</v>
      </c>
      <c r="L323" s="1564">
        <v>50000</v>
      </c>
      <c r="M323" s="538"/>
      <c r="N323" s="538"/>
    </row>
    <row r="324" spans="1:14" s="547" customFormat="1" x14ac:dyDescent="0.2">
      <c r="A324" s="1279" t="s">
        <v>237</v>
      </c>
      <c r="B324" s="566" t="s">
        <v>284</v>
      </c>
      <c r="C324" s="1564"/>
      <c r="D324" s="1564"/>
      <c r="E324" s="1564"/>
      <c r="F324" s="1564"/>
      <c r="G324" s="1564"/>
      <c r="H324" s="1564"/>
      <c r="I324" s="1564"/>
      <c r="J324" s="1564"/>
      <c r="K324" s="1662">
        <f t="shared" si="24"/>
        <v>0</v>
      </c>
      <c r="L324" s="1564">
        <v>0</v>
      </c>
      <c r="M324" s="538"/>
      <c r="N324" s="538"/>
    </row>
    <row r="325" spans="1:14" s="547" customFormat="1" ht="22.5" x14ac:dyDescent="0.2">
      <c r="A325" s="1279" t="s">
        <v>1022</v>
      </c>
      <c r="B325" s="567" t="s">
        <v>285</v>
      </c>
      <c r="C325" s="1564"/>
      <c r="D325" s="1564"/>
      <c r="E325" s="1564"/>
      <c r="F325" s="1564"/>
      <c r="G325" s="1564"/>
      <c r="H325" s="1564"/>
      <c r="I325" s="1564"/>
      <c r="J325" s="1564"/>
      <c r="K325" s="1662">
        <f t="shared" si="24"/>
        <v>0</v>
      </c>
      <c r="L325" s="1564">
        <v>0</v>
      </c>
      <c r="M325" s="538"/>
      <c r="N325" s="538"/>
    </row>
    <row r="326" spans="1:14" s="547" customFormat="1" x14ac:dyDescent="0.2">
      <c r="A326" s="1279" t="s">
        <v>1023</v>
      </c>
      <c r="B326" s="566" t="s">
        <v>286</v>
      </c>
      <c r="C326" s="1564"/>
      <c r="D326" s="1564"/>
      <c r="E326" s="1564"/>
      <c r="F326" s="1564"/>
      <c r="G326" s="1564"/>
      <c r="H326" s="1564"/>
      <c r="I326" s="1564"/>
      <c r="J326" s="1564"/>
      <c r="K326" s="1662">
        <f t="shared" si="24"/>
        <v>0</v>
      </c>
      <c r="L326" s="1564">
        <v>0</v>
      </c>
      <c r="M326" s="538"/>
      <c r="N326" s="538"/>
    </row>
    <row r="327" spans="1:14" s="547" customFormat="1" x14ac:dyDescent="0.2">
      <c r="A327" s="1279" t="s">
        <v>965</v>
      </c>
      <c r="B327" s="566" t="s">
        <v>287</v>
      </c>
      <c r="C327" s="1564"/>
      <c r="D327" s="1564"/>
      <c r="E327" s="1564">
        <v>95182</v>
      </c>
      <c r="F327" s="1564"/>
      <c r="G327" s="1564"/>
      <c r="H327" s="1564"/>
      <c r="I327" s="1564"/>
      <c r="J327" s="1564"/>
      <c r="K327" s="1662">
        <f t="shared" si="24"/>
        <v>95182</v>
      </c>
      <c r="L327" s="1564">
        <v>200000</v>
      </c>
      <c r="M327" s="538"/>
      <c r="N327" s="538"/>
    </row>
    <row r="328" spans="1:14" s="547" customFormat="1" x14ac:dyDescent="0.2">
      <c r="A328" s="1280" t="s">
        <v>469</v>
      </c>
      <c r="B328" s="561" t="s">
        <v>1122</v>
      </c>
      <c r="C328" s="1569"/>
      <c r="D328" s="1569"/>
      <c r="E328" s="1569"/>
      <c r="F328" s="1569"/>
      <c r="G328" s="1569"/>
      <c r="H328" s="1569"/>
      <c r="I328" s="1569"/>
      <c r="J328" s="1569"/>
      <c r="K328" s="1703">
        <f>SUM(C328:J328)</f>
        <v>0</v>
      </c>
      <c r="L328" s="1569">
        <v>0</v>
      </c>
      <c r="M328" s="538"/>
      <c r="N328" s="538"/>
    </row>
    <row r="329" spans="1:14" s="547" customFormat="1" x14ac:dyDescent="0.2">
      <c r="A329" s="1280" t="s">
        <v>1123</v>
      </c>
      <c r="B329" s="561" t="s">
        <v>1124</v>
      </c>
      <c r="C329" s="1569"/>
      <c r="D329" s="1569"/>
      <c r="E329" s="1569"/>
      <c r="F329" s="1569"/>
      <c r="G329" s="1569"/>
      <c r="H329" s="1569"/>
      <c r="I329" s="1569"/>
      <c r="J329" s="1569"/>
      <c r="K329" s="1703">
        <f>SUM(C329:J329)</f>
        <v>0</v>
      </c>
      <c r="L329" s="1569">
        <v>0</v>
      </c>
      <c r="M329" s="538"/>
      <c r="N329" s="538"/>
    </row>
    <row r="330" spans="1:14" s="547" customFormat="1" ht="12.75" customHeight="1" thickBot="1" x14ac:dyDescent="0.25">
      <c r="A330" s="1391" t="s">
        <v>712</v>
      </c>
      <c r="B330" s="1371" t="s">
        <v>565</v>
      </c>
      <c r="C330" s="1664">
        <f>SUM(C319:C329)</f>
        <v>0</v>
      </c>
      <c r="D330" s="1664">
        <f t="shared" ref="D330:J330" si="25">SUM(D319:D329)</f>
        <v>0</v>
      </c>
      <c r="E330" s="1664">
        <f t="shared" si="25"/>
        <v>350056</v>
      </c>
      <c r="F330" s="1664">
        <f t="shared" si="25"/>
        <v>0</v>
      </c>
      <c r="G330" s="1664">
        <f t="shared" si="25"/>
        <v>0</v>
      </c>
      <c r="H330" s="1664">
        <f t="shared" si="25"/>
        <v>0</v>
      </c>
      <c r="I330" s="1664">
        <f t="shared" si="25"/>
        <v>0</v>
      </c>
      <c r="J330" s="1664">
        <f t="shared" si="25"/>
        <v>0</v>
      </c>
      <c r="K330" s="1664">
        <f>SUM(K319:K329)</f>
        <v>350056</v>
      </c>
      <c r="L330" s="1664">
        <f>SUM(L319:L329)</f>
        <v>340000</v>
      </c>
      <c r="M330" s="538"/>
      <c r="N330" s="538"/>
    </row>
    <row r="331" spans="1:14" s="547" customFormat="1" ht="12.75" customHeight="1" thickTop="1" x14ac:dyDescent="0.2">
      <c r="A331" s="1457" t="s">
        <v>1819</v>
      </c>
      <c r="B331" s="524" t="s">
        <v>855</v>
      </c>
      <c r="C331" s="1704"/>
      <c r="D331" s="1704"/>
      <c r="E331" s="1704"/>
      <c r="F331" s="1704"/>
      <c r="G331" s="1704"/>
      <c r="H331" s="1704"/>
      <c r="I331" s="1704"/>
      <c r="J331" s="1704"/>
      <c r="K331" s="1704"/>
      <c r="L331" s="1704"/>
      <c r="M331" s="538"/>
      <c r="N331" s="538"/>
    </row>
    <row r="332" spans="1:14" s="547" customFormat="1" ht="12.75" customHeight="1" x14ac:dyDescent="0.2">
      <c r="A332" s="1458" t="s">
        <v>493</v>
      </c>
      <c r="B332" s="1453" t="s">
        <v>1813</v>
      </c>
      <c r="C332" s="1704"/>
      <c r="D332" s="1704"/>
      <c r="E332" s="1704"/>
      <c r="F332" s="1704"/>
      <c r="G332" s="1704"/>
      <c r="H332" s="1564"/>
      <c r="I332" s="1704"/>
      <c r="J332" s="1704"/>
      <c r="K332" s="1662">
        <f>H332</f>
        <v>0</v>
      </c>
      <c r="L332" s="1564">
        <v>0</v>
      </c>
      <c r="M332" s="538"/>
      <c r="N332" s="538"/>
    </row>
    <row r="333" spans="1:14" s="547" customFormat="1" ht="12.75" customHeight="1" x14ac:dyDescent="0.2">
      <c r="A333" s="1458" t="s">
        <v>301</v>
      </c>
      <c r="B333" s="1453" t="s">
        <v>1815</v>
      </c>
      <c r="C333" s="1704"/>
      <c r="D333" s="1704"/>
      <c r="E333" s="1704"/>
      <c r="F333" s="1704"/>
      <c r="G333" s="1704"/>
      <c r="H333" s="1564"/>
      <c r="I333" s="1704"/>
      <c r="J333" s="1704"/>
      <c r="K333" s="1662">
        <f>H333</f>
        <v>0</v>
      </c>
      <c r="L333" s="1564">
        <v>0</v>
      </c>
      <c r="M333" s="538"/>
      <c r="N333" s="538"/>
    </row>
    <row r="334" spans="1:14" s="547" customFormat="1" ht="12.75" customHeight="1" thickBot="1" x14ac:dyDescent="0.25">
      <c r="A334" s="1458" t="s">
        <v>1820</v>
      </c>
      <c r="B334" s="1453" t="s">
        <v>855</v>
      </c>
      <c r="C334" s="1704"/>
      <c r="D334" s="1704"/>
      <c r="E334" s="1704"/>
      <c r="F334" s="1704"/>
      <c r="G334" s="1704"/>
      <c r="H334" s="1664">
        <f>SUM(H332:H333)</f>
        <v>0</v>
      </c>
      <c r="I334" s="1704"/>
      <c r="J334" s="1704"/>
      <c r="K334" s="1664">
        <f>SUM(K332:K333)</f>
        <v>0</v>
      </c>
      <c r="L334" s="1664">
        <f>SUM(L332:L333)</f>
        <v>0</v>
      </c>
      <c r="M334" s="538"/>
      <c r="N334" s="538"/>
    </row>
    <row r="335" spans="1:14" ht="15.75" customHeight="1" thickTop="1" x14ac:dyDescent="0.2">
      <c r="A335" s="1344" t="s">
        <v>893</v>
      </c>
      <c r="B335" s="1335" t="s">
        <v>489</v>
      </c>
      <c r="C335" s="1663"/>
      <c r="D335" s="1663"/>
      <c r="E335" s="1663"/>
      <c r="F335" s="1663"/>
      <c r="G335" s="1663"/>
      <c r="H335" s="1663"/>
      <c r="I335" s="1663"/>
      <c r="J335" s="1663"/>
      <c r="K335" s="1663"/>
      <c r="L335" s="1663"/>
    </row>
    <row r="336" spans="1:14" ht="15.75" customHeight="1" x14ac:dyDescent="0.2">
      <c r="A336" s="529" t="s">
        <v>611</v>
      </c>
      <c r="B336" s="507"/>
      <c r="C336" s="1663"/>
      <c r="D336" s="1663"/>
      <c r="E336" s="1663"/>
      <c r="F336" s="1663"/>
      <c r="G336" s="1663"/>
      <c r="H336" s="1666"/>
      <c r="I336" s="1663"/>
      <c r="J336" s="1663"/>
      <c r="K336" s="1666"/>
      <c r="L336" s="1666"/>
    </row>
    <row r="337" spans="1:14" x14ac:dyDescent="0.2">
      <c r="A337" s="1278" t="s">
        <v>87</v>
      </c>
      <c r="B337" s="561" t="s">
        <v>894</v>
      </c>
      <c r="C337" s="1674"/>
      <c r="D337" s="1674"/>
      <c r="E337" s="1674"/>
      <c r="F337" s="1674"/>
      <c r="G337" s="1674"/>
      <c r="H337" s="1573"/>
      <c r="I337" s="1674"/>
      <c r="J337" s="1674"/>
      <c r="K337" s="1662">
        <f>H337</f>
        <v>0</v>
      </c>
      <c r="L337" s="1573">
        <v>0</v>
      </c>
    </row>
    <row r="338" spans="1:14" ht="12.75" customHeight="1" x14ac:dyDescent="0.2">
      <c r="A338" s="1278" t="s">
        <v>1160</v>
      </c>
      <c r="B338" s="561" t="s">
        <v>613</v>
      </c>
      <c r="C338" s="1674"/>
      <c r="D338" s="1674"/>
      <c r="E338" s="1674"/>
      <c r="F338" s="1674"/>
      <c r="G338" s="1674"/>
      <c r="H338" s="1573"/>
      <c r="I338" s="1674"/>
      <c r="J338" s="1674"/>
      <c r="K338" s="1662">
        <f>H338</f>
        <v>0</v>
      </c>
      <c r="L338" s="1573">
        <v>0</v>
      </c>
    </row>
    <row r="339" spans="1:14" x14ac:dyDescent="0.2">
      <c r="A339" s="1264" t="s">
        <v>895</v>
      </c>
      <c r="B339" s="511">
        <v>5150</v>
      </c>
      <c r="C339" s="1674"/>
      <c r="D339" s="1674"/>
      <c r="E339" s="1674"/>
      <c r="F339" s="1674"/>
      <c r="G339" s="1674"/>
      <c r="H339" s="1564"/>
      <c r="I339" s="1674"/>
      <c r="J339" s="1674"/>
      <c r="K339" s="1662">
        <f>H339</f>
        <v>0</v>
      </c>
      <c r="L339" s="1564">
        <v>0</v>
      </c>
    </row>
    <row r="340" spans="1:14" ht="13.5" thickBot="1" x14ac:dyDescent="0.25">
      <c r="A340" s="1386" t="s">
        <v>896</v>
      </c>
      <c r="B340" s="1371" t="s">
        <v>489</v>
      </c>
      <c r="C340" s="1663"/>
      <c r="D340" s="1663"/>
      <c r="E340" s="1663"/>
      <c r="F340" s="1663"/>
      <c r="G340" s="1663"/>
      <c r="H340" s="1584">
        <f>SUM(H337:H339)</f>
        <v>0</v>
      </c>
      <c r="I340" s="1663"/>
      <c r="J340" s="1663"/>
      <c r="K340" s="1584">
        <f>SUM(K337:K339)</f>
        <v>0</v>
      </c>
      <c r="L340" s="1584">
        <f>SUM(L337:L339)</f>
        <v>0</v>
      </c>
    </row>
    <row r="341" spans="1:14" ht="15.75" customHeight="1" thickTop="1" thickBot="1" x14ac:dyDescent="0.25">
      <c r="A341" s="1347" t="s">
        <v>897</v>
      </c>
      <c r="B341" s="1339" t="s">
        <v>856</v>
      </c>
      <c r="C341" s="1663"/>
      <c r="D341" s="1663"/>
      <c r="E341" s="1572"/>
      <c r="F341" s="1565"/>
      <c r="G341" s="1565"/>
      <c r="H341" s="1572"/>
      <c r="I341" s="1572"/>
      <c r="J341" s="1565"/>
      <c r="K341" s="1572"/>
      <c r="L341" s="1641">
        <v>0</v>
      </c>
    </row>
    <row r="342" spans="1:14" ht="12.75" customHeight="1" thickTop="1" thickBot="1" x14ac:dyDescent="0.25">
      <c r="A342" s="1379" t="s">
        <v>502</v>
      </c>
      <c r="B342" s="1392"/>
      <c r="C342" s="1664">
        <f>SUM(C330)</f>
        <v>0</v>
      </c>
      <c r="D342" s="1664">
        <f>SUM(D330)</f>
        <v>0</v>
      </c>
      <c r="E342" s="1664">
        <f>SUM(E330)</f>
        <v>350056</v>
      </c>
      <c r="F342" s="1664">
        <f>SUM(F330)</f>
        <v>0</v>
      </c>
      <c r="G342" s="1664">
        <f>SUM(G330)</f>
        <v>0</v>
      </c>
      <c r="H342" s="1664">
        <f>SUM(H330,H334,H340)</f>
        <v>0</v>
      </c>
      <c r="I342" s="1664">
        <f>SUM(I330)</f>
        <v>0</v>
      </c>
      <c r="J342" s="1664">
        <f>SUM(J330)</f>
        <v>0</v>
      </c>
      <c r="K342" s="1664">
        <f>SUM(K330,K334,K340)</f>
        <v>350056</v>
      </c>
      <c r="L342" s="1671">
        <f>SUM(L330,L334,L340,L341)</f>
        <v>340000</v>
      </c>
    </row>
    <row r="343" spans="1:14" ht="12.75" customHeight="1" thickTop="1" x14ac:dyDescent="0.2">
      <c r="A343" s="2321" t="s">
        <v>989</v>
      </c>
      <c r="B343" s="2322"/>
      <c r="C343" s="1663"/>
      <c r="D343" s="1663"/>
      <c r="E343" s="1663"/>
      <c r="F343" s="1663"/>
      <c r="G343" s="1663"/>
      <c r="H343" s="1663"/>
      <c r="I343" s="1663"/>
      <c r="J343" s="1663"/>
      <c r="K343" s="1679">
        <f>'Revenues 9-14'!J268-'Expenditures 15-22'!K342</f>
        <v>-294161</v>
      </c>
      <c r="L343" s="1663"/>
    </row>
    <row r="344" spans="1:14" s="539" customFormat="1" ht="6" customHeight="1" x14ac:dyDescent="0.2">
      <c r="A344" s="536"/>
      <c r="B344" s="537"/>
      <c r="C344" s="1680"/>
      <c r="D344" s="1680"/>
      <c r="E344" s="1680"/>
      <c r="F344" s="1680"/>
      <c r="G344" s="1680"/>
      <c r="H344" s="1680"/>
      <c r="I344" s="1680"/>
      <c r="J344" s="1680"/>
      <c r="K344" s="1680"/>
      <c r="L344" s="1680"/>
      <c r="M344" s="538"/>
      <c r="N344" s="538"/>
    </row>
    <row r="345" spans="1:14" s="541" customFormat="1" ht="16.7" customHeight="1" x14ac:dyDescent="0.2">
      <c r="A345" s="2311" t="s">
        <v>960</v>
      </c>
      <c r="B345" s="2312"/>
      <c r="C345" s="1693"/>
      <c r="D345" s="1694"/>
      <c r="E345" s="1694"/>
      <c r="F345" s="1694"/>
      <c r="G345" s="1694"/>
      <c r="H345" s="1694"/>
      <c r="I345" s="1694"/>
      <c r="J345" s="1694"/>
      <c r="K345" s="1694"/>
      <c r="L345" s="1695"/>
      <c r="M345" s="540"/>
      <c r="N345" s="540"/>
    </row>
    <row r="346" spans="1:14" s="320" customFormat="1" ht="15.75" customHeight="1" x14ac:dyDescent="0.2">
      <c r="A346" s="1351" t="s">
        <v>839</v>
      </c>
      <c r="B346" s="1343" t="s">
        <v>565</v>
      </c>
      <c r="C346" s="1663"/>
      <c r="D346" s="1663"/>
      <c r="E346" s="1663"/>
      <c r="F346" s="1663"/>
      <c r="G346" s="1663"/>
      <c r="H346" s="1663"/>
      <c r="I346" s="1663"/>
      <c r="J346" s="1663"/>
      <c r="K346" s="1663"/>
      <c r="L346" s="1663"/>
      <c r="M346" s="500"/>
      <c r="N346" s="500"/>
    </row>
    <row r="347" spans="1:14" ht="15.75" customHeight="1" x14ac:dyDescent="0.2">
      <c r="A347" s="568" t="s">
        <v>608</v>
      </c>
      <c r="B347" s="569"/>
      <c r="C347" s="1666"/>
      <c r="D347" s="1666"/>
      <c r="E347" s="1666"/>
      <c r="F347" s="1666"/>
      <c r="G347" s="1666"/>
      <c r="H347" s="1666"/>
      <c r="I347" s="1663"/>
      <c r="J347" s="1663"/>
      <c r="K347" s="1666"/>
      <c r="L347" s="1666"/>
    </row>
    <row r="348" spans="1:14" x14ac:dyDescent="0.2">
      <c r="A348" s="1264" t="s">
        <v>4</v>
      </c>
      <c r="B348" s="502">
        <v>2530</v>
      </c>
      <c r="C348" s="1563"/>
      <c r="D348" s="1563"/>
      <c r="E348" s="1563"/>
      <c r="F348" s="1563"/>
      <c r="G348" s="1563">
        <v>0</v>
      </c>
      <c r="H348" s="1563"/>
      <c r="I348" s="1564"/>
      <c r="J348" s="1564"/>
      <c r="K348" s="1662">
        <f>SUM(C348:J348)</f>
        <v>0</v>
      </c>
      <c r="L348" s="1563">
        <v>0</v>
      </c>
    </row>
    <row r="349" spans="1:14" x14ac:dyDescent="0.2">
      <c r="A349" s="1264" t="s">
        <v>195</v>
      </c>
      <c r="B349" s="502">
        <v>2540</v>
      </c>
      <c r="C349" s="1563"/>
      <c r="D349" s="1563"/>
      <c r="E349" s="1563"/>
      <c r="F349" s="1563"/>
      <c r="G349" s="1563"/>
      <c r="H349" s="1563"/>
      <c r="I349" s="1564"/>
      <c r="J349" s="1564"/>
      <c r="K349" s="1662">
        <f>SUM(C349:J349)</f>
        <v>0</v>
      </c>
      <c r="L349" s="1563">
        <v>0</v>
      </c>
    </row>
    <row r="350" spans="1:14" ht="12.75" customHeight="1" thickBot="1" x14ac:dyDescent="0.25">
      <c r="A350" s="1370" t="s">
        <v>714</v>
      </c>
      <c r="B350" s="1371"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0" t="s">
        <v>973</v>
      </c>
      <c r="B351" s="520" t="s">
        <v>570</v>
      </c>
      <c r="C351" s="1576"/>
      <c r="D351" s="1576"/>
      <c r="E351" s="1576"/>
      <c r="F351" s="1576"/>
      <c r="G351" s="1576"/>
      <c r="H351" s="1576"/>
      <c r="I351" s="1573"/>
      <c r="J351" s="1573"/>
      <c r="K351" s="1705">
        <f>SUM(C351:J351)</f>
        <v>0</v>
      </c>
      <c r="L351" s="1576">
        <v>0</v>
      </c>
    </row>
    <row r="352" spans="1:14" ht="12.75" customHeight="1" thickBot="1" x14ac:dyDescent="0.25">
      <c r="A352" s="1370" t="s">
        <v>620</v>
      </c>
      <c r="B352" s="1373"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0" customFormat="1" ht="15.75" customHeight="1" thickTop="1" x14ac:dyDescent="0.2">
      <c r="A353" s="1340" t="s">
        <v>621</v>
      </c>
      <c r="B353" s="1337" t="s">
        <v>855</v>
      </c>
      <c r="C353" s="1663"/>
      <c r="D353" s="1663"/>
      <c r="E353" s="1663"/>
      <c r="F353" s="1663"/>
      <c r="G353" s="1663"/>
      <c r="H353" s="1663"/>
      <c r="I353" s="1663"/>
      <c r="J353" s="1663"/>
      <c r="K353" s="1663"/>
      <c r="L353" s="1663"/>
      <c r="M353" s="500"/>
      <c r="N353" s="500"/>
    </row>
    <row r="354" spans="1:14" x14ac:dyDescent="0.2">
      <c r="A354" s="1459" t="s">
        <v>1821</v>
      </c>
      <c r="B354" s="556" t="s">
        <v>1813</v>
      </c>
      <c r="C354" s="1663"/>
      <c r="D354" s="1663"/>
      <c r="E354" s="1663"/>
      <c r="F354" s="1663"/>
      <c r="G354" s="1663"/>
      <c r="H354" s="1569"/>
      <c r="I354" s="1706"/>
      <c r="J354" s="1663"/>
      <c r="K354" s="1703">
        <f>H354</f>
        <v>0</v>
      </c>
      <c r="L354" s="1567">
        <v>0</v>
      </c>
    </row>
    <row r="355" spans="1:14" ht="12.75" customHeight="1" x14ac:dyDescent="0.2">
      <c r="A355" s="1273" t="s">
        <v>1822</v>
      </c>
      <c r="B355" s="561" t="s">
        <v>1815</v>
      </c>
      <c r="C355" s="1663"/>
      <c r="D355" s="1663"/>
      <c r="E355" s="1663"/>
      <c r="F355" s="1663"/>
      <c r="G355" s="1663"/>
      <c r="H355" s="1564"/>
      <c r="I355" s="1706"/>
      <c r="J355" s="1663"/>
      <c r="K355" s="1597">
        <f>H355</f>
        <v>0</v>
      </c>
      <c r="L355" s="1564">
        <v>0</v>
      </c>
    </row>
    <row r="356" spans="1:14" ht="12.75" customHeight="1" x14ac:dyDescent="0.2">
      <c r="A356" s="1459" t="s">
        <v>693</v>
      </c>
      <c r="B356" s="556" t="s">
        <v>554</v>
      </c>
      <c r="C356" s="1663"/>
      <c r="D356" s="1663"/>
      <c r="E356" s="1663"/>
      <c r="F356" s="1663"/>
      <c r="G356" s="1663"/>
      <c r="H356" s="1574"/>
      <c r="I356" s="1706"/>
      <c r="J356" s="1663"/>
      <c r="K356" s="1590">
        <f>H356</f>
        <v>0</v>
      </c>
      <c r="L356" s="1574">
        <v>0</v>
      </c>
    </row>
    <row r="357" spans="1:14" ht="12.75" customHeight="1" thickBot="1" x14ac:dyDescent="0.25">
      <c r="A357" s="1370" t="s">
        <v>1470</v>
      </c>
      <c r="B357" s="1371" t="s">
        <v>855</v>
      </c>
      <c r="C357" s="1663"/>
      <c r="D357" s="1663"/>
      <c r="E357" s="1663"/>
      <c r="F357" s="1663"/>
      <c r="G357" s="1663"/>
      <c r="H357" s="1584">
        <f>SUM(H354:H356)</f>
        <v>0</v>
      </c>
      <c r="I357" s="1706"/>
      <c r="J357" s="1663"/>
      <c r="K357" s="1584">
        <f>SUM(K354:K356)</f>
        <v>0</v>
      </c>
      <c r="L357" s="1584">
        <f>SUM(L354:L356)</f>
        <v>0</v>
      </c>
    </row>
    <row r="358" spans="1:14" s="320" customFormat="1" ht="15.75" customHeight="1" thickTop="1" x14ac:dyDescent="0.2">
      <c r="A358" s="1340" t="s">
        <v>942</v>
      </c>
      <c r="B358" s="1337" t="s">
        <v>489</v>
      </c>
      <c r="C358" s="1663"/>
      <c r="D358" s="1663"/>
      <c r="E358" s="1663"/>
      <c r="F358" s="1663"/>
      <c r="G358" s="1663"/>
      <c r="H358" s="1663"/>
      <c r="I358" s="1663"/>
      <c r="J358" s="1663"/>
      <c r="K358" s="1663"/>
      <c r="L358" s="1663"/>
      <c r="M358" s="500"/>
      <c r="N358" s="500"/>
    </row>
    <row r="359" spans="1:14" s="320" customFormat="1" ht="15.75" customHeight="1" x14ac:dyDescent="0.2">
      <c r="A359" s="529" t="s">
        <v>623</v>
      </c>
      <c r="B359" s="507"/>
      <c r="C359" s="1663"/>
      <c r="D359" s="1663"/>
      <c r="E359" s="1663"/>
      <c r="F359" s="1663"/>
      <c r="G359" s="1663"/>
      <c r="H359" s="1663"/>
      <c r="I359" s="1663"/>
      <c r="J359" s="1663"/>
      <c r="K359" s="1666"/>
      <c r="L359" s="1666"/>
      <c r="M359" s="500"/>
      <c r="N359" s="500"/>
    </row>
    <row r="360" spans="1:14" x14ac:dyDescent="0.2">
      <c r="A360" s="1264" t="s">
        <v>87</v>
      </c>
      <c r="B360" s="502">
        <v>5110</v>
      </c>
      <c r="C360" s="1663"/>
      <c r="D360" s="1663"/>
      <c r="E360" s="1663"/>
      <c r="F360" s="1663"/>
      <c r="G360" s="1663"/>
      <c r="H360" s="1564"/>
      <c r="I360" s="1663"/>
      <c r="J360" s="1663"/>
      <c r="K360" s="1662">
        <f>SUM(C360:J360)</f>
        <v>0</v>
      </c>
      <c r="L360" s="1563">
        <v>0</v>
      </c>
    </row>
    <row r="361" spans="1:14" ht="12.75" customHeight="1" x14ac:dyDescent="0.2">
      <c r="A361" s="1265" t="s">
        <v>615</v>
      </c>
      <c r="B361" s="493" t="s">
        <v>614</v>
      </c>
      <c r="C361" s="1663"/>
      <c r="D361" s="1663"/>
      <c r="E361" s="1663"/>
      <c r="F361" s="1663"/>
      <c r="G361" s="1663"/>
      <c r="H361" s="1564"/>
      <c r="I361" s="1663"/>
      <c r="J361" s="1663"/>
      <c r="K361" s="1662">
        <f>SUM(C361:J361)</f>
        <v>0</v>
      </c>
      <c r="L361" s="1563">
        <v>0</v>
      </c>
    </row>
    <row r="362" spans="1:14" ht="12.75" customHeight="1" thickBot="1" x14ac:dyDescent="0.25">
      <c r="A362" s="1370" t="s">
        <v>622</v>
      </c>
      <c r="B362" s="1371" t="s">
        <v>713</v>
      </c>
      <c r="C362" s="1663"/>
      <c r="D362" s="1663"/>
      <c r="E362" s="1663"/>
      <c r="F362" s="1663"/>
      <c r="G362" s="1663"/>
      <c r="H362" s="1614">
        <f>SUM(H360:H361)</f>
        <v>0</v>
      </c>
      <c r="I362" s="1663"/>
      <c r="J362" s="1663"/>
      <c r="K362" s="1614">
        <f>SUM(K360:K361)</f>
        <v>0</v>
      </c>
      <c r="L362" s="1614">
        <f>SUM(L360:L361)</f>
        <v>0</v>
      </c>
    </row>
    <row r="363" spans="1:14" s="547" customFormat="1" ht="15.75" customHeight="1" thickTop="1" x14ac:dyDescent="0.2">
      <c r="A363" s="534" t="s">
        <v>83</v>
      </c>
      <c r="B363" s="535" t="s">
        <v>38</v>
      </c>
      <c r="C363" s="1674"/>
      <c r="D363" s="1674"/>
      <c r="E363" s="1674"/>
      <c r="F363" s="1674"/>
      <c r="G363" s="1674"/>
      <c r="H363" s="1574"/>
      <c r="I363" s="1674"/>
      <c r="J363" s="1674"/>
      <c r="K363" s="1703">
        <f>SUM(C363:J363)</f>
        <v>0</v>
      </c>
      <c r="L363" s="1574">
        <v>0</v>
      </c>
      <c r="M363" s="538"/>
      <c r="N363" s="538"/>
    </row>
    <row r="364" spans="1:14" s="572" customFormat="1" ht="29.25" customHeight="1" x14ac:dyDescent="0.2">
      <c r="A364" s="570" t="s">
        <v>1653</v>
      </c>
      <c r="B364" s="571">
        <v>5300</v>
      </c>
      <c r="C364" s="1707"/>
      <c r="D364" s="1708"/>
      <c r="E364" s="1708"/>
      <c r="F364" s="1707"/>
      <c r="G364" s="1708"/>
      <c r="H364" s="1709"/>
      <c r="I364" s="1708"/>
      <c r="J364" s="1708"/>
      <c r="K364" s="1662">
        <f>SUM(C364:J364)</f>
        <v>0</v>
      </c>
      <c r="L364" s="1710">
        <v>0</v>
      </c>
    </row>
    <row r="365" spans="1:14" s="547" customFormat="1" ht="12.75" customHeight="1" thickBot="1" x14ac:dyDescent="0.25">
      <c r="A365" s="1281" t="s">
        <v>586</v>
      </c>
      <c r="B365" s="533" t="s">
        <v>489</v>
      </c>
      <c r="C365" s="1674"/>
      <c r="D365" s="1674"/>
      <c r="E365" s="1674"/>
      <c r="F365" s="1674"/>
      <c r="G365" s="1674"/>
      <c r="H365" s="1614">
        <f>SUM(H362,H363,H364)</f>
        <v>0</v>
      </c>
      <c r="I365" s="1674"/>
      <c r="J365" s="1674"/>
      <c r="K365" s="1614">
        <f>SUM(K362,K363,K364)</f>
        <v>0</v>
      </c>
      <c r="L365" s="1614">
        <f>SUM(L362,L363,L364)</f>
        <v>0</v>
      </c>
      <c r="M365" s="538"/>
      <c r="N365" s="538"/>
    </row>
    <row r="366" spans="1:14" s="320" customFormat="1" ht="15.75" customHeight="1" thickTop="1" thickBot="1" x14ac:dyDescent="0.25">
      <c r="A366" s="1334" t="s">
        <v>943</v>
      </c>
      <c r="B366" s="1341" t="s">
        <v>856</v>
      </c>
      <c r="C366" s="1666"/>
      <c r="D366" s="1666"/>
      <c r="E366" s="1666"/>
      <c r="F366" s="1666"/>
      <c r="G366" s="1666"/>
      <c r="H366" s="1666"/>
      <c r="I366" s="1666"/>
      <c r="J366" s="1663"/>
      <c r="K366" s="1666"/>
      <c r="L366" s="1639">
        <v>0</v>
      </c>
      <c r="M366" s="500"/>
      <c r="N366" s="500"/>
    </row>
    <row r="367" spans="1:14" ht="12.75" customHeight="1" thickTop="1" thickBot="1" x14ac:dyDescent="0.25">
      <c r="A367" s="1384" t="s">
        <v>502</v>
      </c>
      <c r="B367" s="1393"/>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335" t="s">
        <v>989</v>
      </c>
      <c r="B368" s="2336"/>
      <c r="C368" s="1684"/>
      <c r="D368" s="1684"/>
      <c r="E368" s="1667"/>
      <c r="F368" s="1667"/>
      <c r="G368" s="1667"/>
      <c r="H368" s="1667"/>
      <c r="I368" s="1667"/>
      <c r="J368" s="1666"/>
      <c r="K368" s="1662">
        <f>'Revenues 9-14'!K268-'Expenditures 15-22'!K367</f>
        <v>-2310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25" right="0.25"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schemas.microsoft.com/sharepoint/v3"/>
    <ds:schemaRef ds:uri="http://www.w3.org/XML/1998/namespace"/>
    <ds:schemaRef ds:uri="4d435f69-8686-490b-bd6d-b153bf22ab50"/>
    <ds:schemaRef ds:uri="http://purl.org/dc/terms/"/>
    <ds:schemaRef ds:uri="http://schemas.microsoft.com/office/2006/metadata/properties"/>
    <ds:schemaRef ds:uri="d21dc803-237d-4c68-8692-8d731fd29118"/>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2020-12-09T16:00:40Z</cp:lastPrinted>
  <dcterms:created xsi:type="dcterms:W3CDTF">2003-10-29T19:06:34Z</dcterms:created>
  <dcterms:modified xsi:type="dcterms:W3CDTF">2020-12-12T01:37:55Z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Hazel Crest School District 152.5</vt:lpwstr>
  </property>
  <property fmtid="{D5CDD505-2E9C-101B-9397-08002B2CF9AE}" pid="6" name="PPC_Template_Engagement_Date">
    <vt:lpwstr>6/30/2019</vt:lpwstr>
  </property>
</Properties>
</file>